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1.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2.xml" ContentType="application/vnd.openxmlformats-officedocument.spreadsheetml.worksheet+xml"/>
  <Override PartName="/xl/worksheets/sheet3.xml" ContentType="application/vnd.openxmlformats-officedocument.spreadsheetml.worksheet+xml"/>
  <Override PartName="/xl/worksheets/sheet20.xml" ContentType="application/vnd.openxmlformats-officedocument.spreadsheetml.worksheet+xml"/>
  <Override PartName="/xl/worksheets/sheet22.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codeName="ThisWorkbook" autoCompressPictures="0"/>
  <bookViews>
    <workbookView xWindow="10815" yWindow="0" windowWidth="14700" windowHeight="11760" tabRatio="889" firstSheet="1" activeTab="16"/>
  </bookViews>
  <sheets>
    <sheet name="Xac nhạn so lượng SV 1920" sheetId="55" r:id="rId1"/>
    <sheet name="Bieu1" sheetId="20" r:id="rId2"/>
    <sheet name="Bieu2" sheetId="52" r:id="rId3"/>
    <sheet name="Bieu2 GDTH" sheetId="51" state="hidden" r:id="rId4"/>
    <sheet name="Bieu2 GDMN" sheetId="50" state="hidden" r:id="rId5"/>
    <sheet name="Bieu2 QLGD" sheetId="49" state="hidden" r:id="rId6"/>
    <sheet name="Bieu2 TLH" sheetId="48" state="hidden" r:id="rId7"/>
    <sheet name="Bieu2 GDH" sheetId="42" state="hidden" r:id="rId8"/>
    <sheet name="Bieu2 các tổ" sheetId="53" state="hidden" r:id="rId9"/>
    <sheet name="Bieu3" sheetId="37" r:id="rId10"/>
    <sheet name="Bieu3 GDH" sheetId="41" r:id="rId11"/>
    <sheet name="Bieu3 TLH" sheetId="40" r:id="rId12"/>
    <sheet name="Bieu3 QLGD" sheetId="39" r:id="rId13"/>
    <sheet name="Bieu3 GDMN" sheetId="38" r:id="rId14"/>
    <sheet name="Bieu3 GDTH" sheetId="7" r:id="rId15"/>
    <sheet name="Bieu4" sheetId="10" r:id="rId16"/>
    <sheet name="Bieu5" sheetId="11" r:id="rId17"/>
    <sheet name="Bieu6" sheetId="12" r:id="rId18"/>
    <sheet name="Bieu 7 NCKH" sheetId="13" r:id="rId19"/>
    <sheet name="Bieu 8" sheetId="36" r:id="rId20"/>
    <sheet name="Bieu 9" sheetId="19" r:id="rId21"/>
    <sheet name="Bieu 10" sheetId="17" r:id="rId22"/>
    <sheet name="Dự kiến xuất bản" sheetId="54" r:id="rId23"/>
    <sheet name="Bieu11" sheetId="18" r:id="rId24"/>
    <sheet name="Bieu 12" sheetId="32" r:id="rId25"/>
    <sheet name="Sheet1" sheetId="47" r:id="rId26"/>
  </sheets>
  <definedNames>
    <definedName name="_xlnm.Print_Area" localSheetId="2">Bieu2!$A$1:$Q$310</definedName>
    <definedName name="_xlnm.Print_Area" localSheetId="8">'Bieu2 các tổ'!$A$1:$Q$387</definedName>
    <definedName name="_xlnm.Print_Area" localSheetId="7">'Bieu2 GDH'!$A$1:$Q$346</definedName>
    <definedName name="_xlnm.Print_Area" localSheetId="4">'Bieu2 GDMN'!$A$1:$Q$346</definedName>
    <definedName name="_xlnm.Print_Area" localSheetId="3">'Bieu2 GDTH'!$A$1:$Q$346</definedName>
    <definedName name="_xlnm.Print_Area" localSheetId="5">'Bieu2 QLGD'!$A$1:$Q$346</definedName>
    <definedName name="_xlnm.Print_Area" localSheetId="6">'Bieu2 TLH'!$A$1:$Q$346</definedName>
    <definedName name="_xlnm.Print_Area" localSheetId="10">'Bieu3 GDH'!$A$1:$Q$23</definedName>
    <definedName name="_xlnm.Print_Area" localSheetId="13">'Bieu3 GDMN'!$A$1:$Q$27</definedName>
    <definedName name="_xlnm.Print_Area" localSheetId="14">'Bieu3 GDTH'!$A$1:$Q$26</definedName>
    <definedName name="_xlnm.Print_Area" localSheetId="12">'Bieu3 QLGD'!$A$1:$Q$27</definedName>
    <definedName name="_xlnm.Print_Area" localSheetId="11">'Bieu3 TLH'!$A$1:$Q$24</definedName>
    <definedName name="_xlnm.Print_Titles" localSheetId="24">'Bieu 12'!$4:$4</definedName>
    <definedName name="_xlnm.Print_Titles" localSheetId="2">Bieu2!$5:$5</definedName>
    <definedName name="_xlnm.Print_Titles" localSheetId="8">'Bieu2 các tổ'!$5:$5</definedName>
    <definedName name="_xlnm.Print_Titles" localSheetId="7">'Bieu2 GDH'!$5:$5</definedName>
    <definedName name="_xlnm.Print_Titles" localSheetId="4">'Bieu2 GDMN'!$5:$5</definedName>
    <definedName name="_xlnm.Print_Titles" localSheetId="3">'Bieu2 GDTH'!$5:$5</definedName>
    <definedName name="_xlnm.Print_Titles" localSheetId="5">'Bieu2 QLGD'!$5:$5</definedName>
    <definedName name="_xlnm.Print_Titles" localSheetId="6">'Bieu2 TLH'!$5:$5</definedName>
    <definedName name="_xlnm.Print_Titles" localSheetId="9">Bieu3!$5:$5</definedName>
    <definedName name="_xlnm.Print_Titles" localSheetId="10">'Bieu3 GDH'!$5:$5</definedName>
    <definedName name="_xlnm.Print_Titles" localSheetId="13">'Bieu3 GDMN'!$5:$5</definedName>
    <definedName name="_xlnm.Print_Titles" localSheetId="14">'Bieu3 GDTH'!$5:$5</definedName>
    <definedName name="_xlnm.Print_Titles" localSheetId="12">'Bieu3 QLGD'!$5:$5</definedName>
    <definedName name="_xlnm.Print_Titles" localSheetId="11">'Bieu3 TLH'!$5:$5</definedName>
    <definedName name="_xlnm.Print_Titles" localSheetId="15">Bieu4!$5:$5</definedName>
    <definedName name="_xlnm.Print_Titles" localSheetId="16">Bieu5!$5:$5</definedName>
    <definedName name="_xlnm.Print_Titles" localSheetId="17">Bieu6!$5:$5</definedName>
  </definedNames>
  <calcPr calcId="144525" concurrentCalc="0"/>
  <extLst>
    <ext xmlns:mx="http://schemas.microsoft.com/office/mac/excel/2008/main" uri="{7523E5D3-25F3-A5E0-1632-64F254C22452}">
      <mx:ArchID Flags="2"/>
    </ext>
  </extLst>
</workbook>
</file>

<file path=xl/calcChain.xml><?xml version="1.0" encoding="utf-8"?>
<calcChain xmlns="http://schemas.openxmlformats.org/spreadsheetml/2006/main">
  <c r="C37" i="19" l="1"/>
  <c r="E37" i="19"/>
  <c r="E36" i="19"/>
  <c r="C35" i="19"/>
  <c r="F12" i="36"/>
  <c r="F11" i="36"/>
  <c r="D13" i="36"/>
  <c r="E13" i="36"/>
  <c r="F10" i="36"/>
  <c r="F9" i="36"/>
  <c r="F13" i="36"/>
  <c r="C13" i="36"/>
  <c r="C37" i="17"/>
  <c r="F15" i="54"/>
  <c r="F7" i="11"/>
  <c r="F8" i="11"/>
  <c r="F9" i="11"/>
  <c r="F10" i="11"/>
  <c r="F11" i="11"/>
  <c r="F12" i="11"/>
  <c r="F13" i="11"/>
  <c r="F14" i="11"/>
  <c r="F15" i="11"/>
  <c r="F6" i="11"/>
  <c r="C28" i="17"/>
  <c r="F17" i="11"/>
  <c r="F18" i="11"/>
  <c r="F19" i="11"/>
  <c r="C36" i="17"/>
  <c r="F24" i="20"/>
  <c r="F23" i="20"/>
  <c r="D24" i="20"/>
  <c r="D30" i="20"/>
  <c r="D29" i="20"/>
  <c r="D23" i="20"/>
  <c r="E24" i="20"/>
  <c r="E30" i="20"/>
  <c r="E29" i="20"/>
  <c r="E23" i="20"/>
  <c r="G23" i="20"/>
  <c r="C21" i="19"/>
  <c r="E21" i="19"/>
  <c r="H12" i="52"/>
  <c r="H13" i="52"/>
  <c r="H14" i="52"/>
  <c r="H15" i="52"/>
  <c r="H16" i="52"/>
  <c r="H17" i="52"/>
  <c r="H18" i="52"/>
  <c r="H19" i="52"/>
  <c r="H20" i="52"/>
  <c r="H21" i="52"/>
  <c r="H22" i="52"/>
  <c r="H23" i="52"/>
  <c r="H24" i="52"/>
  <c r="H25" i="52"/>
  <c r="H26" i="52"/>
  <c r="H27" i="52"/>
  <c r="H28" i="52"/>
  <c r="H29" i="52"/>
  <c r="H30" i="52"/>
  <c r="H31" i="52"/>
  <c r="H32" i="52"/>
  <c r="H33" i="52"/>
  <c r="H34" i="52"/>
  <c r="H35" i="52"/>
  <c r="H36" i="52"/>
  <c r="H37" i="52"/>
  <c r="H38" i="52"/>
  <c r="H39" i="52"/>
  <c r="H40" i="52"/>
  <c r="H41" i="52"/>
  <c r="H43" i="52"/>
  <c r="H45" i="52"/>
  <c r="H140" i="52"/>
  <c r="H141" i="52"/>
  <c r="H142" i="52"/>
  <c r="H143" i="52"/>
  <c r="H144" i="52"/>
  <c r="H145" i="52"/>
  <c r="H146" i="52"/>
  <c r="H147" i="52"/>
  <c r="H148" i="52"/>
  <c r="H149" i="52"/>
  <c r="H150" i="52"/>
  <c r="H151" i="52"/>
  <c r="H152" i="52"/>
  <c r="H153" i="52"/>
  <c r="H154" i="52"/>
  <c r="H158" i="52"/>
  <c r="H179" i="52"/>
  <c r="H180" i="52"/>
  <c r="H181" i="52"/>
  <c r="H182" i="52"/>
  <c r="H183" i="52"/>
  <c r="H184" i="52"/>
  <c r="H185" i="52"/>
  <c r="H186" i="52"/>
  <c r="H187" i="52"/>
  <c r="H188" i="52"/>
  <c r="H222" i="52"/>
  <c r="H223" i="52"/>
  <c r="H224" i="52"/>
  <c r="H225" i="52"/>
  <c r="H226" i="52"/>
  <c r="H227" i="52"/>
  <c r="H228" i="52"/>
  <c r="H229" i="52"/>
  <c r="H230" i="52"/>
  <c r="H231" i="52"/>
  <c r="H232" i="52"/>
  <c r="H233" i="52"/>
  <c r="H234" i="52"/>
  <c r="H235" i="52"/>
  <c r="H236" i="52"/>
  <c r="H237" i="52"/>
  <c r="H238" i="52"/>
  <c r="H242" i="52"/>
  <c r="H244" i="52"/>
  <c r="H83" i="52"/>
  <c r="H84" i="52"/>
  <c r="H85" i="52"/>
  <c r="H86" i="52"/>
  <c r="H87" i="52"/>
  <c r="H88" i="52"/>
  <c r="H89" i="52"/>
  <c r="H90" i="52"/>
  <c r="H91" i="52"/>
  <c r="H92" i="52"/>
  <c r="H93" i="52"/>
  <c r="H94" i="52"/>
  <c r="H95" i="52"/>
  <c r="H96" i="52"/>
  <c r="H97" i="52"/>
  <c r="H98" i="52"/>
  <c r="H99" i="52"/>
  <c r="H100" i="52"/>
  <c r="H101" i="52"/>
  <c r="H102" i="52"/>
  <c r="H103" i="52"/>
  <c r="H104" i="52"/>
  <c r="H105" i="52"/>
  <c r="H106" i="52"/>
  <c r="H107" i="52"/>
  <c r="H108" i="52"/>
  <c r="H300" i="52"/>
  <c r="C9" i="19"/>
  <c r="E9" i="19"/>
  <c r="H247" i="52"/>
  <c r="H248" i="52"/>
  <c r="H249" i="52"/>
  <c r="H250" i="52"/>
  <c r="H251" i="52"/>
  <c r="H252" i="52"/>
  <c r="H253" i="52"/>
  <c r="H254" i="52"/>
  <c r="H255" i="52"/>
  <c r="H256" i="52"/>
  <c r="H257" i="52"/>
  <c r="H258" i="52"/>
  <c r="H259" i="52"/>
  <c r="H261" i="52"/>
  <c r="H262" i="52"/>
  <c r="H263" i="52"/>
  <c r="H264" i="52"/>
  <c r="H265" i="52"/>
  <c r="H266" i="52"/>
  <c r="H267" i="52"/>
  <c r="H268" i="52"/>
  <c r="H269" i="52"/>
  <c r="H270" i="52"/>
  <c r="H271" i="52"/>
  <c r="H272" i="52"/>
  <c r="H273" i="52"/>
  <c r="H274" i="52"/>
  <c r="H275" i="52"/>
  <c r="H197" i="52"/>
  <c r="H198" i="52"/>
  <c r="H199" i="52"/>
  <c r="H200" i="52"/>
  <c r="H206" i="52"/>
  <c r="H161" i="52"/>
  <c r="H162" i="52"/>
  <c r="H163" i="52"/>
  <c r="H164" i="52"/>
  <c r="H165" i="52"/>
  <c r="H166" i="52"/>
  <c r="H167" i="52"/>
  <c r="H168" i="52"/>
  <c r="H111" i="52"/>
  <c r="H112" i="52"/>
  <c r="H113" i="52"/>
  <c r="H114" i="52"/>
  <c r="H115" i="52"/>
  <c r="H116" i="52"/>
  <c r="H117" i="52"/>
  <c r="H119" i="52"/>
  <c r="H120" i="52"/>
  <c r="H48" i="52"/>
  <c r="H49" i="52"/>
  <c r="H50" i="52"/>
  <c r="H51" i="52"/>
  <c r="H52" i="52"/>
  <c r="H53" i="52"/>
  <c r="H55" i="52"/>
  <c r="H56" i="52"/>
  <c r="H301" i="52"/>
  <c r="C18" i="19"/>
  <c r="E18" i="19"/>
  <c r="C34" i="17"/>
  <c r="C31" i="17"/>
  <c r="H12" i="10"/>
  <c r="C29" i="17"/>
  <c r="C25" i="17"/>
  <c r="H8" i="10"/>
  <c r="C24" i="17"/>
  <c r="F18" i="20"/>
  <c r="F17" i="20"/>
  <c r="F10" i="20"/>
  <c r="F9" i="20"/>
  <c r="F30" i="20"/>
  <c r="F35" i="20"/>
  <c r="F8" i="20"/>
  <c r="F44" i="20"/>
  <c r="F43" i="20"/>
  <c r="F51" i="20"/>
  <c r="F56" i="20"/>
  <c r="F50" i="20"/>
  <c r="F42" i="20"/>
  <c r="F7" i="20"/>
  <c r="D10" i="20"/>
  <c r="D9" i="20"/>
  <c r="D18" i="20"/>
  <c r="D17" i="20"/>
  <c r="D35" i="20"/>
  <c r="D8" i="20"/>
  <c r="D44" i="20"/>
  <c r="D43" i="20"/>
  <c r="D51" i="20"/>
  <c r="D56" i="20"/>
  <c r="D50" i="20"/>
  <c r="D42" i="20"/>
  <c r="D7" i="20"/>
  <c r="E10" i="20"/>
  <c r="E9" i="20"/>
  <c r="E18" i="20"/>
  <c r="E17" i="20"/>
  <c r="E35" i="20"/>
  <c r="E8" i="20"/>
  <c r="E44" i="20"/>
  <c r="E43" i="20"/>
  <c r="E51" i="20"/>
  <c r="E56" i="20"/>
  <c r="E50" i="20"/>
  <c r="E42" i="20"/>
  <c r="E7" i="20"/>
  <c r="G7" i="20"/>
  <c r="C22" i="17"/>
  <c r="C21" i="17"/>
  <c r="C23" i="17"/>
  <c r="K244" i="52"/>
  <c r="K262" i="52"/>
  <c r="K274" i="52"/>
  <c r="K275" i="52"/>
  <c r="K278" i="52"/>
  <c r="K290" i="52"/>
  <c r="K297" i="52"/>
  <c r="K298" i="52"/>
  <c r="K188" i="52"/>
  <c r="K206" i="52"/>
  <c r="K216" i="52"/>
  <c r="K217" i="52"/>
  <c r="K158" i="52"/>
  <c r="K168" i="52"/>
  <c r="K174" i="52"/>
  <c r="K175" i="52"/>
  <c r="K108" i="52"/>
  <c r="K116" i="52"/>
  <c r="K117" i="52"/>
  <c r="K120" i="52"/>
  <c r="K134" i="52"/>
  <c r="K135" i="52"/>
  <c r="K305" i="52"/>
  <c r="C26" i="17"/>
  <c r="C20" i="17"/>
  <c r="C14" i="17"/>
  <c r="C11" i="17"/>
  <c r="F6" i="32"/>
  <c r="C9" i="17"/>
  <c r="F5" i="32"/>
  <c r="F7" i="32"/>
  <c r="F8" i="32"/>
  <c r="F9" i="32"/>
  <c r="F10" i="32"/>
  <c r="F11" i="32"/>
  <c r="F12" i="32"/>
  <c r="F13" i="32"/>
  <c r="F14" i="32"/>
  <c r="F15" i="32"/>
  <c r="F16" i="32"/>
  <c r="F17" i="32"/>
  <c r="F18" i="32"/>
  <c r="F19" i="32"/>
  <c r="F20" i="32"/>
  <c r="F21" i="32"/>
  <c r="F22" i="32"/>
  <c r="F23" i="32"/>
  <c r="F24" i="32"/>
  <c r="F25" i="32"/>
  <c r="F26" i="32"/>
  <c r="F27" i="32"/>
  <c r="F28" i="32"/>
  <c r="F29" i="32"/>
  <c r="F30" i="32"/>
  <c r="F31" i="32"/>
  <c r="F32" i="32"/>
  <c r="F33" i="32"/>
  <c r="F34" i="32"/>
  <c r="F35" i="32"/>
  <c r="F36" i="32"/>
  <c r="F37" i="32"/>
  <c r="F38" i="32"/>
  <c r="F39" i="32"/>
  <c r="F40" i="32"/>
  <c r="F41" i="32"/>
  <c r="F42" i="32"/>
  <c r="F43" i="32"/>
  <c r="E43" i="32"/>
  <c r="D43" i="32"/>
  <c r="C43" i="32"/>
  <c r="H294" i="52"/>
  <c r="H295" i="52"/>
  <c r="H296" i="52"/>
  <c r="H297" i="52"/>
  <c r="H210" i="52"/>
  <c r="H211" i="52"/>
  <c r="H212" i="52"/>
  <c r="H213" i="52"/>
  <c r="H214" i="52"/>
  <c r="H215" i="52"/>
  <c r="H216" i="52"/>
  <c r="H172" i="52"/>
  <c r="H173" i="52"/>
  <c r="H174" i="52"/>
  <c r="H123" i="52"/>
  <c r="H124" i="52"/>
  <c r="H125" i="52"/>
  <c r="H126" i="52"/>
  <c r="H127" i="52"/>
  <c r="H128" i="52"/>
  <c r="H129" i="52"/>
  <c r="H130" i="52"/>
  <c r="H131" i="52"/>
  <c r="H132" i="52"/>
  <c r="H133" i="52"/>
  <c r="H134" i="52"/>
  <c r="H61" i="52"/>
  <c r="H62" i="52"/>
  <c r="H63" i="52"/>
  <c r="H64" i="52"/>
  <c r="H65" i="52"/>
  <c r="H66" i="52"/>
  <c r="H67" i="52"/>
  <c r="H68" i="52"/>
  <c r="H69" i="52"/>
  <c r="H70" i="52"/>
  <c r="H71" i="52"/>
  <c r="H72" i="52"/>
  <c r="H73" i="52"/>
  <c r="H74" i="52"/>
  <c r="H75" i="52"/>
  <c r="H76" i="52"/>
  <c r="H303" i="52"/>
  <c r="C12" i="19"/>
  <c r="E12" i="19"/>
  <c r="E10" i="19"/>
  <c r="E11" i="19"/>
  <c r="E13" i="19"/>
  <c r="E14" i="19"/>
  <c r="E15" i="19"/>
  <c r="E16" i="19"/>
  <c r="E17" i="19"/>
  <c r="E19" i="19"/>
  <c r="E20" i="19"/>
  <c r="E22" i="19"/>
  <c r="E7" i="19"/>
  <c r="D28" i="13"/>
  <c r="E39" i="19"/>
  <c r="E35" i="19"/>
  <c r="E33" i="19"/>
  <c r="E40" i="19"/>
  <c r="F16" i="11"/>
  <c r="F21" i="11"/>
  <c r="D9" i="55"/>
  <c r="D8" i="55"/>
  <c r="E9" i="55"/>
  <c r="E8" i="55"/>
  <c r="F9" i="55"/>
  <c r="F8" i="55"/>
  <c r="G8" i="55"/>
  <c r="G15" i="55"/>
  <c r="G10" i="55"/>
  <c r="G11" i="55"/>
  <c r="G12" i="55"/>
  <c r="G13" i="55"/>
  <c r="G14" i="55"/>
  <c r="G9" i="55"/>
  <c r="K16" i="41"/>
  <c r="K17" i="41"/>
  <c r="K18" i="41"/>
  <c r="G19" i="41"/>
  <c r="K19" i="41"/>
  <c r="K15" i="41"/>
  <c r="J16" i="41"/>
  <c r="J17" i="41"/>
  <c r="J18" i="41"/>
  <c r="J19" i="41"/>
  <c r="J15" i="41"/>
  <c r="I49" i="52"/>
  <c r="I50" i="52"/>
  <c r="I51" i="52"/>
  <c r="I52" i="52"/>
  <c r="I53" i="52"/>
  <c r="F49" i="52"/>
  <c r="F50" i="52"/>
  <c r="F51" i="52"/>
  <c r="F52" i="52"/>
  <c r="F53" i="52"/>
  <c r="I48" i="52"/>
  <c r="F48" i="52"/>
  <c r="J256" i="52"/>
  <c r="J257" i="52"/>
  <c r="J258" i="52"/>
  <c r="J259" i="52"/>
  <c r="J255" i="52"/>
  <c r="I248" i="52"/>
  <c r="I249" i="52"/>
  <c r="I250" i="52"/>
  <c r="I251" i="52"/>
  <c r="I252" i="52"/>
  <c r="I253" i="52"/>
  <c r="I254" i="52"/>
  <c r="I247" i="52"/>
  <c r="I198" i="52"/>
  <c r="F198" i="52"/>
  <c r="I199" i="52"/>
  <c r="F199" i="52"/>
  <c r="I200" i="52"/>
  <c r="F200" i="52"/>
  <c r="I197" i="52"/>
  <c r="F197" i="52"/>
  <c r="I162" i="52"/>
  <c r="I163" i="52"/>
  <c r="I164" i="52"/>
  <c r="I165" i="52"/>
  <c r="I166" i="52"/>
  <c r="I167" i="52"/>
  <c r="I161" i="52"/>
  <c r="I112" i="52"/>
  <c r="F112" i="52"/>
  <c r="I113" i="52"/>
  <c r="F113" i="52"/>
  <c r="I114" i="52"/>
  <c r="F114" i="52"/>
  <c r="I115" i="52"/>
  <c r="F115" i="52"/>
  <c r="F116" i="52"/>
  <c r="F117" i="52"/>
  <c r="I111" i="52"/>
  <c r="F111" i="52"/>
  <c r="F162" i="52"/>
  <c r="F163" i="52"/>
  <c r="F164" i="52"/>
  <c r="F165" i="52"/>
  <c r="F166" i="52"/>
  <c r="F167" i="52"/>
  <c r="F161" i="52"/>
  <c r="F248" i="52"/>
  <c r="F249" i="52"/>
  <c r="F250" i="52"/>
  <c r="F251" i="52"/>
  <c r="F252" i="52"/>
  <c r="F253" i="52"/>
  <c r="F256" i="52"/>
  <c r="F257" i="52"/>
  <c r="F258" i="52"/>
  <c r="F259" i="52"/>
  <c r="F247" i="52"/>
  <c r="F168" i="52"/>
  <c r="I210" i="52"/>
  <c r="F210" i="52"/>
  <c r="I261" i="52"/>
  <c r="I263" i="52"/>
  <c r="I266" i="52"/>
  <c r="I267" i="52"/>
  <c r="I268" i="52"/>
  <c r="I269" i="52"/>
  <c r="I270" i="52"/>
  <c r="I271" i="52"/>
  <c r="I275" i="52"/>
  <c r="I222" i="52"/>
  <c r="I223" i="52"/>
  <c r="I224" i="52"/>
  <c r="I225" i="52"/>
  <c r="I226" i="52"/>
  <c r="I227" i="52"/>
  <c r="I228" i="52"/>
  <c r="I229" i="52"/>
  <c r="I230" i="52"/>
  <c r="I231" i="52"/>
  <c r="I232" i="52"/>
  <c r="I233" i="52"/>
  <c r="I234" i="52"/>
  <c r="I235" i="52"/>
  <c r="I236" i="52"/>
  <c r="I237" i="52"/>
  <c r="I238" i="52"/>
  <c r="I242" i="52"/>
  <c r="I244" i="52"/>
  <c r="I279" i="52"/>
  <c r="I280" i="52"/>
  <c r="I290" i="52"/>
  <c r="I294" i="52"/>
  <c r="I295" i="52"/>
  <c r="I296" i="52"/>
  <c r="I297" i="52"/>
  <c r="I298" i="52"/>
  <c r="I206" i="52"/>
  <c r="I179" i="52"/>
  <c r="I180" i="52"/>
  <c r="I181" i="52"/>
  <c r="I182" i="52"/>
  <c r="I183" i="52"/>
  <c r="I184" i="52"/>
  <c r="I185" i="52"/>
  <c r="I186" i="52"/>
  <c r="I187" i="52"/>
  <c r="I188" i="52"/>
  <c r="I211" i="52"/>
  <c r="I212" i="52"/>
  <c r="I213" i="52"/>
  <c r="I214" i="52"/>
  <c r="I215" i="52"/>
  <c r="I216" i="52"/>
  <c r="I217" i="52"/>
  <c r="I168" i="52"/>
  <c r="I140" i="52"/>
  <c r="I141" i="52"/>
  <c r="I142" i="52"/>
  <c r="I143" i="52"/>
  <c r="I144" i="52"/>
  <c r="I145" i="52"/>
  <c r="I146" i="52"/>
  <c r="I147" i="52"/>
  <c r="I148" i="52"/>
  <c r="I149" i="52"/>
  <c r="I150" i="52"/>
  <c r="I151" i="52"/>
  <c r="I152" i="52"/>
  <c r="I153" i="52"/>
  <c r="I154" i="52"/>
  <c r="I158" i="52"/>
  <c r="I172" i="52"/>
  <c r="I173" i="52"/>
  <c r="I174" i="52"/>
  <c r="I175" i="52"/>
  <c r="I119" i="52"/>
  <c r="I120" i="52"/>
  <c r="I83" i="52"/>
  <c r="I84" i="52"/>
  <c r="I85" i="52"/>
  <c r="I86" i="52"/>
  <c r="I87" i="52"/>
  <c r="I88" i="52"/>
  <c r="I89" i="52"/>
  <c r="I90" i="52"/>
  <c r="I91" i="52"/>
  <c r="I92" i="52"/>
  <c r="I93" i="52"/>
  <c r="I94" i="52"/>
  <c r="I95" i="52"/>
  <c r="I96" i="52"/>
  <c r="I97" i="52"/>
  <c r="I98" i="52"/>
  <c r="I99" i="52"/>
  <c r="I100" i="52"/>
  <c r="I101" i="52"/>
  <c r="I103" i="52"/>
  <c r="I104" i="52"/>
  <c r="I105" i="52"/>
  <c r="I106" i="52"/>
  <c r="I107" i="52"/>
  <c r="I108" i="52"/>
  <c r="I123" i="52"/>
  <c r="I124" i="52"/>
  <c r="I125" i="52"/>
  <c r="I126" i="52"/>
  <c r="I127" i="52"/>
  <c r="I128" i="52"/>
  <c r="I129" i="52"/>
  <c r="I130" i="52"/>
  <c r="I131" i="52"/>
  <c r="I132" i="52"/>
  <c r="I133" i="52"/>
  <c r="I134" i="52"/>
  <c r="I135" i="52"/>
  <c r="I55" i="52"/>
  <c r="I56" i="52"/>
  <c r="I12" i="52"/>
  <c r="I13" i="52"/>
  <c r="I14" i="52"/>
  <c r="I15" i="52"/>
  <c r="I16" i="52"/>
  <c r="I17" i="52"/>
  <c r="I18" i="52"/>
  <c r="I19" i="52"/>
  <c r="I20" i="52"/>
  <c r="I21" i="52"/>
  <c r="I22" i="52"/>
  <c r="I23" i="52"/>
  <c r="I24" i="52"/>
  <c r="I25" i="52"/>
  <c r="I26" i="52"/>
  <c r="I27" i="52"/>
  <c r="I28" i="52"/>
  <c r="I29" i="52"/>
  <c r="I30" i="52"/>
  <c r="I31" i="52"/>
  <c r="I32" i="52"/>
  <c r="I33" i="52"/>
  <c r="I34" i="52"/>
  <c r="I35" i="52"/>
  <c r="I36" i="52"/>
  <c r="I37" i="52"/>
  <c r="I38" i="52"/>
  <c r="I39" i="52"/>
  <c r="I40" i="52"/>
  <c r="I41" i="52"/>
  <c r="I43" i="52"/>
  <c r="I45" i="52"/>
  <c r="I61" i="52"/>
  <c r="I62" i="52"/>
  <c r="I63" i="52"/>
  <c r="I64" i="52"/>
  <c r="I65" i="52"/>
  <c r="I66" i="52"/>
  <c r="I67" i="52"/>
  <c r="I68" i="52"/>
  <c r="I69" i="52"/>
  <c r="I70" i="52"/>
  <c r="I71" i="52"/>
  <c r="I72" i="52"/>
  <c r="I73" i="52"/>
  <c r="I74" i="52"/>
  <c r="I75" i="52"/>
  <c r="I76" i="52"/>
  <c r="I78" i="52"/>
  <c r="I305" i="52"/>
  <c r="J15" i="39"/>
  <c r="N15" i="39"/>
  <c r="J16" i="39"/>
  <c r="N16" i="39"/>
  <c r="J17" i="39"/>
  <c r="N17" i="39"/>
  <c r="J18" i="39"/>
  <c r="N18" i="39"/>
  <c r="J19" i="39"/>
  <c r="N19" i="39"/>
  <c r="J20" i="39"/>
  <c r="N20" i="39"/>
  <c r="J21" i="39"/>
  <c r="N21" i="39"/>
  <c r="J22" i="39"/>
  <c r="N22" i="39"/>
  <c r="J23" i="39"/>
  <c r="N23" i="39"/>
  <c r="N25" i="39"/>
  <c r="M298" i="52"/>
  <c r="N298" i="52"/>
  <c r="N15" i="41"/>
  <c r="N16" i="41"/>
  <c r="N17" i="41"/>
  <c r="N18" i="41"/>
  <c r="N19" i="41"/>
  <c r="N21" i="41"/>
  <c r="M217" i="52"/>
  <c r="N217" i="52"/>
  <c r="J15" i="40"/>
  <c r="N15" i="40"/>
  <c r="J16" i="40"/>
  <c r="N16" i="40"/>
  <c r="J17" i="40"/>
  <c r="N17" i="40"/>
  <c r="J18" i="40"/>
  <c r="N18" i="40"/>
  <c r="J19" i="40"/>
  <c r="N19" i="40"/>
  <c r="J20" i="40"/>
  <c r="N20" i="40"/>
  <c r="N22" i="40"/>
  <c r="M175" i="52"/>
  <c r="N175" i="52"/>
  <c r="J15" i="38"/>
  <c r="N15" i="38"/>
  <c r="J16" i="38"/>
  <c r="N16" i="38"/>
  <c r="J17" i="38"/>
  <c r="N17" i="38"/>
  <c r="J18" i="38"/>
  <c r="N18" i="38"/>
  <c r="J19" i="38"/>
  <c r="N19" i="38"/>
  <c r="J20" i="38"/>
  <c r="N20" i="38"/>
  <c r="J21" i="38"/>
  <c r="N21" i="38"/>
  <c r="J22" i="38"/>
  <c r="N22" i="38"/>
  <c r="J23" i="38"/>
  <c r="N23" i="38"/>
  <c r="J24" i="38"/>
  <c r="N24" i="38"/>
  <c r="N25" i="38"/>
  <c r="M135" i="52"/>
  <c r="N135" i="52"/>
  <c r="F55" i="52"/>
  <c r="F56" i="52"/>
  <c r="F12" i="52"/>
  <c r="F13" i="52"/>
  <c r="F14" i="52"/>
  <c r="F15" i="52"/>
  <c r="F16" i="52"/>
  <c r="F17" i="52"/>
  <c r="F18" i="52"/>
  <c r="F19" i="52"/>
  <c r="F20" i="52"/>
  <c r="F21" i="52"/>
  <c r="F22" i="52"/>
  <c r="F23" i="52"/>
  <c r="F24" i="52"/>
  <c r="F25" i="52"/>
  <c r="F26" i="52"/>
  <c r="F27" i="52"/>
  <c r="F28" i="52"/>
  <c r="F29" i="52"/>
  <c r="F30" i="52"/>
  <c r="F31" i="52"/>
  <c r="F32" i="52"/>
  <c r="F33" i="52"/>
  <c r="F34" i="52"/>
  <c r="F35" i="52"/>
  <c r="F36" i="52"/>
  <c r="F37" i="52"/>
  <c r="F38" i="52"/>
  <c r="F39" i="52"/>
  <c r="F40" i="52"/>
  <c r="F41" i="52"/>
  <c r="F43" i="52"/>
  <c r="F45" i="52"/>
  <c r="F61" i="52"/>
  <c r="F62" i="52"/>
  <c r="F63" i="52"/>
  <c r="F64" i="52"/>
  <c r="F65" i="52"/>
  <c r="F66" i="52"/>
  <c r="F67" i="52"/>
  <c r="F68" i="52"/>
  <c r="F69" i="52"/>
  <c r="F70" i="52"/>
  <c r="F71" i="52"/>
  <c r="F72" i="52"/>
  <c r="F73" i="52"/>
  <c r="F74" i="52"/>
  <c r="F75" i="52"/>
  <c r="F76" i="52"/>
  <c r="F78" i="52"/>
  <c r="F24" i="7"/>
  <c r="J14" i="7"/>
  <c r="J15" i="7"/>
  <c r="J16" i="7"/>
  <c r="J17" i="7"/>
  <c r="J18" i="7"/>
  <c r="J19" i="7"/>
  <c r="J20" i="7"/>
  <c r="J21" i="7"/>
  <c r="J22" i="7"/>
  <c r="J24" i="7"/>
  <c r="N24" i="7"/>
  <c r="M78" i="52"/>
  <c r="N78" i="52"/>
  <c r="N305" i="52"/>
  <c r="M305" i="52"/>
  <c r="C244" i="52"/>
  <c r="C275" i="52"/>
  <c r="C290" i="52"/>
  <c r="C297" i="52"/>
  <c r="C298" i="52"/>
  <c r="C188" i="52"/>
  <c r="C206" i="52"/>
  <c r="C216" i="52"/>
  <c r="C217" i="52"/>
  <c r="C158" i="52"/>
  <c r="C168" i="52"/>
  <c r="C174" i="52"/>
  <c r="C175" i="52"/>
  <c r="C108" i="52"/>
  <c r="C120" i="52"/>
  <c r="C134" i="52"/>
  <c r="C135" i="52"/>
  <c r="C45" i="52"/>
  <c r="C56" i="52"/>
  <c r="C76" i="52"/>
  <c r="C78" i="52"/>
  <c r="C305" i="52"/>
  <c r="C300" i="52"/>
  <c r="H15" i="10"/>
  <c r="H20" i="10"/>
  <c r="H27" i="10"/>
  <c r="D45" i="52"/>
  <c r="E45" i="52"/>
  <c r="G45" i="52"/>
  <c r="J45" i="52"/>
  <c r="K45" i="52"/>
  <c r="G14" i="7"/>
  <c r="H14" i="7"/>
  <c r="E14" i="7"/>
  <c r="G15" i="7"/>
  <c r="H15" i="7"/>
  <c r="E15" i="7"/>
  <c r="G16" i="7"/>
  <c r="H16" i="7"/>
  <c r="E16" i="7"/>
  <c r="G17" i="7"/>
  <c r="H17" i="7"/>
  <c r="E17" i="7"/>
  <c r="G18" i="7"/>
  <c r="H18" i="7"/>
  <c r="E18" i="7"/>
  <c r="G19" i="7"/>
  <c r="H19" i="7"/>
  <c r="E19" i="7"/>
  <c r="E20" i="7"/>
  <c r="G21" i="7"/>
  <c r="H21" i="7"/>
  <c r="E21" i="7"/>
  <c r="G22" i="7"/>
  <c r="H22" i="7"/>
  <c r="E22" i="7"/>
  <c r="E24" i="7"/>
  <c r="K15" i="7"/>
  <c r="K16" i="7"/>
  <c r="K17" i="7"/>
  <c r="K18" i="7"/>
  <c r="K19" i="7"/>
  <c r="K20" i="7"/>
  <c r="K21" i="7"/>
  <c r="K22" i="7"/>
  <c r="K14" i="7"/>
  <c r="E59" i="20"/>
  <c r="F59" i="20"/>
  <c r="G42" i="20"/>
  <c r="G8" i="20"/>
  <c r="G59" i="20"/>
  <c r="D59" i="20"/>
  <c r="G46" i="20"/>
  <c r="G47" i="20"/>
  <c r="G48" i="20"/>
  <c r="E108" i="52"/>
  <c r="E120" i="52"/>
  <c r="E134" i="52"/>
  <c r="E135" i="52"/>
  <c r="F83" i="52"/>
  <c r="F84" i="52"/>
  <c r="F85" i="52"/>
  <c r="F86" i="52"/>
  <c r="F87" i="52"/>
  <c r="F88" i="52"/>
  <c r="F89" i="52"/>
  <c r="F90" i="52"/>
  <c r="F91" i="52"/>
  <c r="F92" i="52"/>
  <c r="F93" i="52"/>
  <c r="F94" i="52"/>
  <c r="F95" i="52"/>
  <c r="F96" i="52"/>
  <c r="F97" i="52"/>
  <c r="F98" i="52"/>
  <c r="F99" i="52"/>
  <c r="F100" i="52"/>
  <c r="F101" i="52"/>
  <c r="F103" i="52"/>
  <c r="F105" i="52"/>
  <c r="F106" i="52"/>
  <c r="F107" i="52"/>
  <c r="F108" i="52"/>
  <c r="F119" i="52"/>
  <c r="F120" i="52"/>
  <c r="F123" i="52"/>
  <c r="F124" i="52"/>
  <c r="F125" i="52"/>
  <c r="F126" i="52"/>
  <c r="F127" i="52"/>
  <c r="F128" i="52"/>
  <c r="F129" i="52"/>
  <c r="F130" i="52"/>
  <c r="F131" i="52"/>
  <c r="F132" i="52"/>
  <c r="F133" i="52"/>
  <c r="F134" i="52"/>
  <c r="F135" i="52"/>
  <c r="G108" i="52"/>
  <c r="G120" i="52"/>
  <c r="G134" i="52"/>
  <c r="G135" i="52"/>
  <c r="H135" i="52"/>
  <c r="J108" i="52"/>
  <c r="J120" i="52"/>
  <c r="J134" i="52"/>
  <c r="J135" i="52"/>
  <c r="D134" i="52"/>
  <c r="D120" i="52"/>
  <c r="G15" i="38"/>
  <c r="H15" i="38"/>
  <c r="E15" i="38"/>
  <c r="G16" i="38"/>
  <c r="H16" i="38"/>
  <c r="E16" i="38"/>
  <c r="G17" i="38"/>
  <c r="H17" i="38"/>
  <c r="E17" i="38"/>
  <c r="G18" i="38"/>
  <c r="H18" i="38"/>
  <c r="E18" i="38"/>
  <c r="G19" i="38"/>
  <c r="H19" i="38"/>
  <c r="E19" i="38"/>
  <c r="G20" i="38"/>
  <c r="H20" i="38"/>
  <c r="E20" i="38"/>
  <c r="G21" i="38"/>
  <c r="H21" i="38"/>
  <c r="E21" i="38"/>
  <c r="G22" i="38"/>
  <c r="H22" i="38"/>
  <c r="E22" i="38"/>
  <c r="G24" i="38"/>
  <c r="H24" i="38"/>
  <c r="E24" i="38"/>
  <c r="E25" i="38"/>
  <c r="K16" i="38"/>
  <c r="K17" i="38"/>
  <c r="K18" i="38"/>
  <c r="K19" i="38"/>
  <c r="K20" i="38"/>
  <c r="K21" i="38"/>
  <c r="K22" i="38"/>
  <c r="K23" i="38"/>
  <c r="K24" i="38"/>
  <c r="K15" i="38"/>
  <c r="H23" i="38"/>
  <c r="G23" i="38"/>
  <c r="D244" i="52"/>
  <c r="D275" i="52"/>
  <c r="D290" i="52"/>
  <c r="D297" i="52"/>
  <c r="D298" i="52"/>
  <c r="E244" i="52"/>
  <c r="E275" i="52"/>
  <c r="E290" i="52"/>
  <c r="E297" i="52"/>
  <c r="E298" i="52"/>
  <c r="F222" i="52"/>
  <c r="F223" i="52"/>
  <c r="F224" i="52"/>
  <c r="F225" i="52"/>
  <c r="F226" i="52"/>
  <c r="F227" i="52"/>
  <c r="F228" i="52"/>
  <c r="F229" i="52"/>
  <c r="F230" i="52"/>
  <c r="F231" i="52"/>
  <c r="F232" i="52"/>
  <c r="F233" i="52"/>
  <c r="F234" i="52"/>
  <c r="F235" i="52"/>
  <c r="F236" i="52"/>
  <c r="F237" i="52"/>
  <c r="F238" i="52"/>
  <c r="F242" i="52"/>
  <c r="F244" i="52"/>
  <c r="F261" i="52"/>
  <c r="F262" i="52"/>
  <c r="F263" i="52"/>
  <c r="J264" i="52"/>
  <c r="F264" i="52"/>
  <c r="J265" i="52"/>
  <c r="F265" i="52"/>
  <c r="F266" i="52"/>
  <c r="F267" i="52"/>
  <c r="F268" i="52"/>
  <c r="F269" i="52"/>
  <c r="F270" i="52"/>
  <c r="F271" i="52"/>
  <c r="J272" i="52"/>
  <c r="F272" i="52"/>
  <c r="J273" i="52"/>
  <c r="F273" i="52"/>
  <c r="F274" i="52"/>
  <c r="F278" i="52"/>
  <c r="F279" i="52"/>
  <c r="F280" i="52"/>
  <c r="F284" i="52"/>
  <c r="F285" i="52"/>
  <c r="F287" i="52"/>
  <c r="F288" i="52"/>
  <c r="F289" i="52"/>
  <c r="F290" i="52"/>
  <c r="F294" i="52"/>
  <c r="F295" i="52"/>
  <c r="F296" i="52"/>
  <c r="F297" i="52"/>
  <c r="G244" i="52"/>
  <c r="G275" i="52"/>
  <c r="G290" i="52"/>
  <c r="G297" i="52"/>
  <c r="G298" i="52"/>
  <c r="H278" i="52"/>
  <c r="H279" i="52"/>
  <c r="H280" i="52"/>
  <c r="H290" i="52"/>
  <c r="H298" i="52"/>
  <c r="J244" i="52"/>
  <c r="J290" i="52"/>
  <c r="J297" i="52"/>
  <c r="G16" i="40"/>
  <c r="K16" i="40"/>
  <c r="K17" i="40"/>
  <c r="K18" i="40"/>
  <c r="K19" i="40"/>
  <c r="G20" i="40"/>
  <c r="K20" i="40"/>
  <c r="K15" i="40"/>
  <c r="G18" i="39"/>
  <c r="K18" i="39"/>
  <c r="G19" i="39"/>
  <c r="K19" i="39"/>
  <c r="G20" i="39"/>
  <c r="K20" i="39"/>
  <c r="K21" i="39"/>
  <c r="K22" i="39"/>
  <c r="K23" i="39"/>
  <c r="H16" i="39"/>
  <c r="L16" i="39"/>
  <c r="P16" i="39"/>
  <c r="G15" i="39"/>
  <c r="H15" i="39"/>
  <c r="E15" i="39"/>
  <c r="E16" i="39"/>
  <c r="G17" i="39"/>
  <c r="H17" i="39"/>
  <c r="E17" i="39"/>
  <c r="H18" i="39"/>
  <c r="E18" i="39"/>
  <c r="H19" i="39"/>
  <c r="E19" i="39"/>
  <c r="H20" i="39"/>
  <c r="E20" i="39"/>
  <c r="G21" i="39"/>
  <c r="H21" i="39"/>
  <c r="E21" i="39"/>
  <c r="E22" i="39"/>
  <c r="E23" i="39"/>
  <c r="E25" i="39"/>
  <c r="K16" i="39"/>
  <c r="K17" i="39"/>
  <c r="K15" i="39"/>
  <c r="I16" i="39"/>
  <c r="O16" i="39"/>
  <c r="M16" i="39"/>
  <c r="J158" i="52"/>
  <c r="D158" i="52"/>
  <c r="E158" i="52"/>
  <c r="F140" i="52"/>
  <c r="F141" i="52"/>
  <c r="F142" i="52"/>
  <c r="F143" i="52"/>
  <c r="F144" i="52"/>
  <c r="F145" i="52"/>
  <c r="F146" i="52"/>
  <c r="F147" i="52"/>
  <c r="F148" i="52"/>
  <c r="F149" i="52"/>
  <c r="F150" i="52"/>
  <c r="F151" i="52"/>
  <c r="F152" i="52"/>
  <c r="F153" i="52"/>
  <c r="F154" i="52"/>
  <c r="F158" i="52"/>
  <c r="G158" i="52"/>
  <c r="E21" i="11"/>
  <c r="D21" i="11"/>
  <c r="G9" i="20"/>
  <c r="G43" i="20"/>
  <c r="G12" i="20"/>
  <c r="G13" i="20"/>
  <c r="G14" i="20"/>
  <c r="G15" i="20"/>
  <c r="G16" i="20"/>
  <c r="G10" i="20"/>
  <c r="G22" i="20"/>
  <c r="G44" i="20"/>
  <c r="G45" i="20"/>
  <c r="G11" i="20"/>
  <c r="F365" i="53"/>
  <c r="F366" i="53"/>
  <c r="I355" i="53"/>
  <c r="F355" i="53"/>
  <c r="I356" i="53"/>
  <c r="F356" i="53"/>
  <c r="I357" i="53"/>
  <c r="F357" i="53"/>
  <c r="F359" i="53"/>
  <c r="F364" i="53"/>
  <c r="F367" i="53"/>
  <c r="I117" i="53"/>
  <c r="F117" i="53"/>
  <c r="F122" i="53"/>
  <c r="I123" i="53"/>
  <c r="F123" i="53"/>
  <c r="I124" i="53"/>
  <c r="F124" i="53"/>
  <c r="I83" i="53"/>
  <c r="F83" i="53"/>
  <c r="I22" i="53"/>
  <c r="F22" i="53"/>
  <c r="I31" i="53"/>
  <c r="F31" i="53"/>
  <c r="F27" i="53"/>
  <c r="I28" i="53"/>
  <c r="F28" i="53"/>
  <c r="I29" i="53"/>
  <c r="F29" i="53"/>
  <c r="I30" i="53"/>
  <c r="F30" i="53"/>
  <c r="I51" i="53"/>
  <c r="F51" i="53"/>
  <c r="I47" i="53"/>
  <c r="F47" i="53"/>
  <c r="F55" i="53"/>
  <c r="I56" i="53"/>
  <c r="F56" i="53"/>
  <c r="I57" i="53"/>
  <c r="F57" i="53"/>
  <c r="I54" i="53"/>
  <c r="F54" i="53"/>
  <c r="J321" i="53"/>
  <c r="J332" i="53"/>
  <c r="J333" i="53"/>
  <c r="J334" i="53"/>
  <c r="J335" i="53"/>
  <c r="J336" i="53"/>
  <c r="J341" i="53"/>
  <c r="J342" i="53"/>
  <c r="J349" i="53"/>
  <c r="J350" i="53"/>
  <c r="J352" i="53"/>
  <c r="J367" i="53"/>
  <c r="J374" i="53"/>
  <c r="J243" i="53"/>
  <c r="J262" i="53"/>
  <c r="J277" i="53"/>
  <c r="J278" i="53"/>
  <c r="J207" i="53"/>
  <c r="J217" i="53"/>
  <c r="J224" i="53"/>
  <c r="J225" i="53"/>
  <c r="J134" i="53"/>
  <c r="J150" i="53"/>
  <c r="J162" i="53"/>
  <c r="J184" i="53"/>
  <c r="J185" i="53"/>
  <c r="K321" i="53"/>
  <c r="K351" i="53"/>
  <c r="K352" i="53"/>
  <c r="K367" i="53"/>
  <c r="K374" i="53"/>
  <c r="K375" i="53"/>
  <c r="K243" i="53"/>
  <c r="K262" i="53"/>
  <c r="K277" i="53"/>
  <c r="K278" i="53"/>
  <c r="K207" i="53"/>
  <c r="K217" i="53"/>
  <c r="K224" i="53"/>
  <c r="K225" i="53"/>
  <c r="K150" i="53"/>
  <c r="K158" i="53"/>
  <c r="K159" i="53"/>
  <c r="K162" i="53"/>
  <c r="K184" i="53"/>
  <c r="I284" i="53"/>
  <c r="I285" i="53"/>
  <c r="I286" i="53"/>
  <c r="I288" i="53"/>
  <c r="I289" i="53"/>
  <c r="I291" i="53"/>
  <c r="I292" i="53"/>
  <c r="I293" i="53"/>
  <c r="I294" i="53"/>
  <c r="I296" i="53"/>
  <c r="I297" i="53"/>
  <c r="I298" i="53"/>
  <c r="I299" i="53"/>
  <c r="I300" i="53"/>
  <c r="I302" i="53"/>
  <c r="I303" i="53"/>
  <c r="I304" i="53"/>
  <c r="I305" i="53"/>
  <c r="I306" i="53"/>
  <c r="I307" i="53"/>
  <c r="I308" i="53"/>
  <c r="I309" i="53"/>
  <c r="I311" i="53"/>
  <c r="I312" i="53"/>
  <c r="I313" i="53"/>
  <c r="I314" i="53"/>
  <c r="I318" i="53"/>
  <c r="I319" i="53"/>
  <c r="I321" i="53"/>
  <c r="I324" i="53"/>
  <c r="I325" i="53"/>
  <c r="I326" i="53"/>
  <c r="I327" i="53"/>
  <c r="I328" i="53"/>
  <c r="I329" i="53"/>
  <c r="I330" i="53"/>
  <c r="I331" i="53"/>
  <c r="I338" i="53"/>
  <c r="I340" i="53"/>
  <c r="I343" i="53"/>
  <c r="I344" i="53"/>
  <c r="I345" i="53"/>
  <c r="I346" i="53"/>
  <c r="I347" i="53"/>
  <c r="I348" i="53"/>
  <c r="I349" i="53"/>
  <c r="I350" i="53"/>
  <c r="I352" i="53"/>
  <c r="I367" i="53"/>
  <c r="I379" i="53"/>
  <c r="I371" i="53"/>
  <c r="I372" i="53"/>
  <c r="I373" i="53"/>
  <c r="I374" i="53"/>
  <c r="I230" i="53"/>
  <c r="I232" i="53"/>
  <c r="I234" i="53"/>
  <c r="I235" i="53"/>
  <c r="I237" i="53"/>
  <c r="I238" i="53"/>
  <c r="I239" i="53"/>
  <c r="I241" i="53"/>
  <c r="I242" i="53"/>
  <c r="I243" i="53"/>
  <c r="F242" i="53"/>
  <c r="I253" i="53"/>
  <c r="I254" i="53"/>
  <c r="I255" i="53"/>
  <c r="I256" i="53"/>
  <c r="I262" i="53"/>
  <c r="I267" i="53"/>
  <c r="I269" i="53"/>
  <c r="I270" i="53"/>
  <c r="I272" i="53"/>
  <c r="I274" i="53"/>
  <c r="I276" i="53"/>
  <c r="I277" i="53"/>
  <c r="I191" i="53"/>
  <c r="I193" i="53"/>
  <c r="I195" i="53"/>
  <c r="I197" i="53"/>
  <c r="I198" i="53"/>
  <c r="I200" i="53"/>
  <c r="I201" i="53"/>
  <c r="I202" i="53"/>
  <c r="I204" i="53"/>
  <c r="I205" i="53"/>
  <c r="I206" i="53"/>
  <c r="I207" i="53"/>
  <c r="I210" i="53"/>
  <c r="I211" i="53"/>
  <c r="I212" i="53"/>
  <c r="I213" i="53"/>
  <c r="I214" i="53"/>
  <c r="I215" i="53"/>
  <c r="I216" i="53"/>
  <c r="I217" i="53"/>
  <c r="I222" i="53"/>
  <c r="I223" i="53"/>
  <c r="I224" i="53"/>
  <c r="I111" i="53"/>
  <c r="I112" i="53"/>
  <c r="I114" i="53"/>
  <c r="I115" i="53"/>
  <c r="I116" i="53"/>
  <c r="I119" i="53"/>
  <c r="I121" i="53"/>
  <c r="I126" i="53"/>
  <c r="I127" i="53"/>
  <c r="I129" i="53"/>
  <c r="I130" i="53"/>
  <c r="I132" i="53"/>
  <c r="I133" i="53"/>
  <c r="I135" i="53"/>
  <c r="I136" i="53"/>
  <c r="I137" i="53"/>
  <c r="I138" i="53"/>
  <c r="I139" i="53"/>
  <c r="I141" i="53"/>
  <c r="I143" i="53"/>
  <c r="I145" i="53"/>
  <c r="I146" i="53"/>
  <c r="I147" i="53"/>
  <c r="H148" i="53"/>
  <c r="I148" i="53"/>
  <c r="I149" i="53"/>
  <c r="I153" i="53"/>
  <c r="I154" i="53"/>
  <c r="I155" i="53"/>
  <c r="I156" i="53"/>
  <c r="I157" i="53"/>
  <c r="I161" i="53"/>
  <c r="I162" i="53"/>
  <c r="I166" i="53"/>
  <c r="I168" i="53"/>
  <c r="I170" i="53"/>
  <c r="I172" i="53"/>
  <c r="I174" i="53"/>
  <c r="I176" i="53"/>
  <c r="I178" i="53"/>
  <c r="I179" i="53"/>
  <c r="I181" i="53"/>
  <c r="I182" i="53"/>
  <c r="I183" i="53"/>
  <c r="I184" i="53"/>
  <c r="I13" i="53"/>
  <c r="F13" i="53"/>
  <c r="I53" i="53"/>
  <c r="F53" i="53"/>
  <c r="I15" i="53"/>
  <c r="F15" i="53"/>
  <c r="I16" i="53"/>
  <c r="F16" i="53"/>
  <c r="I17" i="53"/>
  <c r="F17" i="53"/>
  <c r="I40" i="53"/>
  <c r="F40" i="53"/>
  <c r="I21" i="53"/>
  <c r="F21" i="53"/>
  <c r="I24" i="53"/>
  <c r="F24" i="53"/>
  <c r="I26" i="53"/>
  <c r="F26" i="53"/>
  <c r="I32" i="53"/>
  <c r="F32" i="53"/>
  <c r="I44" i="53"/>
  <c r="F44" i="53"/>
  <c r="I34" i="53"/>
  <c r="F34" i="53"/>
  <c r="I35" i="53"/>
  <c r="F35" i="53"/>
  <c r="I37" i="53"/>
  <c r="F37" i="53"/>
  <c r="I25" i="53"/>
  <c r="F25" i="53"/>
  <c r="I43" i="53"/>
  <c r="F43" i="53"/>
  <c r="I46" i="53"/>
  <c r="F46" i="53"/>
  <c r="I20" i="53"/>
  <c r="F20" i="53"/>
  <c r="I38" i="53"/>
  <c r="F38" i="53"/>
  <c r="I48" i="53"/>
  <c r="F48" i="53"/>
  <c r="I49" i="53"/>
  <c r="F49" i="53"/>
  <c r="I50" i="53"/>
  <c r="F50" i="53"/>
  <c r="I14" i="53"/>
  <c r="F14" i="53"/>
  <c r="I33" i="53"/>
  <c r="F33" i="53"/>
  <c r="I41" i="53"/>
  <c r="F41" i="53"/>
  <c r="I42" i="53"/>
  <c r="F42" i="53"/>
  <c r="I19" i="53"/>
  <c r="F19" i="53"/>
  <c r="I58" i="53"/>
  <c r="F58" i="53"/>
  <c r="I59" i="53"/>
  <c r="F59" i="53"/>
  <c r="I61" i="53"/>
  <c r="F61" i="53"/>
  <c r="I66" i="53"/>
  <c r="F66" i="53"/>
  <c r="I67" i="53"/>
  <c r="F67" i="53"/>
  <c r="I68" i="53"/>
  <c r="F68" i="53"/>
  <c r="I69" i="53"/>
  <c r="F69" i="53"/>
  <c r="I70" i="53"/>
  <c r="F70" i="53"/>
  <c r="I71" i="53"/>
  <c r="F71" i="53"/>
  <c r="I73" i="53"/>
  <c r="F73" i="53"/>
  <c r="F74" i="53"/>
  <c r="I80" i="53"/>
  <c r="F80" i="53"/>
  <c r="I82" i="53"/>
  <c r="F82" i="53"/>
  <c r="I85" i="53"/>
  <c r="F85" i="53"/>
  <c r="I86" i="53"/>
  <c r="F86" i="53"/>
  <c r="I87" i="53"/>
  <c r="F87" i="53"/>
  <c r="I89" i="53"/>
  <c r="F89" i="53"/>
  <c r="I91" i="53"/>
  <c r="F91" i="53"/>
  <c r="I92" i="53"/>
  <c r="F92" i="53"/>
  <c r="I94" i="53"/>
  <c r="F94" i="53"/>
  <c r="I95" i="53"/>
  <c r="F95" i="53"/>
  <c r="I96" i="53"/>
  <c r="F96" i="53"/>
  <c r="I98" i="53"/>
  <c r="F98" i="53"/>
  <c r="I100" i="53"/>
  <c r="F100" i="53"/>
  <c r="I102" i="53"/>
  <c r="F102" i="53"/>
  <c r="I63" i="53"/>
  <c r="I74" i="53"/>
  <c r="I103" i="53"/>
  <c r="I105" i="53"/>
  <c r="H284" i="53"/>
  <c r="H285" i="53"/>
  <c r="H286" i="53"/>
  <c r="H288" i="53"/>
  <c r="H289" i="53"/>
  <c r="H291" i="53"/>
  <c r="H292" i="53"/>
  <c r="H293" i="53"/>
  <c r="H294" i="53"/>
  <c r="H296" i="53"/>
  <c r="H297" i="53"/>
  <c r="H298" i="53"/>
  <c r="H299" i="53"/>
  <c r="H300" i="53"/>
  <c r="H302" i="53"/>
  <c r="H303" i="53"/>
  <c r="H304" i="53"/>
  <c r="H305" i="53"/>
  <c r="H306" i="53"/>
  <c r="H307" i="53"/>
  <c r="H308" i="53"/>
  <c r="H309" i="53"/>
  <c r="H311" i="53"/>
  <c r="H312" i="53"/>
  <c r="H313" i="53"/>
  <c r="H314" i="53"/>
  <c r="H318" i="53"/>
  <c r="H319" i="53"/>
  <c r="H321" i="53"/>
  <c r="H324" i="53"/>
  <c r="H325" i="53"/>
  <c r="H326" i="53"/>
  <c r="H327" i="53"/>
  <c r="H328" i="53"/>
  <c r="H329" i="53"/>
  <c r="H330" i="53"/>
  <c r="H331" i="53"/>
  <c r="H332" i="53"/>
  <c r="H333" i="53"/>
  <c r="H334" i="53"/>
  <c r="H335" i="53"/>
  <c r="H336" i="53"/>
  <c r="H338" i="53"/>
  <c r="H339" i="53"/>
  <c r="H340" i="53"/>
  <c r="H341" i="53"/>
  <c r="H342" i="53"/>
  <c r="H343" i="53"/>
  <c r="H344" i="53"/>
  <c r="H345" i="53"/>
  <c r="H346" i="53"/>
  <c r="H347" i="53"/>
  <c r="H348" i="53"/>
  <c r="H349" i="53"/>
  <c r="H350" i="53"/>
  <c r="H351" i="53"/>
  <c r="H352" i="53"/>
  <c r="H355" i="53"/>
  <c r="H356" i="53"/>
  <c r="H357" i="53"/>
  <c r="H367" i="53"/>
  <c r="H379" i="53"/>
  <c r="H371" i="53"/>
  <c r="H372" i="53"/>
  <c r="H373" i="53"/>
  <c r="H374" i="53"/>
  <c r="H230" i="53"/>
  <c r="H232" i="53"/>
  <c r="H234" i="53"/>
  <c r="H235" i="53"/>
  <c r="H237" i="53"/>
  <c r="H238" i="53"/>
  <c r="H239" i="53"/>
  <c r="H241" i="53"/>
  <c r="H242" i="53"/>
  <c r="H243" i="53"/>
  <c r="H253" i="53"/>
  <c r="H254" i="53"/>
  <c r="H255" i="53"/>
  <c r="H256" i="53"/>
  <c r="H262" i="53"/>
  <c r="H267" i="53"/>
  <c r="H269" i="53"/>
  <c r="H270" i="53"/>
  <c r="H272" i="53"/>
  <c r="H274" i="53"/>
  <c r="H276" i="53"/>
  <c r="H277" i="53"/>
  <c r="H191" i="53"/>
  <c r="H193" i="53"/>
  <c r="H195" i="53"/>
  <c r="H197" i="53"/>
  <c r="H198" i="53"/>
  <c r="H200" i="53"/>
  <c r="H201" i="53"/>
  <c r="H202" i="53"/>
  <c r="H204" i="53"/>
  <c r="H205" i="53"/>
  <c r="H206" i="53"/>
  <c r="H207" i="53"/>
  <c r="H210" i="53"/>
  <c r="H211" i="53"/>
  <c r="H212" i="53"/>
  <c r="H213" i="53"/>
  <c r="H214" i="53"/>
  <c r="H215" i="53"/>
  <c r="H216" i="53"/>
  <c r="H217" i="53"/>
  <c r="H222" i="53"/>
  <c r="H223" i="53"/>
  <c r="H224" i="53"/>
  <c r="H111" i="53"/>
  <c r="H112" i="53"/>
  <c r="H114" i="53"/>
  <c r="H115" i="53"/>
  <c r="H116" i="53"/>
  <c r="H119" i="53"/>
  <c r="H121" i="53"/>
  <c r="H126" i="53"/>
  <c r="H127" i="53"/>
  <c r="H129" i="53"/>
  <c r="H130" i="53"/>
  <c r="H132" i="53"/>
  <c r="H123" i="53"/>
  <c r="H124" i="53"/>
  <c r="H133" i="53"/>
  <c r="H134" i="53"/>
  <c r="H135" i="53"/>
  <c r="H136" i="53"/>
  <c r="H117" i="53"/>
  <c r="H137" i="53"/>
  <c r="H138" i="53"/>
  <c r="H139" i="53"/>
  <c r="H141" i="53"/>
  <c r="H143" i="53"/>
  <c r="H144" i="53"/>
  <c r="H145" i="53"/>
  <c r="H146" i="53"/>
  <c r="H147" i="53"/>
  <c r="H149" i="53"/>
  <c r="H150" i="53"/>
  <c r="H153" i="53"/>
  <c r="H154" i="53"/>
  <c r="H155" i="53"/>
  <c r="H156" i="53"/>
  <c r="H157" i="53"/>
  <c r="H158" i="53"/>
  <c r="H159" i="53"/>
  <c r="H161" i="53"/>
  <c r="H162" i="53"/>
  <c r="H166" i="53"/>
  <c r="H168" i="53"/>
  <c r="H170" i="53"/>
  <c r="H172" i="53"/>
  <c r="H174" i="53"/>
  <c r="H176" i="53"/>
  <c r="H178" i="53"/>
  <c r="H179" i="53"/>
  <c r="H181" i="53"/>
  <c r="H182" i="53"/>
  <c r="H183" i="53"/>
  <c r="H184" i="53"/>
  <c r="H13" i="53"/>
  <c r="H53" i="53"/>
  <c r="H15" i="53"/>
  <c r="H16" i="53"/>
  <c r="H17" i="53"/>
  <c r="H40" i="53"/>
  <c r="H21" i="53"/>
  <c r="H24" i="53"/>
  <c r="H26" i="53"/>
  <c r="H31" i="53"/>
  <c r="H32" i="53"/>
  <c r="H44" i="53"/>
  <c r="H34" i="53"/>
  <c r="H35" i="53"/>
  <c r="H37" i="53"/>
  <c r="H25" i="53"/>
  <c r="H43" i="53"/>
  <c r="H54" i="53"/>
  <c r="H46" i="53"/>
  <c r="H20" i="53"/>
  <c r="H38" i="53"/>
  <c r="H48" i="53"/>
  <c r="H49" i="53"/>
  <c r="H50" i="53"/>
  <c r="H51" i="53"/>
  <c r="H56" i="53"/>
  <c r="H47" i="53"/>
  <c r="H14" i="53"/>
  <c r="H33" i="53"/>
  <c r="H41" i="53"/>
  <c r="H42" i="53"/>
  <c r="H19" i="53"/>
  <c r="H58" i="53"/>
  <c r="H22" i="53"/>
  <c r="H28" i="53"/>
  <c r="H29" i="53"/>
  <c r="H30" i="53"/>
  <c r="H57" i="53"/>
  <c r="H59" i="53"/>
  <c r="H61" i="53"/>
  <c r="H63" i="53"/>
  <c r="H66" i="53"/>
  <c r="H67" i="53"/>
  <c r="H68" i="53"/>
  <c r="H69" i="53"/>
  <c r="H70" i="53"/>
  <c r="H71" i="53"/>
  <c r="H73" i="53"/>
  <c r="H74" i="53"/>
  <c r="H80" i="53"/>
  <c r="H82" i="53"/>
  <c r="H83" i="53"/>
  <c r="H85" i="53"/>
  <c r="H86" i="53"/>
  <c r="H87" i="53"/>
  <c r="H89" i="53"/>
  <c r="H91" i="53"/>
  <c r="H92" i="53"/>
  <c r="H94" i="53"/>
  <c r="H95" i="53"/>
  <c r="H96" i="53"/>
  <c r="H98" i="53"/>
  <c r="H100" i="53"/>
  <c r="H102" i="53"/>
  <c r="H103" i="53"/>
  <c r="G321" i="53"/>
  <c r="G352" i="53"/>
  <c r="G367" i="53"/>
  <c r="G374" i="53"/>
  <c r="G375" i="53"/>
  <c r="G243" i="53"/>
  <c r="G262" i="53"/>
  <c r="G277" i="53"/>
  <c r="G278" i="53"/>
  <c r="G207" i="53"/>
  <c r="G217" i="53"/>
  <c r="G224" i="53"/>
  <c r="G225" i="53"/>
  <c r="G150" i="53"/>
  <c r="G162" i="53"/>
  <c r="G184" i="53"/>
  <c r="G185" i="53"/>
  <c r="G63" i="53"/>
  <c r="G74" i="53"/>
  <c r="G103" i="53"/>
  <c r="G105" i="53"/>
  <c r="F284" i="53"/>
  <c r="F285" i="53"/>
  <c r="F286" i="53"/>
  <c r="F288" i="53"/>
  <c r="F289" i="53"/>
  <c r="F291" i="53"/>
  <c r="F292" i="53"/>
  <c r="F293" i="53"/>
  <c r="F294" i="53"/>
  <c r="F296" i="53"/>
  <c r="F297" i="53"/>
  <c r="F298" i="53"/>
  <c r="F299" i="53"/>
  <c r="F300" i="53"/>
  <c r="F302" i="53"/>
  <c r="F303" i="53"/>
  <c r="F304" i="53"/>
  <c r="F305" i="53"/>
  <c r="F306" i="53"/>
  <c r="F307" i="53"/>
  <c r="F308" i="53"/>
  <c r="F309" i="53"/>
  <c r="F311" i="53"/>
  <c r="F312" i="53"/>
  <c r="F313" i="53"/>
  <c r="F314" i="53"/>
  <c r="F318" i="53"/>
  <c r="F319" i="53"/>
  <c r="F321" i="53"/>
  <c r="F324" i="53"/>
  <c r="F325" i="53"/>
  <c r="F326" i="53"/>
  <c r="F327" i="53"/>
  <c r="F328" i="53"/>
  <c r="F329" i="53"/>
  <c r="F330" i="53"/>
  <c r="F331" i="53"/>
  <c r="F332" i="53"/>
  <c r="F333" i="53"/>
  <c r="F334" i="53"/>
  <c r="F335" i="53"/>
  <c r="F336" i="53"/>
  <c r="F338" i="53"/>
  <c r="F339" i="53"/>
  <c r="F340" i="53"/>
  <c r="F341" i="53"/>
  <c r="F342" i="53"/>
  <c r="F343" i="53"/>
  <c r="F344" i="53"/>
  <c r="F345" i="53"/>
  <c r="F346" i="53"/>
  <c r="F347" i="53"/>
  <c r="F348" i="53"/>
  <c r="F349" i="53"/>
  <c r="F350" i="53"/>
  <c r="F351" i="53"/>
  <c r="F352" i="53"/>
  <c r="F379" i="53"/>
  <c r="F371" i="53"/>
  <c r="F372" i="53"/>
  <c r="F373" i="53"/>
  <c r="F374" i="53"/>
  <c r="F230" i="53"/>
  <c r="F232" i="53"/>
  <c r="F234" i="53"/>
  <c r="F235" i="53"/>
  <c r="F237" i="53"/>
  <c r="F238" i="53"/>
  <c r="F239" i="53"/>
  <c r="F241" i="53"/>
  <c r="F243" i="53"/>
  <c r="F253" i="53"/>
  <c r="F254" i="53"/>
  <c r="F255" i="53"/>
  <c r="F256" i="53"/>
  <c r="F262" i="53"/>
  <c r="F267" i="53"/>
  <c r="F269" i="53"/>
  <c r="F270" i="53"/>
  <c r="F272" i="53"/>
  <c r="F274" i="53"/>
  <c r="F276" i="53"/>
  <c r="F277" i="53"/>
  <c r="F191" i="53"/>
  <c r="F193" i="53"/>
  <c r="F195" i="53"/>
  <c r="F197" i="53"/>
  <c r="F198" i="53"/>
  <c r="F200" i="53"/>
  <c r="F201" i="53"/>
  <c r="F202" i="53"/>
  <c r="F204" i="53"/>
  <c r="F205" i="53"/>
  <c r="F206" i="53"/>
  <c r="F207" i="53"/>
  <c r="F210" i="53"/>
  <c r="F211" i="53"/>
  <c r="F212" i="53"/>
  <c r="F213" i="53"/>
  <c r="F214" i="53"/>
  <c r="F215" i="53"/>
  <c r="F216" i="53"/>
  <c r="F217" i="53"/>
  <c r="F222" i="53"/>
  <c r="F223" i="53"/>
  <c r="F224" i="53"/>
  <c r="F111" i="53"/>
  <c r="F112" i="53"/>
  <c r="F114" i="53"/>
  <c r="F115" i="53"/>
  <c r="F116" i="53"/>
  <c r="F119" i="53"/>
  <c r="F121" i="53"/>
  <c r="F126" i="53"/>
  <c r="F127" i="53"/>
  <c r="F129" i="53"/>
  <c r="F130" i="53"/>
  <c r="F132" i="53"/>
  <c r="F133" i="53"/>
  <c r="F134" i="53"/>
  <c r="F135" i="53"/>
  <c r="F136" i="53"/>
  <c r="F137" i="53"/>
  <c r="F138" i="53"/>
  <c r="F139" i="53"/>
  <c r="F141" i="53"/>
  <c r="F143" i="53"/>
  <c r="F145" i="53"/>
  <c r="F147" i="53"/>
  <c r="F149" i="53"/>
  <c r="F153" i="53"/>
  <c r="F154" i="53"/>
  <c r="F155" i="53"/>
  <c r="F156" i="53"/>
  <c r="F157" i="53"/>
  <c r="F158" i="53"/>
  <c r="F159" i="53"/>
  <c r="F161" i="53"/>
  <c r="F162" i="53"/>
  <c r="F166" i="53"/>
  <c r="F168" i="53"/>
  <c r="F170" i="53"/>
  <c r="F172" i="53"/>
  <c r="F174" i="53"/>
  <c r="F176" i="53"/>
  <c r="F178" i="53"/>
  <c r="F179" i="53"/>
  <c r="F181" i="53"/>
  <c r="F182" i="53"/>
  <c r="F183" i="53"/>
  <c r="F184" i="53"/>
  <c r="E321" i="53"/>
  <c r="E352" i="53"/>
  <c r="E367" i="53"/>
  <c r="E374" i="53"/>
  <c r="E375" i="53"/>
  <c r="E277" i="53"/>
  <c r="E224" i="53"/>
  <c r="E184" i="53"/>
  <c r="E103" i="53"/>
  <c r="E380" i="53"/>
  <c r="E243" i="53"/>
  <c r="E262" i="53"/>
  <c r="E278" i="53"/>
  <c r="E207" i="53"/>
  <c r="E217" i="53"/>
  <c r="E225" i="53"/>
  <c r="E150" i="53"/>
  <c r="E162" i="53"/>
  <c r="E185" i="53"/>
  <c r="E63" i="53"/>
  <c r="E74" i="53"/>
  <c r="E105" i="53"/>
  <c r="D321" i="53"/>
  <c r="D352" i="53"/>
  <c r="D367" i="53"/>
  <c r="D374" i="53"/>
  <c r="D375" i="53"/>
  <c r="D243" i="53"/>
  <c r="D262" i="53"/>
  <c r="D277" i="53"/>
  <c r="D278" i="53"/>
  <c r="D207" i="53"/>
  <c r="D217" i="53"/>
  <c r="D224" i="53"/>
  <c r="D225" i="53"/>
  <c r="D150" i="53"/>
  <c r="D162" i="53"/>
  <c r="D184" i="53"/>
  <c r="D185" i="53"/>
  <c r="D63" i="53"/>
  <c r="D74" i="53"/>
  <c r="D103" i="53"/>
  <c r="D105" i="53"/>
  <c r="C321" i="53"/>
  <c r="C352" i="53"/>
  <c r="C367" i="53"/>
  <c r="C374" i="53"/>
  <c r="C375" i="53"/>
  <c r="C277" i="53"/>
  <c r="C224" i="53"/>
  <c r="C184" i="53"/>
  <c r="C103" i="53"/>
  <c r="C380" i="53"/>
  <c r="C243" i="53"/>
  <c r="C262" i="53"/>
  <c r="C278" i="53"/>
  <c r="C217" i="53"/>
  <c r="C162" i="53"/>
  <c r="C74" i="53"/>
  <c r="C378" i="53"/>
  <c r="C207" i="53"/>
  <c r="C225" i="53"/>
  <c r="C150" i="53"/>
  <c r="C185" i="53"/>
  <c r="C63" i="53"/>
  <c r="C105" i="53"/>
  <c r="K380" i="53"/>
  <c r="J380" i="53"/>
  <c r="G380" i="53"/>
  <c r="D380" i="53"/>
  <c r="K379" i="53"/>
  <c r="J379" i="53"/>
  <c r="G379" i="53"/>
  <c r="E379" i="53"/>
  <c r="D379" i="53"/>
  <c r="C379" i="53"/>
  <c r="G378" i="53"/>
  <c r="E378" i="53"/>
  <c r="D378" i="53"/>
  <c r="P377" i="53"/>
  <c r="O377" i="53"/>
  <c r="N377" i="53"/>
  <c r="M377" i="53"/>
  <c r="L377" i="53"/>
  <c r="K63" i="53"/>
  <c r="K377" i="53"/>
  <c r="J63" i="53"/>
  <c r="J377" i="53"/>
  <c r="G377" i="53"/>
  <c r="E377" i="53"/>
  <c r="D377" i="53"/>
  <c r="C377" i="53"/>
  <c r="I77" i="53"/>
  <c r="F77" i="53"/>
  <c r="H77" i="53"/>
  <c r="I76" i="53"/>
  <c r="F76" i="53"/>
  <c r="H76" i="53"/>
  <c r="I75" i="53"/>
  <c r="H75" i="53"/>
  <c r="F75" i="53"/>
  <c r="I65" i="53"/>
  <c r="F65" i="53"/>
  <c r="H65" i="53"/>
  <c r="G17" i="20"/>
  <c r="G21" i="20"/>
  <c r="G25" i="20"/>
  <c r="G26" i="20"/>
  <c r="G27" i="20"/>
  <c r="G28" i="20"/>
  <c r="G30" i="20"/>
  <c r="G29" i="20"/>
  <c r="N14" i="7"/>
  <c r="N15" i="7"/>
  <c r="N16" i="7"/>
  <c r="N18" i="7"/>
  <c r="N19" i="7"/>
  <c r="N20" i="7"/>
  <c r="N21" i="7"/>
  <c r="N22" i="7"/>
  <c r="F187" i="52"/>
  <c r="C13" i="17"/>
  <c r="C17" i="17"/>
  <c r="C19" i="17"/>
  <c r="C38" i="17"/>
  <c r="C35" i="17"/>
  <c r="J188" i="52"/>
  <c r="J206" i="52"/>
  <c r="J216" i="52"/>
  <c r="J217" i="52"/>
  <c r="J168" i="52"/>
  <c r="J174" i="52"/>
  <c r="J175" i="52"/>
  <c r="D188" i="52"/>
  <c r="D108" i="52"/>
  <c r="D300" i="52"/>
  <c r="E188" i="52"/>
  <c r="E300" i="52"/>
  <c r="F179" i="52"/>
  <c r="F180" i="52"/>
  <c r="F181" i="52"/>
  <c r="F182" i="52"/>
  <c r="F183" i="52"/>
  <c r="F184" i="52"/>
  <c r="F185" i="52"/>
  <c r="F186" i="52"/>
  <c r="F188" i="52"/>
  <c r="G188" i="52"/>
  <c r="G300" i="52"/>
  <c r="K300" i="52"/>
  <c r="C301" i="52"/>
  <c r="C303" i="52"/>
  <c r="C302" i="52"/>
  <c r="D216" i="52"/>
  <c r="D174" i="52"/>
  <c r="D76" i="52"/>
  <c r="D303" i="52"/>
  <c r="F211" i="52"/>
  <c r="F212" i="52"/>
  <c r="F213" i="52"/>
  <c r="F214" i="52"/>
  <c r="F215" i="52"/>
  <c r="F216" i="52"/>
  <c r="F172" i="52"/>
  <c r="F173" i="52"/>
  <c r="F174" i="52"/>
  <c r="G174" i="52"/>
  <c r="G216" i="52"/>
  <c r="G76" i="52"/>
  <c r="G303" i="52"/>
  <c r="J303" i="52"/>
  <c r="K303" i="52"/>
  <c r="E174" i="52"/>
  <c r="E216" i="52"/>
  <c r="E76" i="52"/>
  <c r="E303" i="52"/>
  <c r="E56" i="52"/>
  <c r="E78" i="52"/>
  <c r="E206" i="52"/>
  <c r="E217" i="52"/>
  <c r="E168" i="52"/>
  <c r="E175" i="52"/>
  <c r="D206" i="52"/>
  <c r="D217" i="52"/>
  <c r="D168" i="52"/>
  <c r="D175" i="52"/>
  <c r="D135" i="52"/>
  <c r="D56" i="52"/>
  <c r="D78" i="52"/>
  <c r="F206" i="52"/>
  <c r="G206" i="52"/>
  <c r="G217" i="52"/>
  <c r="G168" i="52"/>
  <c r="G175" i="52"/>
  <c r="G56" i="52"/>
  <c r="G78" i="52"/>
  <c r="H78" i="52"/>
  <c r="H217" i="52"/>
  <c r="H175" i="52"/>
  <c r="F25" i="39"/>
  <c r="L375" i="53"/>
  <c r="L298" i="52"/>
  <c r="F21" i="41"/>
  <c r="L278" i="53"/>
  <c r="F22" i="40"/>
  <c r="L225" i="53"/>
  <c r="L175" i="52"/>
  <c r="F25" i="38"/>
  <c r="L185" i="53"/>
  <c r="L78" i="52"/>
  <c r="O15" i="39"/>
  <c r="O17" i="39"/>
  <c r="O20" i="39"/>
  <c r="O21" i="39"/>
  <c r="O22" i="39"/>
  <c r="O23" i="39"/>
  <c r="G15" i="41"/>
  <c r="O15" i="41"/>
  <c r="G16" i="41"/>
  <c r="O16" i="41"/>
  <c r="G17" i="41"/>
  <c r="O17" i="41"/>
  <c r="G18" i="41"/>
  <c r="O18" i="41"/>
  <c r="O19" i="41"/>
  <c r="G15" i="40"/>
  <c r="O15" i="40"/>
  <c r="O16" i="40"/>
  <c r="G17" i="40"/>
  <c r="O17" i="40"/>
  <c r="G18" i="40"/>
  <c r="O18" i="40"/>
  <c r="G19" i="40"/>
  <c r="O19" i="40"/>
  <c r="O20" i="40"/>
  <c r="O15" i="38"/>
  <c r="O16" i="38"/>
  <c r="O17" i="38"/>
  <c r="O18" i="38"/>
  <c r="O19" i="38"/>
  <c r="O20" i="38"/>
  <c r="O21" i="38"/>
  <c r="O22" i="38"/>
  <c r="O23" i="38"/>
  <c r="O24" i="38"/>
  <c r="O15" i="7"/>
  <c r="O16" i="7"/>
  <c r="O18" i="7"/>
  <c r="O19" i="7"/>
  <c r="O20" i="7"/>
  <c r="O21" i="7"/>
  <c r="O22" i="7"/>
  <c r="L15" i="39"/>
  <c r="P15" i="39"/>
  <c r="L17" i="39"/>
  <c r="P17" i="39"/>
  <c r="L18" i="39"/>
  <c r="P18" i="39"/>
  <c r="L19" i="39"/>
  <c r="P19" i="39"/>
  <c r="L20" i="39"/>
  <c r="P20" i="39"/>
  <c r="L21" i="39"/>
  <c r="P21" i="39"/>
  <c r="L22" i="39"/>
  <c r="P22" i="39"/>
  <c r="L23" i="39"/>
  <c r="P23" i="39"/>
  <c r="P25" i="39"/>
  <c r="H15" i="41"/>
  <c r="L15" i="41"/>
  <c r="P15" i="41"/>
  <c r="H16" i="41"/>
  <c r="L16" i="41"/>
  <c r="P16" i="41"/>
  <c r="H17" i="41"/>
  <c r="L17" i="41"/>
  <c r="P17" i="41"/>
  <c r="H18" i="41"/>
  <c r="L18" i="41"/>
  <c r="P18" i="41"/>
  <c r="H19" i="41"/>
  <c r="L19" i="41"/>
  <c r="P19" i="41"/>
  <c r="H15" i="40"/>
  <c r="L15" i="40"/>
  <c r="P15" i="40"/>
  <c r="H16" i="40"/>
  <c r="L16" i="40"/>
  <c r="P16" i="40"/>
  <c r="H17" i="40"/>
  <c r="L17" i="40"/>
  <c r="P17" i="40"/>
  <c r="H18" i="40"/>
  <c r="L18" i="40"/>
  <c r="P18" i="40"/>
  <c r="H19" i="40"/>
  <c r="L19" i="40"/>
  <c r="P19" i="40"/>
  <c r="H20" i="40"/>
  <c r="L15" i="38"/>
  <c r="P15" i="38"/>
  <c r="L16" i="38"/>
  <c r="L17" i="38"/>
  <c r="P17" i="38"/>
  <c r="L18" i="38"/>
  <c r="P18" i="38"/>
  <c r="L19" i="38"/>
  <c r="P19" i="38"/>
  <c r="L20" i="38"/>
  <c r="P20" i="38"/>
  <c r="L21" i="38"/>
  <c r="P21" i="38"/>
  <c r="L22" i="38"/>
  <c r="P22" i="38"/>
  <c r="L23" i="38"/>
  <c r="P23" i="38"/>
  <c r="L24" i="38"/>
  <c r="P24" i="38"/>
  <c r="L14" i="7"/>
  <c r="P14" i="7"/>
  <c r="L15" i="7"/>
  <c r="P15" i="7"/>
  <c r="L16" i="7"/>
  <c r="P16" i="7"/>
  <c r="L17" i="7"/>
  <c r="P17" i="7"/>
  <c r="L18" i="7"/>
  <c r="P18" i="7"/>
  <c r="L20" i="7"/>
  <c r="P20" i="7"/>
  <c r="L21" i="7"/>
  <c r="P21" i="7"/>
  <c r="L22" i="7"/>
  <c r="P22" i="7"/>
  <c r="D301" i="52"/>
  <c r="G302" i="52"/>
  <c r="K302" i="52"/>
  <c r="E302" i="52"/>
  <c r="G301" i="52"/>
  <c r="I301" i="52"/>
  <c r="K301" i="52"/>
  <c r="E301" i="52"/>
  <c r="L300" i="52"/>
  <c r="M300" i="52"/>
  <c r="N300" i="52"/>
  <c r="O300" i="52"/>
  <c r="P300" i="52"/>
  <c r="D302" i="52"/>
  <c r="J290" i="51"/>
  <c r="J291" i="51"/>
  <c r="J292" i="51"/>
  <c r="J293" i="51"/>
  <c r="J294" i="51"/>
  <c r="J295" i="51"/>
  <c r="J298" i="51"/>
  <c r="J300" i="51"/>
  <c r="J301" i="51"/>
  <c r="J308" i="51"/>
  <c r="J329" i="51"/>
  <c r="J323" i="51"/>
  <c r="J330" i="51"/>
  <c r="J112" i="51"/>
  <c r="J126" i="51"/>
  <c r="J164" i="51"/>
  <c r="K307" i="51"/>
  <c r="K308" i="51"/>
  <c r="K126" i="51"/>
  <c r="K164" i="51"/>
  <c r="K165" i="51"/>
  <c r="P330" i="51"/>
  <c r="I247" i="51"/>
  <c r="I248" i="51"/>
  <c r="I249" i="51"/>
  <c r="I250" i="51"/>
  <c r="I251" i="51"/>
  <c r="I252" i="51"/>
  <c r="I253" i="51"/>
  <c r="I254" i="51"/>
  <c r="I255" i="51"/>
  <c r="I256" i="51"/>
  <c r="I257" i="51"/>
  <c r="I258" i="51"/>
  <c r="I259" i="51"/>
  <c r="I260" i="51"/>
  <c r="I261" i="51"/>
  <c r="I262" i="51"/>
  <c r="I263" i="51"/>
  <c r="I264" i="51"/>
  <c r="I265" i="51"/>
  <c r="I266" i="51"/>
  <c r="I267" i="51"/>
  <c r="I268" i="51"/>
  <c r="I269" i="51"/>
  <c r="I270" i="51"/>
  <c r="I271" i="51"/>
  <c r="I272" i="51"/>
  <c r="I273" i="51"/>
  <c r="I282" i="51"/>
  <c r="I283" i="51"/>
  <c r="I284" i="51"/>
  <c r="I285" i="51"/>
  <c r="I286" i="51"/>
  <c r="I287" i="51"/>
  <c r="I288" i="51"/>
  <c r="I289" i="51"/>
  <c r="I295" i="51"/>
  <c r="I297" i="51"/>
  <c r="I299" i="51"/>
  <c r="I302" i="51"/>
  <c r="I303" i="51"/>
  <c r="I304" i="51"/>
  <c r="I305" i="51"/>
  <c r="I306" i="51"/>
  <c r="I308" i="51"/>
  <c r="I327" i="51"/>
  <c r="I328" i="51"/>
  <c r="I329" i="51"/>
  <c r="C311" i="51"/>
  <c r="E311" i="51"/>
  <c r="I311" i="51"/>
  <c r="I312" i="51"/>
  <c r="I313" i="51"/>
  <c r="I204" i="51"/>
  <c r="I205" i="51"/>
  <c r="I206" i="51"/>
  <c r="I207" i="51"/>
  <c r="I208" i="51"/>
  <c r="I209" i="51"/>
  <c r="I210" i="51"/>
  <c r="I211" i="51"/>
  <c r="I220" i="51"/>
  <c r="I221" i="51"/>
  <c r="I222" i="51"/>
  <c r="I223" i="51"/>
  <c r="I229" i="51"/>
  <c r="I233" i="51"/>
  <c r="I234" i="51"/>
  <c r="I235" i="51"/>
  <c r="I236" i="51"/>
  <c r="I237" i="51"/>
  <c r="I238" i="51"/>
  <c r="I239" i="51"/>
  <c r="M240" i="51"/>
  <c r="I96" i="51"/>
  <c r="I97" i="51"/>
  <c r="I98" i="51"/>
  <c r="I99" i="51"/>
  <c r="I100" i="51"/>
  <c r="I101" i="51"/>
  <c r="I102" i="51"/>
  <c r="I103" i="51"/>
  <c r="I104" i="51"/>
  <c r="I105" i="51"/>
  <c r="I106" i="51"/>
  <c r="I107" i="51"/>
  <c r="I108" i="51"/>
  <c r="I109" i="51"/>
  <c r="I110" i="51"/>
  <c r="I111" i="51"/>
  <c r="I113" i="51"/>
  <c r="I114" i="51"/>
  <c r="I115" i="51"/>
  <c r="I116" i="51"/>
  <c r="I117" i="51"/>
  <c r="I118" i="51"/>
  <c r="I119" i="51"/>
  <c r="I124" i="51"/>
  <c r="I126" i="51"/>
  <c r="I149" i="51"/>
  <c r="I150" i="51"/>
  <c r="I151" i="51"/>
  <c r="I152" i="51"/>
  <c r="I153" i="51"/>
  <c r="I154" i="51"/>
  <c r="I155" i="51"/>
  <c r="I156" i="51"/>
  <c r="I157" i="51"/>
  <c r="I158" i="51"/>
  <c r="I159" i="51"/>
  <c r="I160" i="51"/>
  <c r="I161" i="51"/>
  <c r="I162" i="51"/>
  <c r="I163" i="51"/>
  <c r="I164" i="51"/>
  <c r="C137" i="51"/>
  <c r="C140" i="51"/>
  <c r="E137" i="51"/>
  <c r="I137" i="51"/>
  <c r="I138" i="51"/>
  <c r="I139" i="51"/>
  <c r="E140" i="51"/>
  <c r="I141" i="51"/>
  <c r="I142" i="51"/>
  <c r="I143" i="51"/>
  <c r="I145" i="51"/>
  <c r="I12" i="51"/>
  <c r="I13" i="51"/>
  <c r="I14" i="51"/>
  <c r="I15" i="51"/>
  <c r="I16" i="51"/>
  <c r="I17" i="51"/>
  <c r="I18" i="51"/>
  <c r="I19" i="51"/>
  <c r="I20" i="51"/>
  <c r="I21" i="51"/>
  <c r="I22" i="51"/>
  <c r="I23" i="51"/>
  <c r="I24" i="51"/>
  <c r="I25" i="51"/>
  <c r="I26" i="51"/>
  <c r="I27" i="51"/>
  <c r="I28" i="51"/>
  <c r="I29" i="51"/>
  <c r="I30" i="51"/>
  <c r="I31" i="51"/>
  <c r="I32" i="51"/>
  <c r="I33" i="51"/>
  <c r="I34" i="51"/>
  <c r="I35" i="51"/>
  <c r="I36" i="51"/>
  <c r="I37" i="51"/>
  <c r="I38" i="51"/>
  <c r="I39" i="51"/>
  <c r="I40" i="51"/>
  <c r="I41" i="51"/>
  <c r="I42" i="51"/>
  <c r="I43" i="51"/>
  <c r="I44" i="51"/>
  <c r="I45" i="51"/>
  <c r="I46" i="51"/>
  <c r="I48" i="51"/>
  <c r="I55" i="51"/>
  <c r="I56" i="51"/>
  <c r="I57" i="51"/>
  <c r="I58" i="51"/>
  <c r="I59" i="51"/>
  <c r="I60" i="51"/>
  <c r="I61" i="51"/>
  <c r="I62" i="51"/>
  <c r="I63" i="51"/>
  <c r="I68" i="51"/>
  <c r="C69" i="51"/>
  <c r="E69" i="51"/>
  <c r="I69" i="51"/>
  <c r="I70" i="51"/>
  <c r="I71" i="51"/>
  <c r="I72" i="51"/>
  <c r="I73" i="51"/>
  <c r="I74" i="51"/>
  <c r="I75" i="51"/>
  <c r="I76" i="51"/>
  <c r="I77" i="51"/>
  <c r="I78" i="51"/>
  <c r="I79" i="51"/>
  <c r="I80" i="51"/>
  <c r="I81" i="51"/>
  <c r="I82" i="51"/>
  <c r="L330" i="51"/>
  <c r="L240" i="51"/>
  <c r="L165" i="51"/>
  <c r="L85" i="51"/>
  <c r="L341" i="51"/>
  <c r="H247" i="51"/>
  <c r="H248" i="51"/>
  <c r="H249" i="51"/>
  <c r="H250" i="51"/>
  <c r="H251" i="51"/>
  <c r="H252" i="51"/>
  <c r="H253" i="51"/>
  <c r="H254" i="51"/>
  <c r="H255" i="51"/>
  <c r="H256" i="51"/>
  <c r="H257" i="51"/>
  <c r="H258" i="51"/>
  <c r="H259" i="51"/>
  <c r="H260" i="51"/>
  <c r="H261" i="51"/>
  <c r="H262" i="51"/>
  <c r="H263" i="51"/>
  <c r="H264" i="51"/>
  <c r="H265" i="51"/>
  <c r="H266" i="51"/>
  <c r="H267" i="51"/>
  <c r="H268" i="51"/>
  <c r="H269" i="51"/>
  <c r="H270" i="51"/>
  <c r="H271" i="51"/>
  <c r="H272" i="51"/>
  <c r="H273" i="51"/>
  <c r="H282" i="51"/>
  <c r="H283" i="51"/>
  <c r="H284" i="51"/>
  <c r="H285" i="51"/>
  <c r="H286" i="51"/>
  <c r="H287" i="51"/>
  <c r="H288" i="51"/>
  <c r="H289" i="51"/>
  <c r="H290" i="51"/>
  <c r="H291" i="51"/>
  <c r="H292" i="51"/>
  <c r="H293" i="51"/>
  <c r="H294" i="51"/>
  <c r="H295" i="51"/>
  <c r="H297" i="51"/>
  <c r="H298" i="51"/>
  <c r="H299" i="51"/>
  <c r="H300" i="51"/>
  <c r="H301" i="51"/>
  <c r="H302" i="51"/>
  <c r="H303" i="51"/>
  <c r="H304" i="51"/>
  <c r="H305" i="51"/>
  <c r="H306" i="51"/>
  <c r="H307" i="51"/>
  <c r="H308" i="51"/>
  <c r="H327" i="51"/>
  <c r="H328" i="51"/>
  <c r="H329" i="51"/>
  <c r="D311" i="51"/>
  <c r="H311" i="51"/>
  <c r="H312" i="51"/>
  <c r="H313" i="51"/>
  <c r="H323" i="51"/>
  <c r="H229" i="51"/>
  <c r="H338" i="51"/>
  <c r="H204" i="51"/>
  <c r="H205" i="51"/>
  <c r="H206" i="51"/>
  <c r="H207" i="51"/>
  <c r="H208" i="51"/>
  <c r="H209" i="51"/>
  <c r="H210" i="51"/>
  <c r="H211" i="51"/>
  <c r="H220" i="51"/>
  <c r="H221" i="51"/>
  <c r="H222" i="51"/>
  <c r="H223" i="51"/>
  <c r="H233" i="51"/>
  <c r="H234" i="51"/>
  <c r="H235" i="51"/>
  <c r="H236" i="51"/>
  <c r="H237" i="51"/>
  <c r="H238" i="51"/>
  <c r="H239" i="51"/>
  <c r="H96" i="51"/>
  <c r="H97" i="51"/>
  <c r="H98" i="51"/>
  <c r="H99" i="51"/>
  <c r="H100" i="51"/>
  <c r="H101" i="51"/>
  <c r="H102" i="51"/>
  <c r="H103" i="51"/>
  <c r="H104" i="51"/>
  <c r="H105" i="51"/>
  <c r="H106" i="51"/>
  <c r="H107" i="51"/>
  <c r="H108" i="51"/>
  <c r="H109" i="51"/>
  <c r="H110" i="51"/>
  <c r="H111" i="51"/>
  <c r="H112" i="51"/>
  <c r="H113" i="51"/>
  <c r="H114" i="51"/>
  <c r="H115" i="51"/>
  <c r="H116" i="51"/>
  <c r="H117" i="51"/>
  <c r="H118" i="51"/>
  <c r="H119" i="51"/>
  <c r="H124" i="51"/>
  <c r="H126" i="51"/>
  <c r="H149" i="51"/>
  <c r="H150" i="51"/>
  <c r="H151" i="51"/>
  <c r="H152" i="51"/>
  <c r="H153" i="51"/>
  <c r="H154" i="51"/>
  <c r="H155" i="51"/>
  <c r="H156" i="51"/>
  <c r="H157" i="51"/>
  <c r="H158" i="51"/>
  <c r="H159" i="51"/>
  <c r="H160" i="51"/>
  <c r="H161" i="51"/>
  <c r="H162" i="51"/>
  <c r="H163" i="51"/>
  <c r="H164" i="51"/>
  <c r="D137" i="51"/>
  <c r="H137" i="51"/>
  <c r="H138" i="51"/>
  <c r="H139" i="51"/>
  <c r="D140" i="51"/>
  <c r="H141" i="51"/>
  <c r="H142" i="51"/>
  <c r="H143" i="51"/>
  <c r="H145" i="51"/>
  <c r="H12" i="51"/>
  <c r="H13" i="51"/>
  <c r="H14" i="51"/>
  <c r="H15" i="51"/>
  <c r="H16" i="51"/>
  <c r="H17" i="51"/>
  <c r="H18" i="51"/>
  <c r="H19" i="51"/>
  <c r="H20" i="51"/>
  <c r="H21" i="51"/>
  <c r="H22" i="51"/>
  <c r="H23" i="51"/>
  <c r="H24" i="51"/>
  <c r="H25" i="51"/>
  <c r="H26" i="51"/>
  <c r="H27" i="51"/>
  <c r="H28" i="51"/>
  <c r="H29" i="51"/>
  <c r="H30" i="51"/>
  <c r="H31" i="51"/>
  <c r="H32" i="51"/>
  <c r="H33" i="51"/>
  <c r="H34" i="51"/>
  <c r="H35" i="51"/>
  <c r="H36" i="51"/>
  <c r="H37" i="51"/>
  <c r="H38" i="51"/>
  <c r="H39" i="51"/>
  <c r="H40" i="51"/>
  <c r="H41" i="51"/>
  <c r="H42" i="51"/>
  <c r="H43" i="51"/>
  <c r="H44" i="51"/>
  <c r="H46" i="51"/>
  <c r="H48" i="51"/>
  <c r="H55" i="51"/>
  <c r="H56" i="51"/>
  <c r="H57" i="51"/>
  <c r="H58" i="51"/>
  <c r="H59" i="51"/>
  <c r="H60" i="51"/>
  <c r="H62" i="51"/>
  <c r="H63" i="51"/>
  <c r="H68" i="51"/>
  <c r="D69" i="51"/>
  <c r="H69" i="51"/>
  <c r="H70" i="51"/>
  <c r="H71" i="51"/>
  <c r="H72" i="51"/>
  <c r="H73" i="51"/>
  <c r="H74" i="51"/>
  <c r="H75" i="51"/>
  <c r="H76" i="51"/>
  <c r="H77" i="51"/>
  <c r="H78" i="51"/>
  <c r="H79" i="51"/>
  <c r="H80" i="51"/>
  <c r="H81" i="51"/>
  <c r="H82" i="51"/>
  <c r="H83" i="51"/>
  <c r="G273" i="51"/>
  <c r="G295" i="51"/>
  <c r="G308" i="51"/>
  <c r="G329" i="51"/>
  <c r="G323" i="51"/>
  <c r="G330" i="51"/>
  <c r="G211" i="51"/>
  <c r="G223" i="51"/>
  <c r="G229" i="51"/>
  <c r="G239" i="51"/>
  <c r="G240" i="51"/>
  <c r="G164" i="51"/>
  <c r="G83" i="51"/>
  <c r="G339" i="51"/>
  <c r="G126" i="51"/>
  <c r="G146" i="51"/>
  <c r="G165" i="51"/>
  <c r="G48" i="51"/>
  <c r="G63" i="51"/>
  <c r="G85" i="51"/>
  <c r="F247" i="51"/>
  <c r="F248" i="51"/>
  <c r="F249" i="51"/>
  <c r="F250" i="51"/>
  <c r="F251" i="51"/>
  <c r="F252" i="51"/>
  <c r="F253" i="51"/>
  <c r="F254" i="51"/>
  <c r="F255" i="51"/>
  <c r="F256" i="51"/>
  <c r="F257" i="51"/>
  <c r="F258" i="51"/>
  <c r="F259" i="51"/>
  <c r="F260" i="51"/>
  <c r="F261" i="51"/>
  <c r="F262" i="51"/>
  <c r="F263" i="51"/>
  <c r="F264" i="51"/>
  <c r="F265" i="51"/>
  <c r="F266" i="51"/>
  <c r="F267" i="51"/>
  <c r="F268" i="51"/>
  <c r="F269" i="51"/>
  <c r="F270" i="51"/>
  <c r="F271" i="51"/>
  <c r="F272" i="51"/>
  <c r="F273" i="51"/>
  <c r="F282" i="51"/>
  <c r="F283" i="51"/>
  <c r="F284" i="51"/>
  <c r="F285" i="51"/>
  <c r="F286" i="51"/>
  <c r="F287" i="51"/>
  <c r="F288" i="51"/>
  <c r="F289" i="51"/>
  <c r="F290" i="51"/>
  <c r="F291" i="51"/>
  <c r="F292" i="51"/>
  <c r="F293" i="51"/>
  <c r="F294" i="51"/>
  <c r="F295" i="51"/>
  <c r="F297" i="51"/>
  <c r="F298" i="51"/>
  <c r="F299" i="51"/>
  <c r="F300" i="51"/>
  <c r="F301" i="51"/>
  <c r="F302" i="51"/>
  <c r="F303" i="51"/>
  <c r="F304" i="51"/>
  <c r="F305" i="51"/>
  <c r="F306" i="51"/>
  <c r="F307" i="51"/>
  <c r="F308" i="51"/>
  <c r="F327" i="51"/>
  <c r="F328" i="51"/>
  <c r="F329" i="51"/>
  <c r="F312" i="51"/>
  <c r="F313" i="51"/>
  <c r="F317" i="51"/>
  <c r="F318" i="51"/>
  <c r="F321" i="51"/>
  <c r="F322" i="51"/>
  <c r="F204" i="51"/>
  <c r="F205" i="51"/>
  <c r="F206" i="51"/>
  <c r="F207" i="51"/>
  <c r="F208" i="51"/>
  <c r="F209" i="51"/>
  <c r="F210" i="51"/>
  <c r="F211" i="51"/>
  <c r="F220" i="51"/>
  <c r="F221" i="51"/>
  <c r="F222" i="51"/>
  <c r="F223" i="51"/>
  <c r="F229" i="51"/>
  <c r="F233" i="51"/>
  <c r="F234" i="51"/>
  <c r="F235" i="51"/>
  <c r="F236" i="51"/>
  <c r="F237" i="51"/>
  <c r="F238" i="51"/>
  <c r="F239" i="51"/>
  <c r="F96" i="51"/>
  <c r="F97" i="51"/>
  <c r="F98" i="51"/>
  <c r="F99" i="51"/>
  <c r="F100" i="51"/>
  <c r="F101" i="51"/>
  <c r="F102" i="51"/>
  <c r="F103" i="51"/>
  <c r="F104" i="51"/>
  <c r="F105" i="51"/>
  <c r="F106" i="51"/>
  <c r="F107" i="51"/>
  <c r="F108" i="51"/>
  <c r="F109" i="51"/>
  <c r="F110" i="51"/>
  <c r="F111" i="51"/>
  <c r="F112" i="51"/>
  <c r="F113" i="51"/>
  <c r="F114" i="51"/>
  <c r="F115" i="51"/>
  <c r="F116" i="51"/>
  <c r="F117" i="51"/>
  <c r="F118" i="51"/>
  <c r="F119" i="51"/>
  <c r="F124" i="51"/>
  <c r="F126" i="51"/>
  <c r="F149" i="51"/>
  <c r="F150" i="51"/>
  <c r="F151" i="51"/>
  <c r="F152" i="51"/>
  <c r="F153" i="51"/>
  <c r="F154" i="51"/>
  <c r="F155" i="51"/>
  <c r="F156" i="51"/>
  <c r="F157" i="51"/>
  <c r="F158" i="51"/>
  <c r="F159" i="51"/>
  <c r="F160" i="51"/>
  <c r="F161" i="51"/>
  <c r="F162" i="51"/>
  <c r="F163" i="51"/>
  <c r="F164" i="51"/>
  <c r="F137" i="51"/>
  <c r="F138" i="51"/>
  <c r="F139" i="51"/>
  <c r="F141" i="51"/>
  <c r="F142" i="51"/>
  <c r="F143" i="51"/>
  <c r="F145" i="51"/>
  <c r="F12" i="51"/>
  <c r="F13" i="51"/>
  <c r="F14" i="51"/>
  <c r="F15" i="51"/>
  <c r="F16" i="51"/>
  <c r="F17" i="51"/>
  <c r="F18" i="51"/>
  <c r="F19" i="51"/>
  <c r="F20" i="51"/>
  <c r="F21" i="51"/>
  <c r="F22" i="51"/>
  <c r="F23" i="51"/>
  <c r="F24" i="51"/>
  <c r="F25" i="51"/>
  <c r="F26" i="51"/>
  <c r="F27" i="51"/>
  <c r="F28" i="51"/>
  <c r="F29" i="51"/>
  <c r="F30" i="51"/>
  <c r="F31" i="51"/>
  <c r="F32" i="51"/>
  <c r="F33" i="51"/>
  <c r="F34" i="51"/>
  <c r="F35" i="51"/>
  <c r="F36" i="51"/>
  <c r="F37" i="51"/>
  <c r="F38" i="51"/>
  <c r="F39" i="51"/>
  <c r="F40" i="51"/>
  <c r="F41" i="51"/>
  <c r="F42" i="51"/>
  <c r="F43" i="51"/>
  <c r="F44" i="51"/>
  <c r="F45" i="51"/>
  <c r="F46" i="51"/>
  <c r="F48" i="51"/>
  <c r="F55" i="51"/>
  <c r="F56" i="51"/>
  <c r="F57" i="51"/>
  <c r="F58" i="51"/>
  <c r="F59" i="51"/>
  <c r="F60" i="51"/>
  <c r="F61" i="51"/>
  <c r="F62" i="51"/>
  <c r="F63" i="51"/>
  <c r="F68" i="51"/>
  <c r="F70" i="51"/>
  <c r="F71" i="51"/>
  <c r="F72" i="51"/>
  <c r="F73" i="51"/>
  <c r="F74" i="51"/>
  <c r="F75" i="51"/>
  <c r="F76" i="51"/>
  <c r="F77" i="51"/>
  <c r="F78" i="51"/>
  <c r="F79" i="51"/>
  <c r="F80" i="51"/>
  <c r="F81" i="51"/>
  <c r="F82" i="51"/>
  <c r="E164" i="51"/>
  <c r="E165" i="51"/>
  <c r="E341" i="51"/>
  <c r="D164" i="51"/>
  <c r="D165" i="51"/>
  <c r="D341" i="51"/>
  <c r="C164" i="51"/>
  <c r="C165" i="51"/>
  <c r="C341" i="51"/>
  <c r="P339" i="51"/>
  <c r="O339" i="51"/>
  <c r="N339" i="51"/>
  <c r="M339" i="51"/>
  <c r="L339" i="51"/>
  <c r="K339" i="51"/>
  <c r="J339" i="51"/>
  <c r="E339" i="51"/>
  <c r="D339" i="51"/>
  <c r="C339" i="51"/>
  <c r="P338" i="51"/>
  <c r="O338" i="51"/>
  <c r="N338" i="51"/>
  <c r="M338" i="51"/>
  <c r="L338" i="51"/>
  <c r="K338" i="51"/>
  <c r="J338" i="51"/>
  <c r="G338" i="51"/>
  <c r="E338" i="51"/>
  <c r="D338" i="51"/>
  <c r="C338" i="51"/>
  <c r="P337" i="51"/>
  <c r="O337" i="51"/>
  <c r="N337" i="51"/>
  <c r="M337" i="51"/>
  <c r="L337" i="51"/>
  <c r="I188" i="51"/>
  <c r="F188" i="51"/>
  <c r="I189" i="51"/>
  <c r="I190" i="51"/>
  <c r="F190" i="51"/>
  <c r="I191" i="51"/>
  <c r="C192" i="51"/>
  <c r="E192" i="51"/>
  <c r="I192" i="51"/>
  <c r="F192" i="51"/>
  <c r="I193" i="51"/>
  <c r="I194" i="51"/>
  <c r="F194" i="51"/>
  <c r="H188" i="51"/>
  <c r="H189" i="51"/>
  <c r="H190" i="51"/>
  <c r="H191" i="51"/>
  <c r="D192" i="51"/>
  <c r="H192" i="51"/>
  <c r="H193" i="51"/>
  <c r="H194" i="51"/>
  <c r="H195" i="51"/>
  <c r="G195" i="51"/>
  <c r="G337" i="51"/>
  <c r="F189" i="51"/>
  <c r="F191" i="51"/>
  <c r="F193" i="51"/>
  <c r="E295" i="51"/>
  <c r="E273" i="51"/>
  <c r="E333" i="51"/>
  <c r="E326" i="51"/>
  <c r="E334" i="51"/>
  <c r="D295" i="51"/>
  <c r="D337" i="51"/>
  <c r="C295" i="51"/>
  <c r="C337" i="51"/>
  <c r="L336" i="51"/>
  <c r="K336" i="51"/>
  <c r="I171" i="51"/>
  <c r="I172" i="51"/>
  <c r="F172" i="51"/>
  <c r="I173" i="51"/>
  <c r="I174" i="51"/>
  <c r="F174" i="51"/>
  <c r="I175" i="51"/>
  <c r="I176" i="51"/>
  <c r="F176" i="51"/>
  <c r="I177" i="51"/>
  <c r="I178" i="51"/>
  <c r="F178" i="51"/>
  <c r="I179" i="51"/>
  <c r="I180" i="51"/>
  <c r="F180" i="51"/>
  <c r="I181" i="51"/>
  <c r="C182" i="51"/>
  <c r="E182" i="51"/>
  <c r="I182" i="51"/>
  <c r="F182" i="51"/>
  <c r="I183" i="51"/>
  <c r="I184" i="51"/>
  <c r="F184" i="51"/>
  <c r="H171" i="51"/>
  <c r="H172" i="51"/>
  <c r="H173" i="51"/>
  <c r="H174" i="51"/>
  <c r="H175" i="51"/>
  <c r="H176" i="51"/>
  <c r="H177" i="51"/>
  <c r="H178" i="51"/>
  <c r="H179" i="51"/>
  <c r="H180" i="51"/>
  <c r="H181" i="51"/>
  <c r="D182" i="51"/>
  <c r="H183" i="51"/>
  <c r="H184" i="51"/>
  <c r="G185" i="51"/>
  <c r="G336" i="51"/>
  <c r="F171" i="51"/>
  <c r="F173" i="51"/>
  <c r="F175" i="51"/>
  <c r="F177" i="51"/>
  <c r="F179" i="51"/>
  <c r="F181" i="51"/>
  <c r="F183" i="51"/>
  <c r="E336" i="51"/>
  <c r="D273" i="51"/>
  <c r="D336" i="51"/>
  <c r="C273" i="51"/>
  <c r="C336" i="51"/>
  <c r="D333" i="51"/>
  <c r="D326" i="51"/>
  <c r="C333" i="51"/>
  <c r="C326" i="51"/>
  <c r="C334" i="51"/>
  <c r="E212" i="51"/>
  <c r="E225" i="51"/>
  <c r="E231" i="51"/>
  <c r="E241" i="51"/>
  <c r="E242" i="51"/>
  <c r="D212" i="51"/>
  <c r="D225" i="51"/>
  <c r="D231" i="51"/>
  <c r="D241" i="51"/>
  <c r="D242" i="51"/>
  <c r="C212" i="51"/>
  <c r="C225" i="51"/>
  <c r="C231" i="51"/>
  <c r="C241" i="51"/>
  <c r="C242" i="51"/>
  <c r="C198" i="51"/>
  <c r="E198" i="51"/>
  <c r="E199" i="51"/>
  <c r="D198" i="51"/>
  <c r="D199" i="51"/>
  <c r="E120" i="51"/>
  <c r="D120" i="51"/>
  <c r="C120" i="51"/>
  <c r="E54" i="51"/>
  <c r="E89" i="51"/>
  <c r="E91" i="51"/>
  <c r="D54" i="51"/>
  <c r="D89" i="51"/>
  <c r="D91" i="51"/>
  <c r="C54" i="51"/>
  <c r="C89" i="51"/>
  <c r="C91" i="51"/>
  <c r="J290" i="50"/>
  <c r="J291" i="50"/>
  <c r="J292" i="50"/>
  <c r="J293" i="50"/>
  <c r="J294" i="50"/>
  <c r="J295" i="50"/>
  <c r="J298" i="50"/>
  <c r="J300" i="50"/>
  <c r="J301" i="50"/>
  <c r="J308" i="50"/>
  <c r="J329" i="50"/>
  <c r="J323" i="50"/>
  <c r="J330" i="50"/>
  <c r="J112" i="50"/>
  <c r="J126" i="50"/>
  <c r="J164" i="50"/>
  <c r="J165" i="50"/>
  <c r="J341" i="50"/>
  <c r="K307" i="50"/>
  <c r="K308" i="50"/>
  <c r="K330" i="50"/>
  <c r="K126" i="50"/>
  <c r="K164" i="50"/>
  <c r="K165" i="50"/>
  <c r="K341" i="50"/>
  <c r="J342" i="50"/>
  <c r="P330" i="50"/>
  <c r="I247" i="50"/>
  <c r="I248" i="50"/>
  <c r="I249" i="50"/>
  <c r="I250" i="50"/>
  <c r="I251" i="50"/>
  <c r="I252" i="50"/>
  <c r="I253" i="50"/>
  <c r="I254" i="50"/>
  <c r="I255" i="50"/>
  <c r="I256" i="50"/>
  <c r="I257" i="50"/>
  <c r="I258" i="50"/>
  <c r="I259" i="50"/>
  <c r="I260" i="50"/>
  <c r="I261" i="50"/>
  <c r="I262" i="50"/>
  <c r="I263" i="50"/>
  <c r="I264" i="50"/>
  <c r="I265" i="50"/>
  <c r="I266" i="50"/>
  <c r="I267" i="50"/>
  <c r="I268" i="50"/>
  <c r="I269" i="50"/>
  <c r="I270" i="50"/>
  <c r="I271" i="50"/>
  <c r="I272" i="50"/>
  <c r="I273" i="50"/>
  <c r="I282" i="50"/>
  <c r="I283" i="50"/>
  <c r="I284" i="50"/>
  <c r="I285" i="50"/>
  <c r="I286" i="50"/>
  <c r="I287" i="50"/>
  <c r="I288" i="50"/>
  <c r="I289" i="50"/>
  <c r="I295" i="50"/>
  <c r="I297" i="50"/>
  <c r="I299" i="50"/>
  <c r="I302" i="50"/>
  <c r="I303" i="50"/>
  <c r="I304" i="50"/>
  <c r="I305" i="50"/>
  <c r="I306" i="50"/>
  <c r="I308" i="50"/>
  <c r="I327" i="50"/>
  <c r="I328" i="50"/>
  <c r="I329" i="50"/>
  <c r="C311" i="50"/>
  <c r="E311" i="50"/>
  <c r="I311" i="50"/>
  <c r="I312" i="50"/>
  <c r="I313" i="50"/>
  <c r="I204" i="50"/>
  <c r="I205" i="50"/>
  <c r="I206" i="50"/>
  <c r="I207" i="50"/>
  <c r="I208" i="50"/>
  <c r="I209" i="50"/>
  <c r="I210" i="50"/>
  <c r="I211" i="50"/>
  <c r="I220" i="50"/>
  <c r="I221" i="50"/>
  <c r="I222" i="50"/>
  <c r="I223" i="50"/>
  <c r="I229" i="50"/>
  <c r="I233" i="50"/>
  <c r="I234" i="50"/>
  <c r="I235" i="50"/>
  <c r="I236" i="50"/>
  <c r="I237" i="50"/>
  <c r="I238" i="50"/>
  <c r="I239" i="50"/>
  <c r="I240" i="50"/>
  <c r="M240" i="50"/>
  <c r="N240" i="50"/>
  <c r="I96" i="50"/>
  <c r="I97" i="50"/>
  <c r="I98" i="50"/>
  <c r="I99" i="50"/>
  <c r="I100" i="50"/>
  <c r="I101" i="50"/>
  <c r="I102" i="50"/>
  <c r="I103" i="50"/>
  <c r="I104" i="50"/>
  <c r="I105" i="50"/>
  <c r="I106" i="50"/>
  <c r="I107" i="50"/>
  <c r="I108" i="50"/>
  <c r="I109" i="50"/>
  <c r="I110" i="50"/>
  <c r="I111" i="50"/>
  <c r="I113" i="50"/>
  <c r="I114" i="50"/>
  <c r="I115" i="50"/>
  <c r="I116" i="50"/>
  <c r="I117" i="50"/>
  <c r="I118" i="50"/>
  <c r="I119" i="50"/>
  <c r="I124" i="50"/>
  <c r="I126" i="50"/>
  <c r="I149" i="50"/>
  <c r="I150" i="50"/>
  <c r="I151" i="50"/>
  <c r="I152" i="50"/>
  <c r="I153" i="50"/>
  <c r="I154" i="50"/>
  <c r="I155" i="50"/>
  <c r="I156" i="50"/>
  <c r="I157" i="50"/>
  <c r="I158" i="50"/>
  <c r="I159" i="50"/>
  <c r="I160" i="50"/>
  <c r="I161" i="50"/>
  <c r="I162" i="50"/>
  <c r="I163" i="50"/>
  <c r="I164" i="50"/>
  <c r="C137" i="50"/>
  <c r="E137" i="50"/>
  <c r="I137" i="50"/>
  <c r="I138" i="50"/>
  <c r="I139" i="50"/>
  <c r="C140" i="50"/>
  <c r="I141" i="50"/>
  <c r="I142" i="50"/>
  <c r="I143" i="50"/>
  <c r="I145" i="50"/>
  <c r="I12" i="50"/>
  <c r="I13" i="50"/>
  <c r="I14" i="50"/>
  <c r="I15" i="50"/>
  <c r="I16" i="50"/>
  <c r="I17" i="50"/>
  <c r="I18" i="50"/>
  <c r="I19" i="50"/>
  <c r="I20" i="50"/>
  <c r="I21" i="50"/>
  <c r="I22" i="50"/>
  <c r="I23" i="50"/>
  <c r="I24" i="50"/>
  <c r="I25" i="50"/>
  <c r="I26" i="50"/>
  <c r="I27" i="50"/>
  <c r="I28" i="50"/>
  <c r="I29" i="50"/>
  <c r="I30" i="50"/>
  <c r="I31" i="50"/>
  <c r="I32" i="50"/>
  <c r="I33" i="50"/>
  <c r="I34" i="50"/>
  <c r="I35" i="50"/>
  <c r="I36" i="50"/>
  <c r="I37" i="50"/>
  <c r="I38" i="50"/>
  <c r="I39" i="50"/>
  <c r="I40" i="50"/>
  <c r="I41" i="50"/>
  <c r="I42" i="50"/>
  <c r="I43" i="50"/>
  <c r="I44" i="50"/>
  <c r="I45" i="50"/>
  <c r="I46" i="50"/>
  <c r="I48" i="50"/>
  <c r="I55" i="50"/>
  <c r="I56" i="50"/>
  <c r="I57" i="50"/>
  <c r="I58" i="50"/>
  <c r="I59" i="50"/>
  <c r="I60" i="50"/>
  <c r="I61" i="50"/>
  <c r="I62" i="50"/>
  <c r="I63" i="50"/>
  <c r="I68" i="50"/>
  <c r="C69" i="50"/>
  <c r="E69" i="50"/>
  <c r="I69" i="50"/>
  <c r="F69" i="50"/>
  <c r="I70" i="50"/>
  <c r="I71" i="50"/>
  <c r="I72" i="50"/>
  <c r="I73" i="50"/>
  <c r="I74" i="50"/>
  <c r="I75" i="50"/>
  <c r="I76" i="50"/>
  <c r="I77" i="50"/>
  <c r="I78" i="50"/>
  <c r="I79" i="50"/>
  <c r="I80" i="50"/>
  <c r="I81" i="50"/>
  <c r="I82" i="50"/>
  <c r="L330" i="50"/>
  <c r="L240" i="50"/>
  <c r="L165" i="50"/>
  <c r="L85" i="50"/>
  <c r="L341" i="50"/>
  <c r="H247" i="50"/>
  <c r="H248" i="50"/>
  <c r="H249" i="50"/>
  <c r="H250" i="50"/>
  <c r="H251" i="50"/>
  <c r="H252" i="50"/>
  <c r="H253" i="50"/>
  <c r="H254" i="50"/>
  <c r="H255" i="50"/>
  <c r="H256" i="50"/>
  <c r="H257" i="50"/>
  <c r="H258" i="50"/>
  <c r="H259" i="50"/>
  <c r="H260" i="50"/>
  <c r="H261" i="50"/>
  <c r="H262" i="50"/>
  <c r="H263" i="50"/>
  <c r="H264" i="50"/>
  <c r="H265" i="50"/>
  <c r="H266" i="50"/>
  <c r="H267" i="50"/>
  <c r="H268" i="50"/>
  <c r="H269" i="50"/>
  <c r="H270" i="50"/>
  <c r="H271" i="50"/>
  <c r="H272" i="50"/>
  <c r="H273" i="50"/>
  <c r="H282" i="50"/>
  <c r="H283" i="50"/>
  <c r="H284" i="50"/>
  <c r="H285" i="50"/>
  <c r="H286" i="50"/>
  <c r="H287" i="50"/>
  <c r="H288" i="50"/>
  <c r="H289" i="50"/>
  <c r="H290" i="50"/>
  <c r="H291" i="50"/>
  <c r="H292" i="50"/>
  <c r="H293" i="50"/>
  <c r="H294" i="50"/>
  <c r="H295" i="50"/>
  <c r="H297" i="50"/>
  <c r="H298" i="50"/>
  <c r="H299" i="50"/>
  <c r="H300" i="50"/>
  <c r="H301" i="50"/>
  <c r="H302" i="50"/>
  <c r="H303" i="50"/>
  <c r="H304" i="50"/>
  <c r="H305" i="50"/>
  <c r="H306" i="50"/>
  <c r="H307" i="50"/>
  <c r="H308" i="50"/>
  <c r="H327" i="50"/>
  <c r="H328" i="50"/>
  <c r="H329" i="50"/>
  <c r="D311" i="50"/>
  <c r="H311" i="50"/>
  <c r="H312" i="50"/>
  <c r="H313" i="50"/>
  <c r="H323" i="50"/>
  <c r="H204" i="50"/>
  <c r="H205" i="50"/>
  <c r="H206" i="50"/>
  <c r="H207" i="50"/>
  <c r="H208" i="50"/>
  <c r="H209" i="50"/>
  <c r="H210" i="50"/>
  <c r="H211" i="50"/>
  <c r="H220" i="50"/>
  <c r="H221" i="50"/>
  <c r="H222" i="50"/>
  <c r="H223" i="50"/>
  <c r="H229" i="50"/>
  <c r="H233" i="50"/>
  <c r="H234" i="50"/>
  <c r="H235" i="50"/>
  <c r="H236" i="50"/>
  <c r="H237" i="50"/>
  <c r="H238" i="50"/>
  <c r="H239" i="50"/>
  <c r="H240" i="50"/>
  <c r="H96" i="50"/>
  <c r="H97" i="50"/>
  <c r="H98" i="50"/>
  <c r="H99" i="50"/>
  <c r="H100" i="50"/>
  <c r="H101" i="50"/>
  <c r="H102" i="50"/>
  <c r="H103" i="50"/>
  <c r="H104" i="50"/>
  <c r="H105" i="50"/>
  <c r="H106" i="50"/>
  <c r="H107" i="50"/>
  <c r="H108" i="50"/>
  <c r="H109" i="50"/>
  <c r="H110" i="50"/>
  <c r="H111" i="50"/>
  <c r="H112" i="50"/>
  <c r="H113" i="50"/>
  <c r="H114" i="50"/>
  <c r="H115" i="50"/>
  <c r="H116" i="50"/>
  <c r="H117" i="50"/>
  <c r="H118" i="50"/>
  <c r="H119" i="50"/>
  <c r="H124" i="50"/>
  <c r="H126" i="50"/>
  <c r="H149" i="50"/>
  <c r="H150" i="50"/>
  <c r="H151" i="50"/>
  <c r="H152" i="50"/>
  <c r="H153" i="50"/>
  <c r="H154" i="50"/>
  <c r="H155" i="50"/>
  <c r="H156" i="50"/>
  <c r="H157" i="50"/>
  <c r="H158" i="50"/>
  <c r="H159" i="50"/>
  <c r="H160" i="50"/>
  <c r="H161" i="50"/>
  <c r="H162" i="50"/>
  <c r="H163" i="50"/>
  <c r="H164" i="50"/>
  <c r="D137" i="50"/>
  <c r="H137" i="50"/>
  <c r="H138" i="50"/>
  <c r="H139" i="50"/>
  <c r="D140" i="50"/>
  <c r="H141" i="50"/>
  <c r="H142" i="50"/>
  <c r="H143" i="50"/>
  <c r="H145" i="50"/>
  <c r="H12" i="50"/>
  <c r="H13" i="50"/>
  <c r="H14" i="50"/>
  <c r="H15" i="50"/>
  <c r="H16" i="50"/>
  <c r="H17" i="50"/>
  <c r="H18" i="50"/>
  <c r="H19" i="50"/>
  <c r="H20" i="50"/>
  <c r="H21" i="50"/>
  <c r="H22" i="50"/>
  <c r="H23" i="50"/>
  <c r="H24" i="50"/>
  <c r="H25" i="50"/>
  <c r="H26" i="50"/>
  <c r="H27" i="50"/>
  <c r="H28" i="50"/>
  <c r="H29" i="50"/>
  <c r="H30" i="50"/>
  <c r="H31" i="50"/>
  <c r="H32" i="50"/>
  <c r="H33" i="50"/>
  <c r="H34" i="50"/>
  <c r="H35" i="50"/>
  <c r="H36" i="50"/>
  <c r="H37" i="50"/>
  <c r="H38" i="50"/>
  <c r="H39" i="50"/>
  <c r="H40" i="50"/>
  <c r="H41" i="50"/>
  <c r="H42" i="50"/>
  <c r="H43" i="50"/>
  <c r="H44" i="50"/>
  <c r="H46" i="50"/>
  <c r="H55" i="50"/>
  <c r="H56" i="50"/>
  <c r="H57" i="50"/>
  <c r="H58" i="50"/>
  <c r="H59" i="50"/>
  <c r="H60" i="50"/>
  <c r="H62" i="50"/>
  <c r="H68" i="50"/>
  <c r="D69" i="50"/>
  <c r="H69" i="50"/>
  <c r="H70" i="50"/>
  <c r="H71" i="50"/>
  <c r="H72" i="50"/>
  <c r="H73" i="50"/>
  <c r="H74" i="50"/>
  <c r="H75" i="50"/>
  <c r="H76" i="50"/>
  <c r="H77" i="50"/>
  <c r="H78" i="50"/>
  <c r="H79" i="50"/>
  <c r="H80" i="50"/>
  <c r="H81" i="50"/>
  <c r="H82" i="50"/>
  <c r="G273" i="50"/>
  <c r="G295" i="50"/>
  <c r="G308" i="50"/>
  <c r="G329" i="50"/>
  <c r="G323" i="50"/>
  <c r="G330" i="50"/>
  <c r="G211" i="50"/>
  <c r="G223" i="50"/>
  <c r="G229" i="50"/>
  <c r="G239" i="50"/>
  <c r="G240" i="50"/>
  <c r="G126" i="50"/>
  <c r="G164" i="50"/>
  <c r="G146" i="50"/>
  <c r="G165" i="50"/>
  <c r="G48" i="50"/>
  <c r="G63" i="50"/>
  <c r="G83" i="50"/>
  <c r="G85" i="50"/>
  <c r="G341" i="50"/>
  <c r="G195" i="50"/>
  <c r="G337" i="50"/>
  <c r="F247" i="50"/>
  <c r="F248" i="50"/>
  <c r="F249" i="50"/>
  <c r="F250" i="50"/>
  <c r="F251" i="50"/>
  <c r="F252" i="50"/>
  <c r="F253" i="50"/>
  <c r="F254" i="50"/>
  <c r="F255" i="50"/>
  <c r="F256" i="50"/>
  <c r="F257" i="50"/>
  <c r="F258" i="50"/>
  <c r="F259" i="50"/>
  <c r="F260" i="50"/>
  <c r="F261" i="50"/>
  <c r="F262" i="50"/>
  <c r="F263" i="50"/>
  <c r="F264" i="50"/>
  <c r="F265" i="50"/>
  <c r="F266" i="50"/>
  <c r="F267" i="50"/>
  <c r="F268" i="50"/>
  <c r="F269" i="50"/>
  <c r="F270" i="50"/>
  <c r="F271" i="50"/>
  <c r="F272" i="50"/>
  <c r="F273" i="50"/>
  <c r="F282" i="50"/>
  <c r="F283" i="50"/>
  <c r="F284" i="50"/>
  <c r="F285" i="50"/>
  <c r="F286" i="50"/>
  <c r="F287" i="50"/>
  <c r="F288" i="50"/>
  <c r="F289" i="50"/>
  <c r="F290" i="50"/>
  <c r="F291" i="50"/>
  <c r="F292" i="50"/>
  <c r="F293" i="50"/>
  <c r="F294" i="50"/>
  <c r="F297" i="50"/>
  <c r="F298" i="50"/>
  <c r="F299" i="50"/>
  <c r="F300" i="50"/>
  <c r="F301" i="50"/>
  <c r="F302" i="50"/>
  <c r="F303" i="50"/>
  <c r="F304" i="50"/>
  <c r="F305" i="50"/>
  <c r="F306" i="50"/>
  <c r="F307" i="50"/>
  <c r="F327" i="50"/>
  <c r="F328" i="50"/>
  <c r="F329" i="50"/>
  <c r="F312" i="50"/>
  <c r="F313" i="50"/>
  <c r="F317" i="50"/>
  <c r="F318" i="50"/>
  <c r="F321" i="50"/>
  <c r="F322" i="50"/>
  <c r="F204" i="50"/>
  <c r="F205" i="50"/>
  <c r="F206" i="50"/>
  <c r="F207" i="50"/>
  <c r="F208" i="50"/>
  <c r="F209" i="50"/>
  <c r="F210" i="50"/>
  <c r="F220" i="50"/>
  <c r="F221" i="50"/>
  <c r="F222" i="50"/>
  <c r="F223" i="50"/>
  <c r="F229" i="50"/>
  <c r="F233" i="50"/>
  <c r="F234" i="50"/>
  <c r="F235" i="50"/>
  <c r="F236" i="50"/>
  <c r="F237" i="50"/>
  <c r="F238" i="50"/>
  <c r="F96" i="50"/>
  <c r="F97" i="50"/>
  <c r="F98" i="50"/>
  <c r="F99" i="50"/>
  <c r="F100" i="50"/>
  <c r="F101" i="50"/>
  <c r="F102" i="50"/>
  <c r="F103" i="50"/>
  <c r="F104" i="50"/>
  <c r="F105" i="50"/>
  <c r="F106" i="50"/>
  <c r="F107" i="50"/>
  <c r="F108" i="50"/>
  <c r="F109" i="50"/>
  <c r="F110" i="50"/>
  <c r="F111" i="50"/>
  <c r="F112" i="50"/>
  <c r="F113" i="50"/>
  <c r="F114" i="50"/>
  <c r="F115" i="50"/>
  <c r="F116" i="50"/>
  <c r="F117" i="50"/>
  <c r="F118" i="50"/>
  <c r="F119" i="50"/>
  <c r="F124" i="50"/>
  <c r="F149" i="50"/>
  <c r="F150" i="50"/>
  <c r="F151" i="50"/>
  <c r="F152" i="50"/>
  <c r="F153" i="50"/>
  <c r="F154" i="50"/>
  <c r="F155" i="50"/>
  <c r="F156" i="50"/>
  <c r="F157" i="50"/>
  <c r="F158" i="50"/>
  <c r="F159" i="50"/>
  <c r="F160" i="50"/>
  <c r="F161" i="50"/>
  <c r="F162" i="50"/>
  <c r="F163" i="50"/>
  <c r="F138" i="50"/>
  <c r="F139" i="50"/>
  <c r="F141" i="50"/>
  <c r="F142" i="50"/>
  <c r="F143" i="50"/>
  <c r="F145" i="50"/>
  <c r="F12" i="50"/>
  <c r="F13" i="50"/>
  <c r="F14" i="50"/>
  <c r="F15" i="50"/>
  <c r="F16" i="50"/>
  <c r="F17" i="50"/>
  <c r="F18" i="50"/>
  <c r="F19" i="50"/>
  <c r="F20" i="50"/>
  <c r="F21" i="50"/>
  <c r="F22" i="50"/>
  <c r="F23" i="50"/>
  <c r="F24" i="50"/>
  <c r="F25" i="50"/>
  <c r="F26" i="50"/>
  <c r="F27" i="50"/>
  <c r="F28" i="50"/>
  <c r="F29" i="50"/>
  <c r="F30" i="50"/>
  <c r="F31" i="50"/>
  <c r="F32" i="50"/>
  <c r="F33" i="50"/>
  <c r="F34" i="50"/>
  <c r="F35" i="50"/>
  <c r="F36" i="50"/>
  <c r="F37" i="50"/>
  <c r="F38" i="50"/>
  <c r="F39" i="50"/>
  <c r="F40" i="50"/>
  <c r="F41" i="50"/>
  <c r="F42" i="50"/>
  <c r="F43" i="50"/>
  <c r="F44" i="50"/>
  <c r="F45" i="50"/>
  <c r="F46" i="50"/>
  <c r="F55" i="50"/>
  <c r="F56" i="50"/>
  <c r="F57" i="50"/>
  <c r="F58" i="50"/>
  <c r="F59" i="50"/>
  <c r="F60" i="50"/>
  <c r="F61" i="50"/>
  <c r="F62" i="50"/>
  <c r="F63" i="50"/>
  <c r="F68" i="50"/>
  <c r="F70" i="50"/>
  <c r="F71" i="50"/>
  <c r="F72" i="50"/>
  <c r="F73" i="50"/>
  <c r="F74" i="50"/>
  <c r="F75" i="50"/>
  <c r="F76" i="50"/>
  <c r="F77" i="50"/>
  <c r="F78" i="50"/>
  <c r="F79" i="50"/>
  <c r="F80" i="50"/>
  <c r="F81" i="50"/>
  <c r="F82" i="50"/>
  <c r="F83" i="50"/>
  <c r="E164" i="50"/>
  <c r="E165" i="50"/>
  <c r="E341" i="50"/>
  <c r="D164" i="50"/>
  <c r="D165" i="50"/>
  <c r="D341" i="50"/>
  <c r="C164" i="50"/>
  <c r="C165" i="50"/>
  <c r="C341" i="50"/>
  <c r="P339" i="50"/>
  <c r="O339" i="50"/>
  <c r="N339" i="50"/>
  <c r="M339" i="50"/>
  <c r="L339" i="50"/>
  <c r="K339" i="50"/>
  <c r="J339" i="50"/>
  <c r="G339" i="50"/>
  <c r="E339" i="50"/>
  <c r="D339" i="50"/>
  <c r="P338" i="50"/>
  <c r="O338" i="50"/>
  <c r="N338" i="50"/>
  <c r="M338" i="50"/>
  <c r="L338" i="50"/>
  <c r="K338" i="50"/>
  <c r="J338" i="50"/>
  <c r="H338" i="50"/>
  <c r="G338" i="50"/>
  <c r="E338" i="50"/>
  <c r="D338" i="50"/>
  <c r="C338" i="50"/>
  <c r="P337" i="50"/>
  <c r="O337" i="50"/>
  <c r="N337" i="50"/>
  <c r="M337" i="50"/>
  <c r="L337" i="50"/>
  <c r="K337" i="50"/>
  <c r="J337" i="50"/>
  <c r="I188" i="50"/>
  <c r="I189" i="50"/>
  <c r="F189" i="50"/>
  <c r="I190" i="50"/>
  <c r="I191" i="50"/>
  <c r="C192" i="50"/>
  <c r="E192" i="50"/>
  <c r="I192" i="50"/>
  <c r="I193" i="50"/>
  <c r="I194" i="50"/>
  <c r="I195" i="50"/>
  <c r="F192" i="50"/>
  <c r="F193" i="50"/>
  <c r="H188" i="50"/>
  <c r="H189" i="50"/>
  <c r="H190" i="50"/>
  <c r="H191" i="50"/>
  <c r="D192" i="50"/>
  <c r="D182" i="50"/>
  <c r="D198" i="50"/>
  <c r="D199" i="50"/>
  <c r="C182" i="50"/>
  <c r="C198" i="50"/>
  <c r="C199" i="50"/>
  <c r="E182" i="50"/>
  <c r="E198" i="50"/>
  <c r="E199" i="50"/>
  <c r="H199" i="50"/>
  <c r="H193" i="50"/>
  <c r="H194" i="50"/>
  <c r="F188" i="50"/>
  <c r="F190" i="50"/>
  <c r="F194" i="50"/>
  <c r="E295" i="50"/>
  <c r="E337" i="50"/>
  <c r="D295" i="50"/>
  <c r="D337" i="50"/>
  <c r="C295" i="50"/>
  <c r="C337" i="50"/>
  <c r="L336" i="50"/>
  <c r="K336" i="50"/>
  <c r="J336" i="50"/>
  <c r="I171" i="50"/>
  <c r="F171" i="50"/>
  <c r="I172" i="50"/>
  <c r="I173" i="50"/>
  <c r="I174" i="50"/>
  <c r="I175" i="50"/>
  <c r="F175" i="50"/>
  <c r="I176" i="50"/>
  <c r="I177" i="50"/>
  <c r="F177" i="50"/>
  <c r="I178" i="50"/>
  <c r="I179" i="50"/>
  <c r="F179" i="50"/>
  <c r="I180" i="50"/>
  <c r="I181" i="50"/>
  <c r="F181" i="50"/>
  <c r="I182" i="50"/>
  <c r="F182" i="50"/>
  <c r="I183" i="50"/>
  <c r="F183" i="50"/>
  <c r="I184" i="50"/>
  <c r="H171" i="50"/>
  <c r="H172" i="50"/>
  <c r="H173" i="50"/>
  <c r="H174" i="50"/>
  <c r="H175" i="50"/>
  <c r="H176" i="50"/>
  <c r="H177" i="50"/>
  <c r="H178" i="50"/>
  <c r="H179" i="50"/>
  <c r="H180" i="50"/>
  <c r="H181" i="50"/>
  <c r="H182" i="50"/>
  <c r="H183" i="50"/>
  <c r="H184" i="50"/>
  <c r="H185" i="50"/>
  <c r="G185" i="50"/>
  <c r="G336" i="50"/>
  <c r="F172" i="50"/>
  <c r="F174" i="50"/>
  <c r="F176" i="50"/>
  <c r="F178" i="50"/>
  <c r="F180" i="50"/>
  <c r="F184" i="50"/>
  <c r="E273" i="50"/>
  <c r="E336" i="50"/>
  <c r="D273" i="50"/>
  <c r="D336" i="50"/>
  <c r="C273" i="50"/>
  <c r="C333" i="50"/>
  <c r="C326" i="50"/>
  <c r="C334" i="50"/>
  <c r="C336" i="50"/>
  <c r="E333" i="50"/>
  <c r="E326" i="50"/>
  <c r="E334" i="50"/>
  <c r="D333" i="50"/>
  <c r="D326" i="50"/>
  <c r="D334" i="50"/>
  <c r="E212" i="50"/>
  <c r="E225" i="50"/>
  <c r="E231" i="50"/>
  <c r="E241" i="50"/>
  <c r="E242" i="50"/>
  <c r="D212" i="50"/>
  <c r="D225" i="50"/>
  <c r="D231" i="50"/>
  <c r="D241" i="50"/>
  <c r="D242" i="50"/>
  <c r="C212" i="50"/>
  <c r="C225" i="50"/>
  <c r="C231" i="50"/>
  <c r="C241" i="50"/>
  <c r="C242" i="50"/>
  <c r="I199" i="50"/>
  <c r="F199" i="50"/>
  <c r="E120" i="50"/>
  <c r="D120" i="50"/>
  <c r="C120" i="50"/>
  <c r="E54" i="50"/>
  <c r="E89" i="50"/>
  <c r="E91" i="50"/>
  <c r="D54" i="50"/>
  <c r="D89" i="50"/>
  <c r="D91" i="50"/>
  <c r="C54" i="50"/>
  <c r="C89" i="50"/>
  <c r="C91" i="50"/>
  <c r="J290" i="49"/>
  <c r="J291" i="49"/>
  <c r="J292" i="49"/>
  <c r="J293" i="49"/>
  <c r="J294" i="49"/>
  <c r="J295" i="49"/>
  <c r="J298" i="49"/>
  <c r="J300" i="49"/>
  <c r="J301" i="49"/>
  <c r="J308" i="49"/>
  <c r="J329" i="49"/>
  <c r="J323" i="49"/>
  <c r="J330" i="49"/>
  <c r="J112" i="49"/>
  <c r="J126" i="49"/>
  <c r="J164" i="49"/>
  <c r="J165" i="49"/>
  <c r="J341" i="49"/>
  <c r="K307" i="49"/>
  <c r="K308" i="49"/>
  <c r="K126" i="49"/>
  <c r="K164" i="49"/>
  <c r="K165" i="49"/>
  <c r="P330" i="49"/>
  <c r="I247" i="49"/>
  <c r="I248" i="49"/>
  <c r="I249" i="49"/>
  <c r="I250" i="49"/>
  <c r="I251" i="49"/>
  <c r="I252" i="49"/>
  <c r="I253" i="49"/>
  <c r="I254" i="49"/>
  <c r="I255" i="49"/>
  <c r="I256" i="49"/>
  <c r="I257" i="49"/>
  <c r="I258" i="49"/>
  <c r="I259" i="49"/>
  <c r="I260" i="49"/>
  <c r="I261" i="49"/>
  <c r="I262" i="49"/>
  <c r="I263" i="49"/>
  <c r="I264" i="49"/>
  <c r="I265" i="49"/>
  <c r="I266" i="49"/>
  <c r="I267" i="49"/>
  <c r="I268" i="49"/>
  <c r="I269" i="49"/>
  <c r="I270" i="49"/>
  <c r="I271" i="49"/>
  <c r="I272" i="49"/>
  <c r="I273" i="49"/>
  <c r="I282" i="49"/>
  <c r="I283" i="49"/>
  <c r="I284" i="49"/>
  <c r="I285" i="49"/>
  <c r="I286" i="49"/>
  <c r="I287" i="49"/>
  <c r="I288" i="49"/>
  <c r="I289" i="49"/>
  <c r="I295" i="49"/>
  <c r="F285" i="49"/>
  <c r="F289" i="49"/>
  <c r="I297" i="49"/>
  <c r="I299" i="49"/>
  <c r="I302" i="49"/>
  <c r="I303" i="49"/>
  <c r="I304" i="49"/>
  <c r="I305" i="49"/>
  <c r="I306" i="49"/>
  <c r="I308" i="49"/>
  <c r="I327" i="49"/>
  <c r="I328" i="49"/>
  <c r="I329" i="49"/>
  <c r="C311" i="49"/>
  <c r="E311" i="49"/>
  <c r="I311" i="49"/>
  <c r="I312" i="49"/>
  <c r="I313" i="49"/>
  <c r="I204" i="49"/>
  <c r="I205" i="49"/>
  <c r="I206" i="49"/>
  <c r="I207" i="49"/>
  <c r="I208" i="49"/>
  <c r="I209" i="49"/>
  <c r="I210" i="49"/>
  <c r="I211" i="49"/>
  <c r="I220" i="49"/>
  <c r="I221" i="49"/>
  <c r="I222" i="49"/>
  <c r="I223" i="49"/>
  <c r="I229" i="49"/>
  <c r="I233" i="49"/>
  <c r="I234" i="49"/>
  <c r="I235" i="49"/>
  <c r="I236" i="49"/>
  <c r="I237" i="49"/>
  <c r="I238" i="49"/>
  <c r="I239" i="49"/>
  <c r="I240" i="49"/>
  <c r="M240" i="49"/>
  <c r="N240" i="49"/>
  <c r="I96" i="49"/>
  <c r="I97" i="49"/>
  <c r="I98" i="49"/>
  <c r="I99" i="49"/>
  <c r="I100" i="49"/>
  <c r="I101" i="49"/>
  <c r="I102" i="49"/>
  <c r="I103" i="49"/>
  <c r="I104" i="49"/>
  <c r="I105" i="49"/>
  <c r="I106" i="49"/>
  <c r="I107" i="49"/>
  <c r="I108" i="49"/>
  <c r="I109" i="49"/>
  <c r="I110" i="49"/>
  <c r="I111" i="49"/>
  <c r="I113" i="49"/>
  <c r="I114" i="49"/>
  <c r="I115" i="49"/>
  <c r="I116" i="49"/>
  <c r="I117" i="49"/>
  <c r="I118" i="49"/>
  <c r="I119" i="49"/>
  <c r="I124" i="49"/>
  <c r="I126" i="49"/>
  <c r="F116" i="49"/>
  <c r="F124" i="49"/>
  <c r="I149" i="49"/>
  <c r="I150" i="49"/>
  <c r="I151" i="49"/>
  <c r="I152" i="49"/>
  <c r="I153" i="49"/>
  <c r="I154" i="49"/>
  <c r="I155" i="49"/>
  <c r="I156" i="49"/>
  <c r="I157" i="49"/>
  <c r="I158" i="49"/>
  <c r="I159" i="49"/>
  <c r="I160" i="49"/>
  <c r="I161" i="49"/>
  <c r="I162" i="49"/>
  <c r="I163" i="49"/>
  <c r="I164" i="49"/>
  <c r="F151" i="49"/>
  <c r="F155" i="49"/>
  <c r="F159" i="49"/>
  <c r="F163" i="49"/>
  <c r="C137" i="49"/>
  <c r="C140" i="49"/>
  <c r="E137" i="49"/>
  <c r="I137" i="49"/>
  <c r="I138" i="49"/>
  <c r="I139" i="49"/>
  <c r="E140" i="49"/>
  <c r="I141" i="49"/>
  <c r="I142" i="49"/>
  <c r="I143" i="49"/>
  <c r="F143" i="49"/>
  <c r="I145" i="49"/>
  <c r="I12" i="49"/>
  <c r="I13" i="49"/>
  <c r="I14" i="49"/>
  <c r="I15" i="49"/>
  <c r="I16" i="49"/>
  <c r="I17" i="49"/>
  <c r="I18" i="49"/>
  <c r="I19" i="49"/>
  <c r="I20" i="49"/>
  <c r="I21" i="49"/>
  <c r="I22" i="49"/>
  <c r="I23" i="49"/>
  <c r="I24" i="49"/>
  <c r="I25" i="49"/>
  <c r="I26" i="49"/>
  <c r="I27" i="49"/>
  <c r="I28" i="49"/>
  <c r="I29" i="49"/>
  <c r="I30" i="49"/>
  <c r="I31" i="49"/>
  <c r="I32" i="49"/>
  <c r="I33" i="49"/>
  <c r="I34" i="49"/>
  <c r="I35" i="49"/>
  <c r="I36" i="49"/>
  <c r="I37" i="49"/>
  <c r="I38" i="49"/>
  <c r="I39" i="49"/>
  <c r="I40" i="49"/>
  <c r="I41" i="49"/>
  <c r="I42" i="49"/>
  <c r="I43" i="49"/>
  <c r="I44" i="49"/>
  <c r="I45" i="49"/>
  <c r="I46" i="49"/>
  <c r="I48" i="49"/>
  <c r="I55" i="49"/>
  <c r="I56" i="49"/>
  <c r="I57" i="49"/>
  <c r="I58" i="49"/>
  <c r="I59" i="49"/>
  <c r="I60" i="49"/>
  <c r="I61" i="49"/>
  <c r="I62" i="49"/>
  <c r="I63" i="49"/>
  <c r="I68" i="49"/>
  <c r="C69" i="49"/>
  <c r="E69" i="49"/>
  <c r="I69" i="49"/>
  <c r="I70" i="49"/>
  <c r="I71" i="49"/>
  <c r="F71" i="49"/>
  <c r="I72" i="49"/>
  <c r="I73" i="49"/>
  <c r="I74" i="49"/>
  <c r="I75" i="49"/>
  <c r="F75" i="49"/>
  <c r="I76" i="49"/>
  <c r="I77" i="49"/>
  <c r="I78" i="49"/>
  <c r="I79" i="49"/>
  <c r="F79" i="49"/>
  <c r="I80" i="49"/>
  <c r="I81" i="49"/>
  <c r="I82" i="49"/>
  <c r="L330" i="49"/>
  <c r="L240" i="49"/>
  <c r="L165" i="49"/>
  <c r="L85" i="49"/>
  <c r="L341" i="49"/>
  <c r="H247" i="49"/>
  <c r="H248" i="49"/>
  <c r="H249" i="49"/>
  <c r="H250" i="49"/>
  <c r="H251" i="49"/>
  <c r="H252" i="49"/>
  <c r="H253" i="49"/>
  <c r="H254" i="49"/>
  <c r="H255" i="49"/>
  <c r="H256" i="49"/>
  <c r="H257" i="49"/>
  <c r="H258" i="49"/>
  <c r="H259" i="49"/>
  <c r="H260" i="49"/>
  <c r="H261" i="49"/>
  <c r="H262" i="49"/>
  <c r="H263" i="49"/>
  <c r="H264" i="49"/>
  <c r="H265" i="49"/>
  <c r="H266" i="49"/>
  <c r="H267" i="49"/>
  <c r="H268" i="49"/>
  <c r="H269" i="49"/>
  <c r="H270" i="49"/>
  <c r="H271" i="49"/>
  <c r="H272" i="49"/>
  <c r="H273" i="49"/>
  <c r="H282" i="49"/>
  <c r="H283" i="49"/>
  <c r="H284" i="49"/>
  <c r="H285" i="49"/>
  <c r="H286" i="49"/>
  <c r="H287" i="49"/>
  <c r="H288" i="49"/>
  <c r="H289" i="49"/>
  <c r="H290" i="49"/>
  <c r="H291" i="49"/>
  <c r="H292" i="49"/>
  <c r="H293" i="49"/>
  <c r="H294" i="49"/>
  <c r="H295" i="49"/>
  <c r="H297" i="49"/>
  <c r="H298" i="49"/>
  <c r="H299" i="49"/>
  <c r="H300" i="49"/>
  <c r="H301" i="49"/>
  <c r="H302" i="49"/>
  <c r="H303" i="49"/>
  <c r="H304" i="49"/>
  <c r="H305" i="49"/>
  <c r="H306" i="49"/>
  <c r="H307" i="49"/>
  <c r="H308" i="49"/>
  <c r="H327" i="49"/>
  <c r="H328" i="49"/>
  <c r="H329" i="49"/>
  <c r="D311" i="49"/>
  <c r="H311" i="49"/>
  <c r="H312" i="49"/>
  <c r="H313" i="49"/>
  <c r="H323" i="49"/>
  <c r="H229" i="49"/>
  <c r="H338" i="49"/>
  <c r="H204" i="49"/>
  <c r="H205" i="49"/>
  <c r="H206" i="49"/>
  <c r="H207" i="49"/>
  <c r="H208" i="49"/>
  <c r="H209" i="49"/>
  <c r="H210" i="49"/>
  <c r="H211" i="49"/>
  <c r="H220" i="49"/>
  <c r="H221" i="49"/>
  <c r="H222" i="49"/>
  <c r="H223" i="49"/>
  <c r="H233" i="49"/>
  <c r="H234" i="49"/>
  <c r="H235" i="49"/>
  <c r="H236" i="49"/>
  <c r="H237" i="49"/>
  <c r="H238" i="49"/>
  <c r="H239" i="49"/>
  <c r="H96" i="49"/>
  <c r="H97" i="49"/>
  <c r="H98" i="49"/>
  <c r="H99" i="49"/>
  <c r="H100" i="49"/>
  <c r="H101" i="49"/>
  <c r="H102" i="49"/>
  <c r="H103" i="49"/>
  <c r="H104" i="49"/>
  <c r="H105" i="49"/>
  <c r="H106" i="49"/>
  <c r="H107" i="49"/>
  <c r="H108" i="49"/>
  <c r="H109" i="49"/>
  <c r="H110" i="49"/>
  <c r="H111" i="49"/>
  <c r="H112" i="49"/>
  <c r="H113" i="49"/>
  <c r="H114" i="49"/>
  <c r="H115" i="49"/>
  <c r="H116" i="49"/>
  <c r="H117" i="49"/>
  <c r="H118" i="49"/>
  <c r="H119" i="49"/>
  <c r="H124" i="49"/>
  <c r="H126" i="49"/>
  <c r="H149" i="49"/>
  <c r="H150" i="49"/>
  <c r="H151" i="49"/>
  <c r="H152" i="49"/>
  <c r="H153" i="49"/>
  <c r="H154" i="49"/>
  <c r="H155" i="49"/>
  <c r="H156" i="49"/>
  <c r="H157" i="49"/>
  <c r="H158" i="49"/>
  <c r="H159" i="49"/>
  <c r="H160" i="49"/>
  <c r="H161" i="49"/>
  <c r="H162" i="49"/>
  <c r="H163" i="49"/>
  <c r="H164" i="49"/>
  <c r="D137" i="49"/>
  <c r="H137" i="49"/>
  <c r="H138" i="49"/>
  <c r="H139" i="49"/>
  <c r="D140" i="49"/>
  <c r="H141" i="49"/>
  <c r="H142" i="49"/>
  <c r="H143" i="49"/>
  <c r="H145" i="49"/>
  <c r="H12" i="49"/>
  <c r="H13" i="49"/>
  <c r="H14" i="49"/>
  <c r="H15" i="49"/>
  <c r="H16" i="49"/>
  <c r="H17" i="49"/>
  <c r="H18" i="49"/>
  <c r="H19" i="49"/>
  <c r="H20" i="49"/>
  <c r="H21" i="49"/>
  <c r="H22" i="49"/>
  <c r="H23" i="49"/>
  <c r="H24" i="49"/>
  <c r="H25" i="49"/>
  <c r="H26" i="49"/>
  <c r="H27" i="49"/>
  <c r="H28" i="49"/>
  <c r="H29" i="49"/>
  <c r="H30" i="49"/>
  <c r="H31" i="49"/>
  <c r="H32" i="49"/>
  <c r="H33" i="49"/>
  <c r="H34" i="49"/>
  <c r="H35" i="49"/>
  <c r="H36" i="49"/>
  <c r="H37" i="49"/>
  <c r="H38" i="49"/>
  <c r="H39" i="49"/>
  <c r="H40" i="49"/>
  <c r="H41" i="49"/>
  <c r="H42" i="49"/>
  <c r="H43" i="49"/>
  <c r="H44" i="49"/>
  <c r="H46" i="49"/>
  <c r="H48" i="49"/>
  <c r="H55" i="49"/>
  <c r="H56" i="49"/>
  <c r="H57" i="49"/>
  <c r="H58" i="49"/>
  <c r="H59" i="49"/>
  <c r="H60" i="49"/>
  <c r="H62" i="49"/>
  <c r="H63" i="49"/>
  <c r="H68" i="49"/>
  <c r="D69" i="49"/>
  <c r="H70" i="49"/>
  <c r="H71" i="49"/>
  <c r="H72" i="49"/>
  <c r="H73" i="49"/>
  <c r="H74" i="49"/>
  <c r="H75" i="49"/>
  <c r="H76" i="49"/>
  <c r="H77" i="49"/>
  <c r="H78" i="49"/>
  <c r="H79" i="49"/>
  <c r="H80" i="49"/>
  <c r="H81" i="49"/>
  <c r="H82" i="49"/>
  <c r="G273" i="49"/>
  <c r="G295" i="49"/>
  <c r="G308" i="49"/>
  <c r="G223" i="49"/>
  <c r="G195" i="49"/>
  <c r="G63" i="49"/>
  <c r="G146" i="49"/>
  <c r="G337" i="49"/>
  <c r="G329" i="49"/>
  <c r="G323" i="49"/>
  <c r="G330" i="49"/>
  <c r="G211" i="49"/>
  <c r="G229" i="49"/>
  <c r="G239" i="49"/>
  <c r="G240" i="49"/>
  <c r="G164" i="49"/>
  <c r="G83" i="49"/>
  <c r="G339" i="49"/>
  <c r="G126" i="49"/>
  <c r="G165" i="49"/>
  <c r="G48" i="49"/>
  <c r="G85" i="49"/>
  <c r="F247" i="49"/>
  <c r="F248" i="49"/>
  <c r="F249" i="49"/>
  <c r="F250" i="49"/>
  <c r="F251" i="49"/>
  <c r="F252" i="49"/>
  <c r="F253" i="49"/>
  <c r="F254" i="49"/>
  <c r="F255" i="49"/>
  <c r="F256" i="49"/>
  <c r="F257" i="49"/>
  <c r="F258" i="49"/>
  <c r="F259" i="49"/>
  <c r="F260" i="49"/>
  <c r="F261" i="49"/>
  <c r="F262" i="49"/>
  <c r="F263" i="49"/>
  <c r="F264" i="49"/>
  <c r="F265" i="49"/>
  <c r="F266" i="49"/>
  <c r="F267" i="49"/>
  <c r="F268" i="49"/>
  <c r="F269" i="49"/>
  <c r="F270" i="49"/>
  <c r="F271" i="49"/>
  <c r="F272" i="49"/>
  <c r="F273" i="49"/>
  <c r="F282" i="49"/>
  <c r="F283" i="49"/>
  <c r="F284" i="49"/>
  <c r="F286" i="49"/>
  <c r="F287" i="49"/>
  <c r="F288" i="49"/>
  <c r="F290" i="49"/>
  <c r="F291" i="49"/>
  <c r="F292" i="49"/>
  <c r="F293" i="49"/>
  <c r="F294" i="49"/>
  <c r="F295" i="49"/>
  <c r="F297" i="49"/>
  <c r="F298" i="49"/>
  <c r="F299" i="49"/>
  <c r="F300" i="49"/>
  <c r="F301" i="49"/>
  <c r="F302" i="49"/>
  <c r="F303" i="49"/>
  <c r="F304" i="49"/>
  <c r="F305" i="49"/>
  <c r="F306" i="49"/>
  <c r="F307" i="49"/>
  <c r="F308" i="49"/>
  <c r="F327" i="49"/>
  <c r="F328" i="49"/>
  <c r="F329" i="49"/>
  <c r="F312" i="49"/>
  <c r="F313" i="49"/>
  <c r="F317" i="49"/>
  <c r="F318" i="49"/>
  <c r="F321" i="49"/>
  <c r="F322" i="49"/>
  <c r="F204" i="49"/>
  <c r="F205" i="49"/>
  <c r="F206" i="49"/>
  <c r="F207" i="49"/>
  <c r="F208" i="49"/>
  <c r="F209" i="49"/>
  <c r="F210" i="49"/>
  <c r="F211" i="49"/>
  <c r="F220" i="49"/>
  <c r="F221" i="49"/>
  <c r="F222" i="49"/>
  <c r="F223" i="49"/>
  <c r="F229" i="49"/>
  <c r="F233" i="49"/>
  <c r="F234" i="49"/>
  <c r="F235" i="49"/>
  <c r="F236" i="49"/>
  <c r="F237" i="49"/>
  <c r="F238" i="49"/>
  <c r="F239" i="49"/>
  <c r="F96" i="49"/>
  <c r="F97" i="49"/>
  <c r="F98" i="49"/>
  <c r="F99" i="49"/>
  <c r="F100" i="49"/>
  <c r="F101" i="49"/>
  <c r="F102" i="49"/>
  <c r="F103" i="49"/>
  <c r="F104" i="49"/>
  <c r="F105" i="49"/>
  <c r="F106" i="49"/>
  <c r="F107" i="49"/>
  <c r="F108" i="49"/>
  <c r="F109" i="49"/>
  <c r="F110" i="49"/>
  <c r="F111" i="49"/>
  <c r="F112" i="49"/>
  <c r="F113" i="49"/>
  <c r="F114" i="49"/>
  <c r="F115" i="49"/>
  <c r="F117" i="49"/>
  <c r="F118" i="49"/>
  <c r="F119" i="49"/>
  <c r="F126" i="49"/>
  <c r="F149" i="49"/>
  <c r="F150" i="49"/>
  <c r="F152" i="49"/>
  <c r="F153" i="49"/>
  <c r="F154" i="49"/>
  <c r="F156" i="49"/>
  <c r="F157" i="49"/>
  <c r="F158" i="49"/>
  <c r="F160" i="49"/>
  <c r="F161" i="49"/>
  <c r="F162" i="49"/>
  <c r="F164" i="49"/>
  <c r="F137" i="49"/>
  <c r="F138" i="49"/>
  <c r="F139" i="49"/>
  <c r="F141" i="49"/>
  <c r="F142" i="49"/>
  <c r="F145" i="49"/>
  <c r="F12" i="49"/>
  <c r="F13" i="49"/>
  <c r="F14" i="49"/>
  <c r="F15" i="49"/>
  <c r="F16" i="49"/>
  <c r="F17" i="49"/>
  <c r="F18" i="49"/>
  <c r="F19" i="49"/>
  <c r="F20" i="49"/>
  <c r="F21" i="49"/>
  <c r="F22" i="49"/>
  <c r="F23" i="49"/>
  <c r="F24" i="49"/>
  <c r="F25" i="49"/>
  <c r="F26" i="49"/>
  <c r="F27" i="49"/>
  <c r="F28" i="49"/>
  <c r="F29" i="49"/>
  <c r="F30" i="49"/>
  <c r="F31" i="49"/>
  <c r="F32" i="49"/>
  <c r="F33" i="49"/>
  <c r="F34" i="49"/>
  <c r="F35" i="49"/>
  <c r="F36" i="49"/>
  <c r="F37" i="49"/>
  <c r="F38" i="49"/>
  <c r="F39" i="49"/>
  <c r="F40" i="49"/>
  <c r="F41" i="49"/>
  <c r="F42" i="49"/>
  <c r="F43" i="49"/>
  <c r="F44" i="49"/>
  <c r="F45" i="49"/>
  <c r="F46" i="49"/>
  <c r="F48" i="49"/>
  <c r="F55" i="49"/>
  <c r="F56" i="49"/>
  <c r="F57" i="49"/>
  <c r="F58" i="49"/>
  <c r="F59" i="49"/>
  <c r="F60" i="49"/>
  <c r="F61" i="49"/>
  <c r="F62" i="49"/>
  <c r="F63" i="49"/>
  <c r="F68" i="49"/>
  <c r="F70" i="49"/>
  <c r="F72" i="49"/>
  <c r="F73" i="49"/>
  <c r="F74" i="49"/>
  <c r="F76" i="49"/>
  <c r="F77" i="49"/>
  <c r="F78" i="49"/>
  <c r="F80" i="49"/>
  <c r="F81" i="49"/>
  <c r="F82" i="49"/>
  <c r="E164" i="49"/>
  <c r="E165" i="49"/>
  <c r="E341" i="49"/>
  <c r="D164" i="49"/>
  <c r="D339" i="49"/>
  <c r="D165" i="49"/>
  <c r="D341" i="49"/>
  <c r="C164" i="49"/>
  <c r="C165" i="49"/>
  <c r="C341" i="49"/>
  <c r="P339" i="49"/>
  <c r="O339" i="49"/>
  <c r="N339" i="49"/>
  <c r="M339" i="49"/>
  <c r="L339" i="49"/>
  <c r="K339" i="49"/>
  <c r="J339" i="49"/>
  <c r="E339" i="49"/>
  <c r="C339" i="49"/>
  <c r="P338" i="49"/>
  <c r="O338" i="49"/>
  <c r="N338" i="49"/>
  <c r="M338" i="49"/>
  <c r="L338" i="49"/>
  <c r="K338" i="49"/>
  <c r="J338" i="49"/>
  <c r="G338" i="49"/>
  <c r="E338" i="49"/>
  <c r="D338" i="49"/>
  <c r="C338" i="49"/>
  <c r="P337" i="49"/>
  <c r="O337" i="49"/>
  <c r="N337" i="49"/>
  <c r="M337" i="49"/>
  <c r="L337" i="49"/>
  <c r="I188" i="49"/>
  <c r="F188" i="49"/>
  <c r="I189" i="49"/>
  <c r="I190" i="49"/>
  <c r="F190" i="49"/>
  <c r="I191" i="49"/>
  <c r="C192" i="49"/>
  <c r="E192" i="49"/>
  <c r="I192" i="49"/>
  <c r="F192" i="49"/>
  <c r="I193" i="49"/>
  <c r="I194" i="49"/>
  <c r="F194" i="49"/>
  <c r="H188" i="49"/>
  <c r="H189" i="49"/>
  <c r="H190" i="49"/>
  <c r="H191" i="49"/>
  <c r="D192" i="49"/>
  <c r="H192" i="49"/>
  <c r="H193" i="49"/>
  <c r="H194" i="49"/>
  <c r="H195" i="49"/>
  <c r="F189" i="49"/>
  <c r="F191" i="49"/>
  <c r="F193" i="49"/>
  <c r="E295" i="49"/>
  <c r="E273" i="49"/>
  <c r="E333" i="49"/>
  <c r="E326" i="49"/>
  <c r="E334" i="49"/>
  <c r="D295" i="49"/>
  <c r="D337" i="49"/>
  <c r="C295" i="49"/>
  <c r="C337" i="49"/>
  <c r="L336" i="49"/>
  <c r="K336" i="49"/>
  <c r="J336" i="49"/>
  <c r="I171" i="49"/>
  <c r="I172" i="49"/>
  <c r="F172" i="49"/>
  <c r="I173" i="49"/>
  <c r="I174" i="49"/>
  <c r="F174" i="49"/>
  <c r="I175" i="49"/>
  <c r="I176" i="49"/>
  <c r="F176" i="49"/>
  <c r="I177" i="49"/>
  <c r="I178" i="49"/>
  <c r="F178" i="49"/>
  <c r="I179" i="49"/>
  <c r="I180" i="49"/>
  <c r="F180" i="49"/>
  <c r="I181" i="49"/>
  <c r="C182" i="49"/>
  <c r="E182" i="49"/>
  <c r="I182" i="49"/>
  <c r="F182" i="49"/>
  <c r="I183" i="49"/>
  <c r="I184" i="49"/>
  <c r="F184" i="49"/>
  <c r="H171" i="49"/>
  <c r="H172" i="49"/>
  <c r="H173" i="49"/>
  <c r="H174" i="49"/>
  <c r="H175" i="49"/>
  <c r="H176" i="49"/>
  <c r="H177" i="49"/>
  <c r="H178" i="49"/>
  <c r="H179" i="49"/>
  <c r="H180" i="49"/>
  <c r="H181" i="49"/>
  <c r="D182" i="49"/>
  <c r="H183" i="49"/>
  <c r="H184" i="49"/>
  <c r="G185" i="49"/>
  <c r="G336" i="49"/>
  <c r="F171" i="49"/>
  <c r="F173" i="49"/>
  <c r="F175" i="49"/>
  <c r="F177" i="49"/>
  <c r="F179" i="49"/>
  <c r="F181" i="49"/>
  <c r="F183" i="49"/>
  <c r="E336" i="49"/>
  <c r="D273" i="49"/>
  <c r="D336" i="49"/>
  <c r="C273" i="49"/>
  <c r="C336" i="49"/>
  <c r="D333" i="49"/>
  <c r="D326" i="49"/>
  <c r="C333" i="49"/>
  <c r="C326" i="49"/>
  <c r="C334" i="49"/>
  <c r="E212" i="49"/>
  <c r="E225" i="49"/>
  <c r="E231" i="49"/>
  <c r="E241" i="49"/>
  <c r="E242" i="49"/>
  <c r="D212" i="49"/>
  <c r="D225" i="49"/>
  <c r="D231" i="49"/>
  <c r="D241" i="49"/>
  <c r="D242" i="49"/>
  <c r="C212" i="49"/>
  <c r="C225" i="49"/>
  <c r="C231" i="49"/>
  <c r="C241" i="49"/>
  <c r="C242" i="49"/>
  <c r="C198" i="49"/>
  <c r="E198" i="49"/>
  <c r="E199" i="49"/>
  <c r="D198" i="49"/>
  <c r="D199" i="49"/>
  <c r="E120" i="49"/>
  <c r="D120" i="49"/>
  <c r="C120" i="49"/>
  <c r="E54" i="49"/>
  <c r="E89" i="49"/>
  <c r="E91" i="49"/>
  <c r="D54" i="49"/>
  <c r="D89" i="49"/>
  <c r="D91" i="49"/>
  <c r="C54" i="49"/>
  <c r="C89" i="49"/>
  <c r="C91" i="49"/>
  <c r="J290" i="48"/>
  <c r="J291" i="48"/>
  <c r="J292" i="48"/>
  <c r="J293" i="48"/>
  <c r="J294" i="48"/>
  <c r="J295" i="48"/>
  <c r="J298" i="48"/>
  <c r="J300" i="48"/>
  <c r="J301" i="48"/>
  <c r="J308" i="48"/>
  <c r="J329" i="48"/>
  <c r="J323" i="48"/>
  <c r="J330" i="48"/>
  <c r="J112" i="48"/>
  <c r="J126" i="48"/>
  <c r="J164" i="48"/>
  <c r="K307" i="48"/>
  <c r="K308" i="48"/>
  <c r="K330" i="48"/>
  <c r="K126" i="48"/>
  <c r="K164" i="48"/>
  <c r="K165" i="48"/>
  <c r="K341" i="48"/>
  <c r="P330" i="48"/>
  <c r="I247" i="48"/>
  <c r="I248" i="48"/>
  <c r="I249" i="48"/>
  <c r="I250" i="48"/>
  <c r="I251" i="48"/>
  <c r="I252" i="48"/>
  <c r="I253" i="48"/>
  <c r="I254" i="48"/>
  <c r="I255" i="48"/>
  <c r="I256" i="48"/>
  <c r="I257" i="48"/>
  <c r="I258" i="48"/>
  <c r="I259" i="48"/>
  <c r="I260" i="48"/>
  <c r="I261" i="48"/>
  <c r="I262" i="48"/>
  <c r="I263" i="48"/>
  <c r="I264" i="48"/>
  <c r="I265" i="48"/>
  <c r="I266" i="48"/>
  <c r="I267" i="48"/>
  <c r="I268" i="48"/>
  <c r="I269" i="48"/>
  <c r="I270" i="48"/>
  <c r="I271" i="48"/>
  <c r="I272" i="48"/>
  <c r="I273" i="48"/>
  <c r="I282" i="48"/>
  <c r="I283" i="48"/>
  <c r="I284" i="48"/>
  <c r="I285" i="48"/>
  <c r="I286" i="48"/>
  <c r="I287" i="48"/>
  <c r="I288" i="48"/>
  <c r="I289" i="48"/>
  <c r="I295" i="48"/>
  <c r="I297" i="48"/>
  <c r="I299" i="48"/>
  <c r="I302" i="48"/>
  <c r="I303" i="48"/>
  <c r="I304" i="48"/>
  <c r="I305" i="48"/>
  <c r="I306" i="48"/>
  <c r="I308" i="48"/>
  <c r="I327" i="48"/>
  <c r="I328" i="48"/>
  <c r="I329" i="48"/>
  <c r="C311" i="48"/>
  <c r="E311" i="48"/>
  <c r="I311" i="48"/>
  <c r="I312" i="48"/>
  <c r="I313" i="48"/>
  <c r="I204" i="48"/>
  <c r="I205" i="48"/>
  <c r="I206" i="48"/>
  <c r="I207" i="48"/>
  <c r="I208" i="48"/>
  <c r="I209" i="48"/>
  <c r="I210" i="48"/>
  <c r="I211" i="48"/>
  <c r="I220" i="48"/>
  <c r="I221" i="48"/>
  <c r="I222" i="48"/>
  <c r="I223" i="48"/>
  <c r="I229" i="48"/>
  <c r="I233" i="48"/>
  <c r="I234" i="48"/>
  <c r="I235" i="48"/>
  <c r="I236" i="48"/>
  <c r="I237" i="48"/>
  <c r="I238" i="48"/>
  <c r="I239" i="48"/>
  <c r="I240" i="48"/>
  <c r="M240" i="48"/>
  <c r="N240" i="48"/>
  <c r="I96" i="48"/>
  <c r="I97" i="48"/>
  <c r="I98" i="48"/>
  <c r="I99" i="48"/>
  <c r="I100" i="48"/>
  <c r="I101" i="48"/>
  <c r="I102" i="48"/>
  <c r="I103" i="48"/>
  <c r="I104" i="48"/>
  <c r="I105" i="48"/>
  <c r="I106" i="48"/>
  <c r="I107" i="48"/>
  <c r="I108" i="48"/>
  <c r="I109" i="48"/>
  <c r="I110" i="48"/>
  <c r="I111" i="48"/>
  <c r="I113" i="48"/>
  <c r="I114" i="48"/>
  <c r="I115" i="48"/>
  <c r="I116" i="48"/>
  <c r="I117" i="48"/>
  <c r="I118" i="48"/>
  <c r="I119" i="48"/>
  <c r="I124" i="48"/>
  <c r="I126" i="48"/>
  <c r="I149" i="48"/>
  <c r="I150" i="48"/>
  <c r="I151" i="48"/>
  <c r="I152" i="48"/>
  <c r="I153" i="48"/>
  <c r="I154" i="48"/>
  <c r="I155" i="48"/>
  <c r="I156" i="48"/>
  <c r="I157" i="48"/>
  <c r="I158" i="48"/>
  <c r="I159" i="48"/>
  <c r="I160" i="48"/>
  <c r="I161" i="48"/>
  <c r="I162" i="48"/>
  <c r="I163" i="48"/>
  <c r="I164" i="48"/>
  <c r="C137" i="48"/>
  <c r="E137" i="48"/>
  <c r="I137" i="48"/>
  <c r="I138" i="48"/>
  <c r="I139" i="48"/>
  <c r="C140" i="48"/>
  <c r="I141" i="48"/>
  <c r="I142" i="48"/>
  <c r="I143" i="48"/>
  <c r="I145" i="48"/>
  <c r="I12" i="48"/>
  <c r="I13" i="48"/>
  <c r="I14" i="48"/>
  <c r="I15" i="48"/>
  <c r="I16" i="48"/>
  <c r="I17" i="48"/>
  <c r="I18" i="48"/>
  <c r="I19" i="48"/>
  <c r="I20" i="48"/>
  <c r="I21" i="48"/>
  <c r="I22" i="48"/>
  <c r="I23" i="48"/>
  <c r="I24" i="48"/>
  <c r="I25" i="48"/>
  <c r="I26" i="48"/>
  <c r="I27" i="48"/>
  <c r="I28" i="48"/>
  <c r="I29" i="48"/>
  <c r="I30" i="48"/>
  <c r="I31" i="48"/>
  <c r="I32" i="48"/>
  <c r="I33" i="48"/>
  <c r="I34" i="48"/>
  <c r="I35" i="48"/>
  <c r="I36" i="48"/>
  <c r="I37" i="48"/>
  <c r="I38" i="48"/>
  <c r="I39" i="48"/>
  <c r="I40" i="48"/>
  <c r="I41" i="48"/>
  <c r="I42" i="48"/>
  <c r="I43" i="48"/>
  <c r="I44" i="48"/>
  <c r="I45" i="48"/>
  <c r="I46" i="48"/>
  <c r="I48" i="48"/>
  <c r="I55" i="48"/>
  <c r="I56" i="48"/>
  <c r="I57" i="48"/>
  <c r="I58" i="48"/>
  <c r="I59" i="48"/>
  <c r="I60" i="48"/>
  <c r="I61" i="48"/>
  <c r="I62" i="48"/>
  <c r="I63" i="48"/>
  <c r="I68" i="48"/>
  <c r="C69" i="48"/>
  <c r="E69" i="48"/>
  <c r="I69" i="48"/>
  <c r="F69" i="48"/>
  <c r="I70" i="48"/>
  <c r="I71" i="48"/>
  <c r="I72" i="48"/>
  <c r="F72" i="48"/>
  <c r="I73" i="48"/>
  <c r="I74" i="48"/>
  <c r="I75" i="48"/>
  <c r="I76" i="48"/>
  <c r="F76" i="48"/>
  <c r="I77" i="48"/>
  <c r="I78" i="48"/>
  <c r="I79" i="48"/>
  <c r="I80" i="48"/>
  <c r="F80" i="48"/>
  <c r="I81" i="48"/>
  <c r="I82" i="48"/>
  <c r="L330" i="48"/>
  <c r="L240" i="48"/>
  <c r="L165" i="48"/>
  <c r="L85" i="48"/>
  <c r="L341" i="48"/>
  <c r="H247" i="48"/>
  <c r="H248" i="48"/>
  <c r="H249" i="48"/>
  <c r="H250" i="48"/>
  <c r="H251" i="48"/>
  <c r="H252" i="48"/>
  <c r="H253" i="48"/>
  <c r="H254" i="48"/>
  <c r="H255" i="48"/>
  <c r="H256" i="48"/>
  <c r="H257" i="48"/>
  <c r="H258" i="48"/>
  <c r="H259" i="48"/>
  <c r="H260" i="48"/>
  <c r="H261" i="48"/>
  <c r="H262" i="48"/>
  <c r="H263" i="48"/>
  <c r="H264" i="48"/>
  <c r="H265" i="48"/>
  <c r="H266" i="48"/>
  <c r="H267" i="48"/>
  <c r="H268" i="48"/>
  <c r="H269" i="48"/>
  <c r="H270" i="48"/>
  <c r="H271" i="48"/>
  <c r="H272" i="48"/>
  <c r="H273" i="48"/>
  <c r="H282" i="48"/>
  <c r="H283" i="48"/>
  <c r="H284" i="48"/>
  <c r="H285" i="48"/>
  <c r="H286" i="48"/>
  <c r="H287" i="48"/>
  <c r="H288" i="48"/>
  <c r="H289" i="48"/>
  <c r="H290" i="48"/>
  <c r="H291" i="48"/>
  <c r="H292" i="48"/>
  <c r="H293" i="48"/>
  <c r="H294" i="48"/>
  <c r="H295" i="48"/>
  <c r="H297" i="48"/>
  <c r="H298" i="48"/>
  <c r="H299" i="48"/>
  <c r="H300" i="48"/>
  <c r="H301" i="48"/>
  <c r="H302" i="48"/>
  <c r="H303" i="48"/>
  <c r="H304" i="48"/>
  <c r="H305" i="48"/>
  <c r="H306" i="48"/>
  <c r="H307" i="48"/>
  <c r="H308" i="48"/>
  <c r="H327" i="48"/>
  <c r="H328" i="48"/>
  <c r="H329" i="48"/>
  <c r="D311" i="48"/>
  <c r="H311" i="48"/>
  <c r="H312" i="48"/>
  <c r="H313" i="48"/>
  <c r="H323" i="48"/>
  <c r="H229" i="48"/>
  <c r="H338" i="48"/>
  <c r="H204" i="48"/>
  <c r="H205" i="48"/>
  <c r="H206" i="48"/>
  <c r="H207" i="48"/>
  <c r="H208" i="48"/>
  <c r="H209" i="48"/>
  <c r="H210" i="48"/>
  <c r="H211" i="48"/>
  <c r="H220" i="48"/>
  <c r="H221" i="48"/>
  <c r="H222" i="48"/>
  <c r="H223" i="48"/>
  <c r="H233" i="48"/>
  <c r="H234" i="48"/>
  <c r="H235" i="48"/>
  <c r="H236" i="48"/>
  <c r="H237" i="48"/>
  <c r="H238" i="48"/>
  <c r="H239" i="48"/>
  <c r="H240" i="48"/>
  <c r="H96" i="48"/>
  <c r="H97" i="48"/>
  <c r="H98" i="48"/>
  <c r="H99" i="48"/>
  <c r="H100" i="48"/>
  <c r="H101" i="48"/>
  <c r="H102" i="48"/>
  <c r="H103" i="48"/>
  <c r="H104" i="48"/>
  <c r="H105" i="48"/>
  <c r="H106" i="48"/>
  <c r="H107" i="48"/>
  <c r="H108" i="48"/>
  <c r="H109" i="48"/>
  <c r="H110" i="48"/>
  <c r="H111" i="48"/>
  <c r="H112" i="48"/>
  <c r="H113" i="48"/>
  <c r="H114" i="48"/>
  <c r="H115" i="48"/>
  <c r="H116" i="48"/>
  <c r="H117" i="48"/>
  <c r="H118" i="48"/>
  <c r="H119" i="48"/>
  <c r="H124" i="48"/>
  <c r="H126" i="48"/>
  <c r="H149" i="48"/>
  <c r="H150" i="48"/>
  <c r="H151" i="48"/>
  <c r="H152" i="48"/>
  <c r="H153" i="48"/>
  <c r="H154" i="48"/>
  <c r="H155" i="48"/>
  <c r="H156" i="48"/>
  <c r="H157" i="48"/>
  <c r="H158" i="48"/>
  <c r="H159" i="48"/>
  <c r="H160" i="48"/>
  <c r="H161" i="48"/>
  <c r="H162" i="48"/>
  <c r="H163" i="48"/>
  <c r="H164" i="48"/>
  <c r="D137" i="48"/>
  <c r="H137" i="48"/>
  <c r="H138" i="48"/>
  <c r="H139" i="48"/>
  <c r="D140" i="48"/>
  <c r="H141" i="48"/>
  <c r="H142" i="48"/>
  <c r="H143" i="48"/>
  <c r="H145" i="48"/>
  <c r="H12" i="48"/>
  <c r="H13" i="48"/>
  <c r="H14" i="48"/>
  <c r="H15" i="48"/>
  <c r="H16" i="48"/>
  <c r="H17" i="48"/>
  <c r="H18" i="48"/>
  <c r="H19" i="48"/>
  <c r="H20" i="48"/>
  <c r="H21" i="48"/>
  <c r="H22" i="48"/>
  <c r="H23" i="48"/>
  <c r="H24" i="48"/>
  <c r="H25" i="48"/>
  <c r="H26" i="48"/>
  <c r="H27" i="48"/>
  <c r="H28" i="48"/>
  <c r="H29" i="48"/>
  <c r="H30" i="48"/>
  <c r="H31" i="48"/>
  <c r="H32" i="48"/>
  <c r="H33" i="48"/>
  <c r="H34" i="48"/>
  <c r="H35" i="48"/>
  <c r="H36" i="48"/>
  <c r="H37" i="48"/>
  <c r="H38" i="48"/>
  <c r="H39" i="48"/>
  <c r="H40" i="48"/>
  <c r="H41" i="48"/>
  <c r="H42" i="48"/>
  <c r="H43" i="48"/>
  <c r="H44" i="48"/>
  <c r="H46" i="48"/>
  <c r="H48" i="48"/>
  <c r="H55" i="48"/>
  <c r="H56" i="48"/>
  <c r="H57" i="48"/>
  <c r="H58" i="48"/>
  <c r="H59" i="48"/>
  <c r="H60" i="48"/>
  <c r="H62" i="48"/>
  <c r="H63" i="48"/>
  <c r="H68" i="48"/>
  <c r="D69" i="48"/>
  <c r="H69" i="48"/>
  <c r="H70" i="48"/>
  <c r="H71" i="48"/>
  <c r="H72" i="48"/>
  <c r="H73" i="48"/>
  <c r="H74" i="48"/>
  <c r="H75" i="48"/>
  <c r="H76" i="48"/>
  <c r="H77" i="48"/>
  <c r="H78" i="48"/>
  <c r="H79" i="48"/>
  <c r="H80" i="48"/>
  <c r="H81" i="48"/>
  <c r="H82" i="48"/>
  <c r="H83" i="48"/>
  <c r="G273" i="48"/>
  <c r="G295" i="48"/>
  <c r="G308" i="48"/>
  <c r="G329" i="48"/>
  <c r="G323" i="48"/>
  <c r="G330" i="48"/>
  <c r="G211" i="48"/>
  <c r="G223" i="48"/>
  <c r="G229" i="48"/>
  <c r="G239" i="48"/>
  <c r="G240" i="48"/>
  <c r="G126" i="48"/>
  <c r="G164" i="48"/>
  <c r="G146" i="48"/>
  <c r="G165" i="48"/>
  <c r="G48" i="48"/>
  <c r="G63" i="48"/>
  <c r="G83" i="48"/>
  <c r="G85" i="48"/>
  <c r="G341" i="48"/>
  <c r="G195" i="48"/>
  <c r="G337" i="48"/>
  <c r="F247" i="48"/>
  <c r="F248" i="48"/>
  <c r="F249" i="48"/>
  <c r="F250" i="48"/>
  <c r="F251" i="48"/>
  <c r="F252" i="48"/>
  <c r="F253" i="48"/>
  <c r="F254" i="48"/>
  <c r="F255" i="48"/>
  <c r="F256" i="48"/>
  <c r="F257" i="48"/>
  <c r="F258" i="48"/>
  <c r="F259" i="48"/>
  <c r="F260" i="48"/>
  <c r="F261" i="48"/>
  <c r="F262" i="48"/>
  <c r="F263" i="48"/>
  <c r="F264" i="48"/>
  <c r="F265" i="48"/>
  <c r="F266" i="48"/>
  <c r="F267" i="48"/>
  <c r="F268" i="48"/>
  <c r="F269" i="48"/>
  <c r="F270" i="48"/>
  <c r="F271" i="48"/>
  <c r="F272" i="48"/>
  <c r="F273" i="48"/>
  <c r="F282" i="48"/>
  <c r="F283" i="48"/>
  <c r="F284" i="48"/>
  <c r="F285" i="48"/>
  <c r="F286" i="48"/>
  <c r="F287" i="48"/>
  <c r="F288" i="48"/>
  <c r="F289" i="48"/>
  <c r="F290" i="48"/>
  <c r="F291" i="48"/>
  <c r="F292" i="48"/>
  <c r="F293" i="48"/>
  <c r="F294" i="48"/>
  <c r="F295" i="48"/>
  <c r="F297" i="48"/>
  <c r="F298" i="48"/>
  <c r="F299" i="48"/>
  <c r="F300" i="48"/>
  <c r="F301" i="48"/>
  <c r="F302" i="48"/>
  <c r="F303" i="48"/>
  <c r="F304" i="48"/>
  <c r="F305" i="48"/>
  <c r="F306" i="48"/>
  <c r="F307" i="48"/>
  <c r="F308" i="48"/>
  <c r="F327" i="48"/>
  <c r="F328" i="48"/>
  <c r="F329" i="48"/>
  <c r="F312" i="48"/>
  <c r="F313" i="48"/>
  <c r="F317" i="48"/>
  <c r="F318" i="48"/>
  <c r="F321" i="48"/>
  <c r="F322" i="48"/>
  <c r="F204" i="48"/>
  <c r="F205" i="48"/>
  <c r="F206" i="48"/>
  <c r="F207" i="48"/>
  <c r="F208" i="48"/>
  <c r="F209" i="48"/>
  <c r="F210" i="48"/>
  <c r="F211" i="48"/>
  <c r="F220" i="48"/>
  <c r="F221" i="48"/>
  <c r="F222" i="48"/>
  <c r="F223" i="48"/>
  <c r="F229" i="48"/>
  <c r="F233" i="48"/>
  <c r="F234" i="48"/>
  <c r="F235" i="48"/>
  <c r="F236" i="48"/>
  <c r="F237" i="48"/>
  <c r="F238" i="48"/>
  <c r="F239" i="48"/>
  <c r="F96" i="48"/>
  <c r="F97" i="48"/>
  <c r="F98" i="48"/>
  <c r="F99" i="48"/>
  <c r="F100" i="48"/>
  <c r="F101" i="48"/>
  <c r="F102" i="48"/>
  <c r="F103" i="48"/>
  <c r="F104" i="48"/>
  <c r="F105" i="48"/>
  <c r="F106" i="48"/>
  <c r="F107" i="48"/>
  <c r="F108" i="48"/>
  <c r="F109" i="48"/>
  <c r="F110" i="48"/>
  <c r="F111" i="48"/>
  <c r="F112" i="48"/>
  <c r="F113" i="48"/>
  <c r="F114" i="48"/>
  <c r="F115" i="48"/>
  <c r="F116" i="48"/>
  <c r="F117" i="48"/>
  <c r="F118" i="48"/>
  <c r="F119" i="48"/>
  <c r="F124" i="48"/>
  <c r="F126" i="48"/>
  <c r="F149" i="48"/>
  <c r="F150" i="48"/>
  <c r="F151" i="48"/>
  <c r="F152" i="48"/>
  <c r="F153" i="48"/>
  <c r="F154" i="48"/>
  <c r="F155" i="48"/>
  <c r="F156" i="48"/>
  <c r="F157" i="48"/>
  <c r="F158" i="48"/>
  <c r="F159" i="48"/>
  <c r="F160" i="48"/>
  <c r="F161" i="48"/>
  <c r="F162" i="48"/>
  <c r="F163" i="48"/>
  <c r="F164" i="48"/>
  <c r="F138" i="48"/>
  <c r="F139" i="48"/>
  <c r="F141" i="48"/>
  <c r="F142" i="48"/>
  <c r="F143" i="48"/>
  <c r="F145" i="48"/>
  <c r="F12" i="48"/>
  <c r="F13" i="48"/>
  <c r="F14" i="48"/>
  <c r="F15" i="48"/>
  <c r="F16" i="48"/>
  <c r="F17" i="48"/>
  <c r="F18" i="48"/>
  <c r="F19" i="48"/>
  <c r="F20" i="48"/>
  <c r="F21" i="48"/>
  <c r="F22" i="48"/>
  <c r="F23" i="48"/>
  <c r="F24" i="48"/>
  <c r="F25" i="48"/>
  <c r="F26" i="48"/>
  <c r="F27" i="48"/>
  <c r="F28" i="48"/>
  <c r="F29" i="48"/>
  <c r="F30" i="48"/>
  <c r="F31" i="48"/>
  <c r="F32" i="48"/>
  <c r="F33" i="48"/>
  <c r="F34" i="48"/>
  <c r="F35" i="48"/>
  <c r="F36" i="48"/>
  <c r="F37" i="48"/>
  <c r="F38" i="48"/>
  <c r="F39" i="48"/>
  <c r="F40" i="48"/>
  <c r="F41" i="48"/>
  <c r="F42" i="48"/>
  <c r="F43" i="48"/>
  <c r="F44" i="48"/>
  <c r="F45" i="48"/>
  <c r="F46" i="48"/>
  <c r="F48" i="48"/>
  <c r="F55" i="48"/>
  <c r="F56" i="48"/>
  <c r="F57" i="48"/>
  <c r="F58" i="48"/>
  <c r="F59" i="48"/>
  <c r="F60" i="48"/>
  <c r="F61" i="48"/>
  <c r="F62" i="48"/>
  <c r="F63" i="48"/>
  <c r="F68" i="48"/>
  <c r="F70" i="48"/>
  <c r="F71" i="48"/>
  <c r="F73" i="48"/>
  <c r="F74" i="48"/>
  <c r="F75" i="48"/>
  <c r="F77" i="48"/>
  <c r="F78" i="48"/>
  <c r="F79" i="48"/>
  <c r="F81" i="48"/>
  <c r="F82" i="48"/>
  <c r="E164" i="48"/>
  <c r="E165" i="48"/>
  <c r="E341" i="48"/>
  <c r="D164" i="48"/>
  <c r="D165" i="48"/>
  <c r="D341" i="48"/>
  <c r="C164" i="48"/>
  <c r="C165" i="48"/>
  <c r="C341" i="48"/>
  <c r="P339" i="48"/>
  <c r="O339" i="48"/>
  <c r="N339" i="48"/>
  <c r="M339" i="48"/>
  <c r="L339" i="48"/>
  <c r="K339" i="48"/>
  <c r="J339" i="48"/>
  <c r="G339" i="48"/>
  <c r="E339" i="48"/>
  <c r="D339" i="48"/>
  <c r="C339" i="48"/>
  <c r="P338" i="48"/>
  <c r="O338" i="48"/>
  <c r="N338" i="48"/>
  <c r="M338" i="48"/>
  <c r="L338" i="48"/>
  <c r="K338" i="48"/>
  <c r="J338" i="48"/>
  <c r="G338" i="48"/>
  <c r="E338" i="48"/>
  <c r="D338" i="48"/>
  <c r="C338" i="48"/>
  <c r="P337" i="48"/>
  <c r="O337" i="48"/>
  <c r="N337" i="48"/>
  <c r="M337" i="48"/>
  <c r="L337" i="48"/>
  <c r="K337" i="48"/>
  <c r="I188" i="48"/>
  <c r="I189" i="48"/>
  <c r="F189" i="48"/>
  <c r="I190" i="48"/>
  <c r="I191" i="48"/>
  <c r="C192" i="48"/>
  <c r="E192" i="48"/>
  <c r="I192" i="48"/>
  <c r="D192" i="48"/>
  <c r="H192" i="48"/>
  <c r="I193" i="48"/>
  <c r="I194" i="48"/>
  <c r="H188" i="48"/>
  <c r="H189" i="48"/>
  <c r="H190" i="48"/>
  <c r="H191" i="48"/>
  <c r="H193" i="48"/>
  <c r="H194" i="48"/>
  <c r="H195" i="48"/>
  <c r="F188" i="48"/>
  <c r="F190" i="48"/>
  <c r="F191" i="48"/>
  <c r="F193" i="48"/>
  <c r="F194" i="48"/>
  <c r="E295" i="48"/>
  <c r="E337" i="48"/>
  <c r="D295" i="48"/>
  <c r="D337" i="48"/>
  <c r="C295" i="48"/>
  <c r="C337" i="48"/>
  <c r="L336" i="48"/>
  <c r="K336" i="48"/>
  <c r="I171" i="48"/>
  <c r="F171" i="48"/>
  <c r="I172" i="48"/>
  <c r="I173" i="48"/>
  <c r="I174" i="48"/>
  <c r="I175" i="48"/>
  <c r="F175" i="48"/>
  <c r="I176" i="48"/>
  <c r="I177" i="48"/>
  <c r="I178" i="48"/>
  <c r="I179" i="48"/>
  <c r="F179" i="48"/>
  <c r="I180" i="48"/>
  <c r="I181" i="48"/>
  <c r="C182" i="48"/>
  <c r="D182" i="48"/>
  <c r="E182" i="48"/>
  <c r="H182" i="48"/>
  <c r="E198" i="48"/>
  <c r="E199" i="48"/>
  <c r="I183" i="48"/>
  <c r="I184" i="48"/>
  <c r="H171" i="48"/>
  <c r="H172" i="48"/>
  <c r="H173" i="48"/>
  <c r="H174" i="48"/>
  <c r="H175" i="48"/>
  <c r="H176" i="48"/>
  <c r="H177" i="48"/>
  <c r="H178" i="48"/>
  <c r="H179" i="48"/>
  <c r="H180" i="48"/>
  <c r="H181" i="48"/>
  <c r="H183" i="48"/>
  <c r="H184" i="48"/>
  <c r="H185" i="48"/>
  <c r="G185" i="48"/>
  <c r="G336" i="48"/>
  <c r="F172" i="48"/>
  <c r="F173" i="48"/>
  <c r="F174" i="48"/>
  <c r="F176" i="48"/>
  <c r="F177" i="48"/>
  <c r="F178" i="48"/>
  <c r="F180" i="48"/>
  <c r="F181" i="48"/>
  <c r="F183" i="48"/>
  <c r="F184" i="48"/>
  <c r="E273" i="48"/>
  <c r="E336" i="48"/>
  <c r="D273" i="48"/>
  <c r="D336" i="48"/>
  <c r="C273" i="48"/>
  <c r="C336" i="48"/>
  <c r="E333" i="48"/>
  <c r="E326" i="48"/>
  <c r="E334" i="48"/>
  <c r="D333" i="48"/>
  <c r="D326" i="48"/>
  <c r="D334" i="48"/>
  <c r="C333" i="48"/>
  <c r="C326" i="48"/>
  <c r="C334" i="48"/>
  <c r="E212" i="48"/>
  <c r="E225" i="48"/>
  <c r="E231" i="48"/>
  <c r="E241" i="48"/>
  <c r="E242" i="48"/>
  <c r="D212" i="48"/>
  <c r="D225" i="48"/>
  <c r="D231" i="48"/>
  <c r="D241" i="48"/>
  <c r="D242" i="48"/>
  <c r="C212" i="48"/>
  <c r="C225" i="48"/>
  <c r="C231" i="48"/>
  <c r="C241" i="48"/>
  <c r="C242" i="48"/>
  <c r="C198" i="48"/>
  <c r="C199" i="48"/>
  <c r="D198" i="48"/>
  <c r="D199" i="48"/>
  <c r="E120" i="48"/>
  <c r="D120" i="48"/>
  <c r="C120" i="48"/>
  <c r="E54" i="48"/>
  <c r="E89" i="48"/>
  <c r="E91" i="48"/>
  <c r="D54" i="48"/>
  <c r="D89" i="48"/>
  <c r="D91" i="48"/>
  <c r="C54" i="48"/>
  <c r="C89" i="48"/>
  <c r="C91" i="48"/>
  <c r="E212" i="42"/>
  <c r="E225" i="42"/>
  <c r="E231" i="42"/>
  <c r="E241" i="42"/>
  <c r="E242" i="42"/>
  <c r="D212" i="42"/>
  <c r="D225" i="42"/>
  <c r="D231" i="42"/>
  <c r="D241" i="42"/>
  <c r="D242" i="42"/>
  <c r="C212" i="42"/>
  <c r="C225" i="42"/>
  <c r="C231" i="42"/>
  <c r="C241" i="42"/>
  <c r="C242" i="42"/>
  <c r="E182" i="42"/>
  <c r="E192" i="42"/>
  <c r="E198" i="42"/>
  <c r="E199" i="42"/>
  <c r="D182" i="42"/>
  <c r="D192" i="42"/>
  <c r="D198" i="42"/>
  <c r="D199" i="42"/>
  <c r="C182" i="42"/>
  <c r="C192" i="42"/>
  <c r="C198" i="42"/>
  <c r="C199" i="42"/>
  <c r="E273" i="42"/>
  <c r="E295" i="42"/>
  <c r="E311" i="42"/>
  <c r="E333" i="42"/>
  <c r="E326" i="42"/>
  <c r="E334" i="42"/>
  <c r="D273" i="42"/>
  <c r="D295" i="42"/>
  <c r="D311" i="42"/>
  <c r="D333" i="42"/>
  <c r="D326" i="42"/>
  <c r="D334" i="42"/>
  <c r="C273" i="42"/>
  <c r="C295" i="42"/>
  <c r="C311" i="42"/>
  <c r="C333" i="42"/>
  <c r="C326" i="42"/>
  <c r="C334" i="42"/>
  <c r="E54" i="42"/>
  <c r="E69" i="42"/>
  <c r="E89" i="42"/>
  <c r="E91" i="42"/>
  <c r="D54" i="42"/>
  <c r="D69" i="42"/>
  <c r="D89" i="42"/>
  <c r="D91" i="42"/>
  <c r="C54" i="42"/>
  <c r="C69" i="42"/>
  <c r="C89" i="42"/>
  <c r="C91" i="42"/>
  <c r="E137" i="42"/>
  <c r="E140" i="42"/>
  <c r="D137" i="42"/>
  <c r="D140" i="42"/>
  <c r="C137" i="42"/>
  <c r="C140" i="42"/>
  <c r="I140" i="42"/>
  <c r="F140" i="42"/>
  <c r="I137" i="42"/>
  <c r="F137" i="42"/>
  <c r="I138" i="42"/>
  <c r="F138" i="42"/>
  <c r="I139" i="42"/>
  <c r="F139" i="42"/>
  <c r="I141" i="42"/>
  <c r="F141" i="42"/>
  <c r="I142" i="42"/>
  <c r="F142" i="42"/>
  <c r="I143" i="42"/>
  <c r="F143" i="42"/>
  <c r="I145" i="42"/>
  <c r="F145" i="42"/>
  <c r="F146" i="42"/>
  <c r="I96" i="42"/>
  <c r="F96" i="42"/>
  <c r="I97" i="42"/>
  <c r="F97" i="42"/>
  <c r="I98" i="42"/>
  <c r="F98" i="42"/>
  <c r="I99" i="42"/>
  <c r="F99" i="42"/>
  <c r="I100" i="42"/>
  <c r="F100" i="42"/>
  <c r="I101" i="42"/>
  <c r="F101" i="42"/>
  <c r="I102" i="42"/>
  <c r="F102" i="42"/>
  <c r="I103" i="42"/>
  <c r="F103" i="42"/>
  <c r="I104" i="42"/>
  <c r="F104" i="42"/>
  <c r="I105" i="42"/>
  <c r="F105" i="42"/>
  <c r="I106" i="42"/>
  <c r="F106" i="42"/>
  <c r="I107" i="42"/>
  <c r="F107" i="42"/>
  <c r="I108" i="42"/>
  <c r="F108" i="42"/>
  <c r="I109" i="42"/>
  <c r="F109" i="42"/>
  <c r="I110" i="42"/>
  <c r="F110" i="42"/>
  <c r="I111" i="42"/>
  <c r="F111" i="42"/>
  <c r="J112" i="42"/>
  <c r="F112" i="42"/>
  <c r="I113" i="42"/>
  <c r="F113" i="42"/>
  <c r="I114" i="42"/>
  <c r="F114" i="42"/>
  <c r="I115" i="42"/>
  <c r="F115" i="42"/>
  <c r="I116" i="42"/>
  <c r="F116" i="42"/>
  <c r="I117" i="42"/>
  <c r="F117" i="42"/>
  <c r="I118" i="42"/>
  <c r="F118" i="42"/>
  <c r="I119" i="42"/>
  <c r="F119" i="42"/>
  <c r="I124" i="42"/>
  <c r="F124" i="42"/>
  <c r="F126" i="42"/>
  <c r="I149" i="42"/>
  <c r="F149" i="42"/>
  <c r="I150" i="42"/>
  <c r="F150" i="42"/>
  <c r="I151" i="42"/>
  <c r="F151" i="42"/>
  <c r="I152" i="42"/>
  <c r="F152" i="42"/>
  <c r="I153" i="42"/>
  <c r="F153" i="42"/>
  <c r="I154" i="42"/>
  <c r="F154" i="42"/>
  <c r="I155" i="42"/>
  <c r="F155" i="42"/>
  <c r="I156" i="42"/>
  <c r="F156" i="42"/>
  <c r="I157" i="42"/>
  <c r="F157" i="42"/>
  <c r="I158" i="42"/>
  <c r="F158" i="42"/>
  <c r="I159" i="42"/>
  <c r="F159" i="42"/>
  <c r="I160" i="42"/>
  <c r="F160" i="42"/>
  <c r="I161" i="42"/>
  <c r="F161" i="42"/>
  <c r="I162" i="42"/>
  <c r="F162" i="42"/>
  <c r="I163" i="42"/>
  <c r="F163" i="42"/>
  <c r="F164" i="42"/>
  <c r="F165" i="42"/>
  <c r="E120" i="42"/>
  <c r="D120" i="42"/>
  <c r="C120" i="42"/>
  <c r="M24" i="38"/>
  <c r="I24" i="38"/>
  <c r="M23" i="38"/>
  <c r="I15" i="38"/>
  <c r="I16" i="38"/>
  <c r="I17" i="38"/>
  <c r="I18" i="38"/>
  <c r="I19" i="38"/>
  <c r="I20" i="38"/>
  <c r="I21" i="38"/>
  <c r="I22" i="38"/>
  <c r="I25" i="38"/>
  <c r="J25" i="38"/>
  <c r="K25" i="38"/>
  <c r="L25" i="38"/>
  <c r="M15" i="38"/>
  <c r="M17" i="38"/>
  <c r="M18" i="38"/>
  <c r="M19" i="38"/>
  <c r="M20" i="38"/>
  <c r="M21" i="38"/>
  <c r="M22" i="38"/>
  <c r="G25" i="38"/>
  <c r="H25" i="38"/>
  <c r="G56" i="20"/>
  <c r="D33" i="19"/>
  <c r="N17" i="7"/>
  <c r="G35" i="20"/>
  <c r="D34" i="20"/>
  <c r="C35" i="20"/>
  <c r="G34" i="20"/>
  <c r="F34" i="20"/>
  <c r="E34" i="20"/>
  <c r="I221" i="42"/>
  <c r="I222" i="42"/>
  <c r="I220" i="42"/>
  <c r="I223" i="42"/>
  <c r="I184" i="42"/>
  <c r="I56" i="42"/>
  <c r="I57" i="42"/>
  <c r="I58" i="42"/>
  <c r="I59" i="42"/>
  <c r="I60" i="42"/>
  <c r="I55" i="42"/>
  <c r="I61" i="42"/>
  <c r="I62" i="42"/>
  <c r="I63" i="42"/>
  <c r="I38" i="42"/>
  <c r="I24" i="42"/>
  <c r="I283" i="42"/>
  <c r="I284" i="42"/>
  <c r="I282" i="42"/>
  <c r="I285" i="42"/>
  <c r="I286" i="42"/>
  <c r="I287" i="42"/>
  <c r="I288" i="42"/>
  <c r="I289" i="42"/>
  <c r="I295" i="42"/>
  <c r="J291" i="42"/>
  <c r="J292" i="42"/>
  <c r="J290" i="42"/>
  <c r="J293" i="42"/>
  <c r="J294" i="42"/>
  <c r="J295" i="42"/>
  <c r="I183" i="42"/>
  <c r="I46" i="42"/>
  <c r="I68" i="42"/>
  <c r="I69" i="42"/>
  <c r="I70" i="42"/>
  <c r="I71" i="42"/>
  <c r="I72" i="42"/>
  <c r="I73" i="42"/>
  <c r="I74" i="42"/>
  <c r="I75" i="42"/>
  <c r="I76" i="42"/>
  <c r="I77" i="42"/>
  <c r="I78" i="42"/>
  <c r="I79" i="42"/>
  <c r="I80" i="42"/>
  <c r="I81" i="42"/>
  <c r="I82" i="42"/>
  <c r="I83" i="42"/>
  <c r="I327" i="42"/>
  <c r="I328" i="42"/>
  <c r="I329" i="42"/>
  <c r="I233" i="42"/>
  <c r="I234" i="42"/>
  <c r="I235" i="42"/>
  <c r="I236" i="42"/>
  <c r="I237" i="42"/>
  <c r="I238" i="42"/>
  <c r="I239" i="42"/>
  <c r="I164" i="42"/>
  <c r="I339" i="42"/>
  <c r="I126" i="42"/>
  <c r="I204" i="42"/>
  <c r="I205" i="42"/>
  <c r="I206" i="42"/>
  <c r="I207" i="42"/>
  <c r="I208" i="42"/>
  <c r="I209" i="42"/>
  <c r="I210" i="42"/>
  <c r="I211" i="42"/>
  <c r="I229" i="42"/>
  <c r="I240" i="42"/>
  <c r="M240" i="42"/>
  <c r="N240" i="42"/>
  <c r="I247" i="42"/>
  <c r="I248" i="42"/>
  <c r="F248" i="42"/>
  <c r="I249" i="42"/>
  <c r="I250" i="42"/>
  <c r="I251" i="42"/>
  <c r="I252" i="42"/>
  <c r="F252" i="42"/>
  <c r="I253" i="42"/>
  <c r="I254" i="42"/>
  <c r="I255" i="42"/>
  <c r="I256" i="42"/>
  <c r="F256" i="42"/>
  <c r="I257" i="42"/>
  <c r="I258" i="42"/>
  <c r="I259" i="42"/>
  <c r="I260" i="42"/>
  <c r="F260" i="42"/>
  <c r="I261" i="42"/>
  <c r="I262" i="42"/>
  <c r="I263" i="42"/>
  <c r="I264" i="42"/>
  <c r="F264" i="42"/>
  <c r="I265" i="42"/>
  <c r="I266" i="42"/>
  <c r="I267" i="42"/>
  <c r="I268" i="42"/>
  <c r="F268" i="42"/>
  <c r="I269" i="42"/>
  <c r="I270" i="42"/>
  <c r="I271" i="42"/>
  <c r="I272" i="42"/>
  <c r="F272" i="42"/>
  <c r="I311" i="42"/>
  <c r="I312" i="42"/>
  <c r="I313" i="42"/>
  <c r="I323" i="42"/>
  <c r="F313" i="42"/>
  <c r="F311" i="42"/>
  <c r="F312" i="42"/>
  <c r="F317" i="42"/>
  <c r="F318" i="42"/>
  <c r="F321" i="42"/>
  <c r="F322" i="42"/>
  <c r="F323" i="42"/>
  <c r="F229" i="42"/>
  <c r="F338" i="42"/>
  <c r="I297" i="42"/>
  <c r="I299" i="42"/>
  <c r="I302" i="42"/>
  <c r="I303" i="42"/>
  <c r="I304" i="42"/>
  <c r="I305" i="42"/>
  <c r="I306" i="42"/>
  <c r="I308" i="42"/>
  <c r="J298" i="42"/>
  <c r="J300" i="42"/>
  <c r="J301" i="42"/>
  <c r="J308" i="42"/>
  <c r="J329" i="42"/>
  <c r="J323" i="42"/>
  <c r="J126" i="42"/>
  <c r="J164" i="42"/>
  <c r="J165" i="42"/>
  <c r="K307" i="42"/>
  <c r="K308" i="42"/>
  <c r="K330" i="42"/>
  <c r="K126" i="42"/>
  <c r="K164" i="42"/>
  <c r="K165" i="42"/>
  <c r="K341" i="42"/>
  <c r="H12" i="42"/>
  <c r="H13" i="42"/>
  <c r="H14" i="42"/>
  <c r="H15" i="42"/>
  <c r="H16" i="42"/>
  <c r="H17" i="42"/>
  <c r="H18" i="42"/>
  <c r="H19" i="42"/>
  <c r="H20" i="42"/>
  <c r="H21" i="42"/>
  <c r="H22" i="42"/>
  <c r="H23" i="42"/>
  <c r="H24" i="42"/>
  <c r="H25" i="42"/>
  <c r="H26" i="42"/>
  <c r="H27" i="42"/>
  <c r="H28" i="42"/>
  <c r="H29" i="42"/>
  <c r="H30" i="42"/>
  <c r="H31" i="42"/>
  <c r="H32" i="42"/>
  <c r="H33" i="42"/>
  <c r="H34" i="42"/>
  <c r="H35" i="42"/>
  <c r="H36" i="42"/>
  <c r="H37" i="42"/>
  <c r="H38" i="42"/>
  <c r="H39" i="42"/>
  <c r="H40" i="42"/>
  <c r="H41" i="42"/>
  <c r="H42" i="42"/>
  <c r="H43" i="42"/>
  <c r="H44" i="42"/>
  <c r="H46" i="42"/>
  <c r="H48" i="42"/>
  <c r="H171" i="42"/>
  <c r="H172" i="42"/>
  <c r="H173" i="42"/>
  <c r="H174" i="42"/>
  <c r="H175" i="42"/>
  <c r="H176" i="42"/>
  <c r="H177" i="42"/>
  <c r="H178" i="42"/>
  <c r="H179" i="42"/>
  <c r="H180" i="42"/>
  <c r="H181" i="42"/>
  <c r="H182" i="42"/>
  <c r="H183" i="42"/>
  <c r="H184" i="42"/>
  <c r="H185" i="42"/>
  <c r="H204" i="42"/>
  <c r="H205" i="42"/>
  <c r="H206" i="42"/>
  <c r="H207" i="42"/>
  <c r="H208" i="42"/>
  <c r="H209" i="42"/>
  <c r="H210" i="42"/>
  <c r="H211" i="42"/>
  <c r="H247" i="42"/>
  <c r="H248" i="42"/>
  <c r="H249" i="42"/>
  <c r="H250" i="42"/>
  <c r="H251" i="42"/>
  <c r="H252" i="42"/>
  <c r="H253" i="42"/>
  <c r="H254" i="42"/>
  <c r="H255" i="42"/>
  <c r="H256" i="42"/>
  <c r="H257" i="42"/>
  <c r="H258" i="42"/>
  <c r="H259" i="42"/>
  <c r="H260" i="42"/>
  <c r="H261" i="42"/>
  <c r="H262" i="42"/>
  <c r="H263" i="42"/>
  <c r="H264" i="42"/>
  <c r="H265" i="42"/>
  <c r="H266" i="42"/>
  <c r="H267" i="42"/>
  <c r="H268" i="42"/>
  <c r="H269" i="42"/>
  <c r="H270" i="42"/>
  <c r="H271" i="42"/>
  <c r="H272" i="42"/>
  <c r="H273" i="42"/>
  <c r="H96" i="42"/>
  <c r="H97" i="42"/>
  <c r="H98" i="42"/>
  <c r="H99" i="42"/>
  <c r="H100" i="42"/>
  <c r="H101" i="42"/>
  <c r="H102" i="42"/>
  <c r="H103" i="42"/>
  <c r="H104" i="42"/>
  <c r="H105" i="42"/>
  <c r="H106" i="42"/>
  <c r="H107" i="42"/>
  <c r="H108" i="42"/>
  <c r="H109" i="42"/>
  <c r="H110" i="42"/>
  <c r="H111" i="42"/>
  <c r="H112" i="42"/>
  <c r="H113" i="42"/>
  <c r="H114" i="42"/>
  <c r="H115" i="42"/>
  <c r="H116" i="42"/>
  <c r="H117" i="42"/>
  <c r="H118" i="42"/>
  <c r="H119" i="42"/>
  <c r="H124" i="42"/>
  <c r="H126" i="42"/>
  <c r="H297" i="42"/>
  <c r="H298" i="42"/>
  <c r="H299" i="42"/>
  <c r="H300" i="42"/>
  <c r="H301" i="42"/>
  <c r="H302" i="42"/>
  <c r="H303" i="42"/>
  <c r="H304" i="42"/>
  <c r="H305" i="42"/>
  <c r="H306" i="42"/>
  <c r="H307" i="42"/>
  <c r="H282" i="42"/>
  <c r="H283" i="42"/>
  <c r="H284" i="42"/>
  <c r="H285" i="42"/>
  <c r="H286" i="42"/>
  <c r="H287" i="42"/>
  <c r="H288" i="42"/>
  <c r="H289" i="42"/>
  <c r="H290" i="42"/>
  <c r="H291" i="42"/>
  <c r="H292" i="42"/>
  <c r="H293" i="42"/>
  <c r="H294" i="42"/>
  <c r="H220" i="42"/>
  <c r="H221" i="42"/>
  <c r="H222" i="42"/>
  <c r="H223" i="42"/>
  <c r="H188" i="42"/>
  <c r="H189" i="42"/>
  <c r="H190" i="42"/>
  <c r="H191" i="42"/>
  <c r="H192" i="42"/>
  <c r="H193" i="42"/>
  <c r="H194" i="42"/>
  <c r="H55" i="42"/>
  <c r="H56" i="42"/>
  <c r="H57" i="42"/>
  <c r="H58" i="42"/>
  <c r="H59" i="42"/>
  <c r="H60" i="42"/>
  <c r="H62" i="42"/>
  <c r="H137" i="42"/>
  <c r="H138" i="42"/>
  <c r="H139" i="42"/>
  <c r="H140" i="42"/>
  <c r="H141" i="42"/>
  <c r="H142" i="42"/>
  <c r="H143" i="42"/>
  <c r="H145" i="42"/>
  <c r="H146" i="42"/>
  <c r="I171" i="42"/>
  <c r="I172" i="42"/>
  <c r="I173" i="42"/>
  <c r="F173" i="42"/>
  <c r="I174" i="42"/>
  <c r="I175" i="42"/>
  <c r="I176" i="42"/>
  <c r="I177" i="42"/>
  <c r="F177" i="42"/>
  <c r="I178" i="42"/>
  <c r="I179" i="42"/>
  <c r="I180" i="42"/>
  <c r="I181" i="42"/>
  <c r="F181" i="42"/>
  <c r="I182" i="42"/>
  <c r="I188" i="42"/>
  <c r="I189" i="42"/>
  <c r="I190" i="42"/>
  <c r="I191" i="42"/>
  <c r="I192" i="42"/>
  <c r="I193" i="42"/>
  <c r="I194" i="42"/>
  <c r="I195" i="42"/>
  <c r="F189" i="42"/>
  <c r="F193" i="42"/>
  <c r="I12" i="42"/>
  <c r="F12" i="42"/>
  <c r="I13" i="42"/>
  <c r="I14" i="42"/>
  <c r="I15" i="42"/>
  <c r="I16" i="42"/>
  <c r="I17" i="42"/>
  <c r="I18" i="42"/>
  <c r="I19" i="42"/>
  <c r="I20" i="42"/>
  <c r="I21" i="42"/>
  <c r="I22" i="42"/>
  <c r="I23" i="42"/>
  <c r="I25" i="42"/>
  <c r="F25" i="42"/>
  <c r="I26" i="42"/>
  <c r="I27" i="42"/>
  <c r="I28" i="42"/>
  <c r="I29" i="42"/>
  <c r="F29" i="42"/>
  <c r="I30" i="42"/>
  <c r="I31" i="42"/>
  <c r="I32" i="42"/>
  <c r="I33" i="42"/>
  <c r="I34" i="42"/>
  <c r="I35" i="42"/>
  <c r="I36" i="42"/>
  <c r="I37" i="42"/>
  <c r="I39" i="42"/>
  <c r="I40" i="42"/>
  <c r="I41" i="42"/>
  <c r="I42" i="42"/>
  <c r="F42" i="42"/>
  <c r="I43" i="42"/>
  <c r="I44" i="42"/>
  <c r="I45" i="42"/>
  <c r="H327" i="42"/>
  <c r="H328" i="42"/>
  <c r="H329" i="42"/>
  <c r="H233" i="42"/>
  <c r="H234" i="42"/>
  <c r="H235" i="42"/>
  <c r="H236" i="42"/>
  <c r="H237" i="42"/>
  <c r="H238" i="42"/>
  <c r="H149" i="42"/>
  <c r="H150" i="42"/>
  <c r="H151" i="42"/>
  <c r="H152" i="42"/>
  <c r="H153" i="42"/>
  <c r="H154" i="42"/>
  <c r="H155" i="42"/>
  <c r="H156" i="42"/>
  <c r="H157" i="42"/>
  <c r="H158" i="42"/>
  <c r="H159" i="42"/>
  <c r="H160" i="42"/>
  <c r="H161" i="42"/>
  <c r="H162" i="42"/>
  <c r="H163" i="42"/>
  <c r="H68" i="42"/>
  <c r="H69" i="42"/>
  <c r="H70" i="42"/>
  <c r="H71" i="42"/>
  <c r="H72" i="42"/>
  <c r="H73" i="42"/>
  <c r="H74" i="42"/>
  <c r="H75" i="42"/>
  <c r="H76" i="42"/>
  <c r="H77" i="42"/>
  <c r="H78" i="42"/>
  <c r="H79" i="42"/>
  <c r="H80" i="42"/>
  <c r="H81" i="42"/>
  <c r="H82" i="42"/>
  <c r="C9" i="18"/>
  <c r="C10" i="18"/>
  <c r="C16" i="18"/>
  <c r="C17" i="18"/>
  <c r="F307" i="42"/>
  <c r="F306" i="42"/>
  <c r="F303" i="42"/>
  <c r="F304" i="42"/>
  <c r="F305" i="42"/>
  <c r="F302" i="42"/>
  <c r="F297" i="42"/>
  <c r="C33" i="19"/>
  <c r="F328" i="42"/>
  <c r="F327" i="42"/>
  <c r="F283" i="42"/>
  <c r="F284" i="42"/>
  <c r="F285" i="42"/>
  <c r="F286" i="42"/>
  <c r="F287" i="42"/>
  <c r="F288" i="42"/>
  <c r="F289" i="42"/>
  <c r="F290" i="42"/>
  <c r="F291" i="42"/>
  <c r="F292" i="42"/>
  <c r="F293" i="42"/>
  <c r="F294" i="42"/>
  <c r="F282" i="42"/>
  <c r="F249" i="42"/>
  <c r="F250" i="42"/>
  <c r="F251" i="42"/>
  <c r="F253" i="42"/>
  <c r="F254" i="42"/>
  <c r="F255" i="42"/>
  <c r="F257" i="42"/>
  <c r="F258" i="42"/>
  <c r="F259" i="42"/>
  <c r="F261" i="42"/>
  <c r="F262" i="42"/>
  <c r="F263" i="42"/>
  <c r="F265" i="42"/>
  <c r="F266" i="42"/>
  <c r="F267" i="42"/>
  <c r="F269" i="42"/>
  <c r="F270" i="42"/>
  <c r="F271" i="42"/>
  <c r="F247" i="42"/>
  <c r="F234" i="42"/>
  <c r="F235" i="42"/>
  <c r="F236" i="42"/>
  <c r="F237" i="42"/>
  <c r="F238" i="42"/>
  <c r="F233" i="42"/>
  <c r="F221" i="42"/>
  <c r="F222" i="42"/>
  <c r="F220" i="42"/>
  <c r="F205" i="42"/>
  <c r="F206" i="42"/>
  <c r="F207" i="42"/>
  <c r="F208" i="42"/>
  <c r="F209" i="42"/>
  <c r="F210" i="42"/>
  <c r="F204" i="42"/>
  <c r="F190" i="42"/>
  <c r="F191" i="42"/>
  <c r="F192" i="42"/>
  <c r="F194" i="42"/>
  <c r="F188" i="42"/>
  <c r="F172" i="42"/>
  <c r="F174" i="42"/>
  <c r="F175" i="42"/>
  <c r="F176" i="42"/>
  <c r="F178" i="42"/>
  <c r="F179" i="42"/>
  <c r="F180" i="42"/>
  <c r="F182" i="42"/>
  <c r="F183" i="42"/>
  <c r="F184" i="42"/>
  <c r="F171" i="42"/>
  <c r="F69" i="42"/>
  <c r="F70" i="42"/>
  <c r="F71" i="42"/>
  <c r="F72" i="42"/>
  <c r="F73" i="42"/>
  <c r="F74" i="42"/>
  <c r="F75" i="42"/>
  <c r="F76" i="42"/>
  <c r="F77" i="42"/>
  <c r="F78" i="42"/>
  <c r="F79" i="42"/>
  <c r="F80" i="42"/>
  <c r="F81" i="42"/>
  <c r="F82" i="42"/>
  <c r="F68" i="42"/>
  <c r="F55" i="42"/>
  <c r="F56" i="42"/>
  <c r="F57" i="42"/>
  <c r="F58" i="42"/>
  <c r="F59" i="42"/>
  <c r="F60" i="42"/>
  <c r="F61" i="42"/>
  <c r="F62" i="42"/>
  <c r="F63" i="42"/>
  <c r="F45" i="42"/>
  <c r="F14" i="42"/>
  <c r="F15" i="42"/>
  <c r="F16" i="42"/>
  <c r="F17" i="42"/>
  <c r="F18" i="42"/>
  <c r="F19" i="42"/>
  <c r="F20" i="42"/>
  <c r="F21" i="42"/>
  <c r="F22" i="42"/>
  <c r="F23" i="42"/>
  <c r="F24" i="42"/>
  <c r="F26" i="42"/>
  <c r="F27" i="42"/>
  <c r="F28" i="42"/>
  <c r="F30" i="42"/>
  <c r="F31" i="42"/>
  <c r="F32" i="42"/>
  <c r="F33" i="42"/>
  <c r="F34" i="42"/>
  <c r="F35" i="42"/>
  <c r="F36" i="42"/>
  <c r="F37" i="42"/>
  <c r="F38" i="42"/>
  <c r="F39" i="42"/>
  <c r="F40" i="42"/>
  <c r="F41" i="42"/>
  <c r="F43" i="42"/>
  <c r="F44" i="42"/>
  <c r="F13" i="42"/>
  <c r="G48" i="42"/>
  <c r="N24" i="39"/>
  <c r="E22" i="37"/>
  <c r="G21" i="41"/>
  <c r="F22" i="37"/>
  <c r="H21" i="41"/>
  <c r="G22" i="37"/>
  <c r="I15" i="41"/>
  <c r="K21" i="41"/>
  <c r="J22" i="37"/>
  <c r="I16" i="41"/>
  <c r="I18" i="41"/>
  <c r="I19" i="41"/>
  <c r="J21" i="41"/>
  <c r="I22" i="37"/>
  <c r="M15" i="41"/>
  <c r="M18" i="41"/>
  <c r="M19" i="41"/>
  <c r="M22" i="37"/>
  <c r="E15" i="41"/>
  <c r="E18" i="41"/>
  <c r="E19" i="41"/>
  <c r="E20" i="37"/>
  <c r="G22" i="40"/>
  <c r="F20" i="37"/>
  <c r="H22" i="40"/>
  <c r="G20" i="37"/>
  <c r="I16" i="40"/>
  <c r="I19" i="40"/>
  <c r="J22" i="40"/>
  <c r="I20" i="37"/>
  <c r="E15" i="40"/>
  <c r="E16" i="40"/>
  <c r="E17" i="40"/>
  <c r="E18" i="40"/>
  <c r="E19" i="40"/>
  <c r="E20" i="40"/>
  <c r="E18" i="37"/>
  <c r="I15" i="39"/>
  <c r="I17" i="39"/>
  <c r="I21" i="39"/>
  <c r="I22" i="39"/>
  <c r="J25" i="39"/>
  <c r="I18" i="37"/>
  <c r="D18" i="37"/>
  <c r="E16" i="37"/>
  <c r="G16" i="37"/>
  <c r="I20" i="7"/>
  <c r="I21" i="7"/>
  <c r="I22" i="7"/>
  <c r="I14" i="7"/>
  <c r="I14" i="37"/>
  <c r="I16" i="37"/>
  <c r="I24" i="37"/>
  <c r="M20" i="7"/>
  <c r="E14" i="37"/>
  <c r="D164" i="42"/>
  <c r="D165" i="42"/>
  <c r="D341" i="42"/>
  <c r="E164" i="42"/>
  <c r="E339" i="42"/>
  <c r="F329" i="42"/>
  <c r="F239" i="42"/>
  <c r="F83" i="42"/>
  <c r="G329" i="42"/>
  <c r="G273" i="42"/>
  <c r="G295" i="42"/>
  <c r="G308" i="42"/>
  <c r="G323" i="42"/>
  <c r="G330" i="42"/>
  <c r="G239" i="42"/>
  <c r="G164" i="42"/>
  <c r="G83" i="42"/>
  <c r="G339" i="42"/>
  <c r="J339" i="42"/>
  <c r="K339" i="42"/>
  <c r="L339" i="42"/>
  <c r="M339" i="42"/>
  <c r="N339" i="42"/>
  <c r="O339" i="42"/>
  <c r="P339" i="42"/>
  <c r="C164" i="42"/>
  <c r="C339" i="42"/>
  <c r="F223" i="42"/>
  <c r="C165" i="42"/>
  <c r="G63" i="42"/>
  <c r="G195" i="42"/>
  <c r="K336" i="42"/>
  <c r="J336" i="42"/>
  <c r="H25" i="10"/>
  <c r="G146" i="42"/>
  <c r="E165" i="42"/>
  <c r="G185" i="42"/>
  <c r="G211" i="42"/>
  <c r="G126" i="42"/>
  <c r="G336" i="42"/>
  <c r="E337" i="42"/>
  <c r="G223" i="42"/>
  <c r="G337" i="42"/>
  <c r="D338" i="42"/>
  <c r="G229" i="42"/>
  <c r="G338" i="42"/>
  <c r="H311" i="42"/>
  <c r="H312" i="42"/>
  <c r="H313" i="42"/>
  <c r="H323" i="42"/>
  <c r="H229" i="42"/>
  <c r="H338" i="42"/>
  <c r="J338" i="42"/>
  <c r="C337" i="42"/>
  <c r="G18" i="20"/>
  <c r="G19" i="20"/>
  <c r="G20" i="20"/>
  <c r="G51" i="20"/>
  <c r="G52" i="20"/>
  <c r="G53" i="20"/>
  <c r="G54" i="20"/>
  <c r="L330" i="42"/>
  <c r="L165" i="42"/>
  <c r="L240" i="42"/>
  <c r="L85" i="42"/>
  <c r="L341" i="42"/>
  <c r="L336" i="42"/>
  <c r="G85" i="42"/>
  <c r="K338" i="42"/>
  <c r="M337" i="42"/>
  <c r="N337" i="42"/>
  <c r="O337" i="42"/>
  <c r="P337" i="42"/>
  <c r="L337" i="42"/>
  <c r="C30" i="20"/>
  <c r="L338" i="42"/>
  <c r="M338" i="42"/>
  <c r="N338" i="42"/>
  <c r="O338" i="42"/>
  <c r="P338" i="42"/>
  <c r="E24" i="37"/>
  <c r="F211" i="42"/>
  <c r="F240" i="42"/>
  <c r="D336" i="42"/>
  <c r="J16" i="37"/>
  <c r="E336" i="42"/>
  <c r="G240" i="42"/>
  <c r="C336" i="42"/>
  <c r="E338" i="42"/>
  <c r="C341" i="42"/>
  <c r="K337" i="42"/>
  <c r="F195" i="42"/>
  <c r="F295" i="42"/>
  <c r="I338" i="42"/>
  <c r="F185" i="42"/>
  <c r="I18" i="7"/>
  <c r="M15" i="40"/>
  <c r="M21" i="7"/>
  <c r="D14" i="37"/>
  <c r="G24" i="7"/>
  <c r="F14" i="37"/>
  <c r="G25" i="39"/>
  <c r="F18" i="37"/>
  <c r="F16" i="37"/>
  <c r="F24" i="37"/>
  <c r="F273" i="42"/>
  <c r="M18" i="7"/>
  <c r="I16" i="7"/>
  <c r="E341" i="42"/>
  <c r="D337" i="42"/>
  <c r="C338" i="42"/>
  <c r="F339" i="42"/>
  <c r="M16" i="7"/>
  <c r="M22" i="7"/>
  <c r="H24" i="7"/>
  <c r="G14" i="37"/>
  <c r="I23" i="39"/>
  <c r="H25" i="39"/>
  <c r="G18" i="37"/>
  <c r="M18" i="40"/>
  <c r="D16" i="37"/>
  <c r="L25" i="39"/>
  <c r="K18" i="37"/>
  <c r="M21" i="39"/>
  <c r="M17" i="39"/>
  <c r="M19" i="40"/>
  <c r="M16" i="40"/>
  <c r="I15" i="40"/>
  <c r="I17" i="40"/>
  <c r="M17" i="40"/>
  <c r="M16" i="41"/>
  <c r="M17" i="41"/>
  <c r="M21" i="41"/>
  <c r="L22" i="37"/>
  <c r="E16" i="41"/>
  <c r="M20" i="39"/>
  <c r="I20" i="39"/>
  <c r="M22" i="39"/>
  <c r="M23" i="39"/>
  <c r="I19" i="39"/>
  <c r="I18" i="40"/>
  <c r="E17" i="41"/>
  <c r="E21" i="41"/>
  <c r="D22" i="37"/>
  <c r="H16" i="37"/>
  <c r="I15" i="7"/>
  <c r="K22" i="40"/>
  <c r="J20" i="37"/>
  <c r="O18" i="37"/>
  <c r="P330" i="42"/>
  <c r="K16" i="37"/>
  <c r="L21" i="41"/>
  <c r="K22" i="37"/>
  <c r="I17" i="41"/>
  <c r="I21" i="41"/>
  <c r="H22" i="37"/>
  <c r="M15" i="39"/>
  <c r="M15" i="7"/>
  <c r="F299" i="42"/>
  <c r="F300" i="42"/>
  <c r="F298" i="42"/>
  <c r="F301" i="42"/>
  <c r="F308" i="42"/>
  <c r="J337" i="42"/>
  <c r="I48" i="42"/>
  <c r="I85" i="42"/>
  <c r="F46" i="42"/>
  <c r="F48" i="42"/>
  <c r="F375" i="53"/>
  <c r="F85" i="42"/>
  <c r="F336" i="42"/>
  <c r="F330" i="42"/>
  <c r="F337" i="42"/>
  <c r="G24" i="37"/>
  <c r="G165" i="42"/>
  <c r="G341" i="42"/>
  <c r="E22" i="40"/>
  <c r="D20" i="37"/>
  <c r="D24" i="37"/>
  <c r="H83" i="42"/>
  <c r="H295" i="42"/>
  <c r="J330" i="42"/>
  <c r="J341" i="42"/>
  <c r="J342" i="42"/>
  <c r="G49" i="20"/>
  <c r="F192" i="48"/>
  <c r="F195" i="48"/>
  <c r="F83" i="48"/>
  <c r="F85" i="48"/>
  <c r="H336" i="48"/>
  <c r="H85" i="48"/>
  <c r="H330" i="48"/>
  <c r="I83" i="48"/>
  <c r="F137" i="48"/>
  <c r="I339" i="48"/>
  <c r="J336" i="48"/>
  <c r="J165" i="48"/>
  <c r="J337" i="48"/>
  <c r="H140" i="49"/>
  <c r="I140" i="49"/>
  <c r="F140" i="49"/>
  <c r="I323" i="49"/>
  <c r="I338" i="49"/>
  <c r="F311" i="49"/>
  <c r="F323" i="49"/>
  <c r="F338" i="49"/>
  <c r="H239" i="42"/>
  <c r="I195" i="48"/>
  <c r="F195" i="49"/>
  <c r="F146" i="49"/>
  <c r="F337" i="49"/>
  <c r="G341" i="49"/>
  <c r="D339" i="42"/>
  <c r="I185" i="42"/>
  <c r="H195" i="42"/>
  <c r="I199" i="42"/>
  <c r="F199" i="42"/>
  <c r="H199" i="42"/>
  <c r="F240" i="48"/>
  <c r="H339" i="48"/>
  <c r="F185" i="49"/>
  <c r="F165" i="49"/>
  <c r="F240" i="49"/>
  <c r="F330" i="49"/>
  <c r="H146" i="49"/>
  <c r="H165" i="49"/>
  <c r="H240" i="49"/>
  <c r="F69" i="49"/>
  <c r="F83" i="49"/>
  <c r="I83" i="49"/>
  <c r="I85" i="49"/>
  <c r="I146" i="49"/>
  <c r="I165" i="49"/>
  <c r="K330" i="49"/>
  <c r="K341" i="49"/>
  <c r="J342" i="49"/>
  <c r="K337" i="49"/>
  <c r="J337" i="49"/>
  <c r="I185" i="50"/>
  <c r="I336" i="50"/>
  <c r="H164" i="42"/>
  <c r="H165" i="42"/>
  <c r="H63" i="42"/>
  <c r="H85" i="42"/>
  <c r="H308" i="42"/>
  <c r="H337" i="42"/>
  <c r="H336" i="42"/>
  <c r="I146" i="42"/>
  <c r="I337" i="42"/>
  <c r="H199" i="48"/>
  <c r="F339" i="48"/>
  <c r="I85" i="48"/>
  <c r="F311" i="48"/>
  <c r="F323" i="48"/>
  <c r="F338" i="48"/>
  <c r="I323" i="48"/>
  <c r="I338" i="48"/>
  <c r="J341" i="48"/>
  <c r="J342" i="48"/>
  <c r="H337" i="49"/>
  <c r="H330" i="49"/>
  <c r="I273" i="42"/>
  <c r="I330" i="42"/>
  <c r="G50" i="20"/>
  <c r="I182" i="48"/>
  <c r="C199" i="49"/>
  <c r="D334" i="49"/>
  <c r="F336" i="49"/>
  <c r="I185" i="49"/>
  <c r="I336" i="49"/>
  <c r="E337" i="49"/>
  <c r="I195" i="49"/>
  <c r="I337" i="49"/>
  <c r="F173" i="50"/>
  <c r="F185" i="50"/>
  <c r="H192" i="50"/>
  <c r="H195" i="50"/>
  <c r="F164" i="50"/>
  <c r="H83" i="50"/>
  <c r="H339" i="50"/>
  <c r="F185" i="51"/>
  <c r="F311" i="51"/>
  <c r="F323" i="51"/>
  <c r="F330" i="51"/>
  <c r="G341" i="51"/>
  <c r="H339" i="51"/>
  <c r="H330" i="51"/>
  <c r="F48" i="50"/>
  <c r="F239" i="50"/>
  <c r="F339" i="50"/>
  <c r="F295" i="50"/>
  <c r="F308" i="50"/>
  <c r="F311" i="50"/>
  <c r="F323" i="50"/>
  <c r="F330" i="50"/>
  <c r="H330" i="50"/>
  <c r="I83" i="50"/>
  <c r="I85" i="50"/>
  <c r="F338" i="50"/>
  <c r="I323" i="50"/>
  <c r="I338" i="50"/>
  <c r="I140" i="51"/>
  <c r="F140" i="51"/>
  <c r="F146" i="51"/>
  <c r="H140" i="51"/>
  <c r="H146" i="51"/>
  <c r="I323" i="51"/>
  <c r="I338" i="51"/>
  <c r="F338" i="51"/>
  <c r="I330" i="51"/>
  <c r="J165" i="51"/>
  <c r="J336" i="51"/>
  <c r="J341" i="51"/>
  <c r="I199" i="48"/>
  <c r="F199" i="48"/>
  <c r="E140" i="48"/>
  <c r="I140" i="48"/>
  <c r="F140" i="48"/>
  <c r="H182" i="49"/>
  <c r="H185" i="49"/>
  <c r="H336" i="49"/>
  <c r="F191" i="50"/>
  <c r="F195" i="50"/>
  <c r="C339" i="50"/>
  <c r="H48" i="50"/>
  <c r="I339" i="50"/>
  <c r="F137" i="50"/>
  <c r="F195" i="51"/>
  <c r="F337" i="51"/>
  <c r="H85" i="51"/>
  <c r="I240" i="51"/>
  <c r="N240" i="51"/>
  <c r="J337" i="51"/>
  <c r="H69" i="49"/>
  <c r="H83" i="49"/>
  <c r="H339" i="49"/>
  <c r="F126" i="50"/>
  <c r="F211" i="50"/>
  <c r="F240" i="50"/>
  <c r="H63" i="50"/>
  <c r="F69" i="51"/>
  <c r="F83" i="51"/>
  <c r="F85" i="51"/>
  <c r="F165" i="51"/>
  <c r="F240" i="51"/>
  <c r="F339" i="51"/>
  <c r="H240" i="51"/>
  <c r="I83" i="51"/>
  <c r="I339" i="51"/>
  <c r="I85" i="51"/>
  <c r="I146" i="51"/>
  <c r="I165" i="51"/>
  <c r="K330" i="51"/>
  <c r="K341" i="51"/>
  <c r="K337" i="51"/>
  <c r="C199" i="51"/>
  <c r="D334" i="51"/>
  <c r="F336" i="51"/>
  <c r="I185" i="51"/>
  <c r="I336" i="51"/>
  <c r="E337" i="51"/>
  <c r="I195" i="51"/>
  <c r="I337" i="51"/>
  <c r="L19" i="7"/>
  <c r="P19" i="7"/>
  <c r="F303" i="52"/>
  <c r="P375" i="53"/>
  <c r="P298" i="52"/>
  <c r="O22" i="40"/>
  <c r="H305" i="52"/>
  <c r="H302" i="52"/>
  <c r="D305" i="52"/>
  <c r="J300" i="52"/>
  <c r="M278" i="53"/>
  <c r="F300" i="52"/>
  <c r="E140" i="50"/>
  <c r="I140" i="50"/>
  <c r="F140" i="50"/>
  <c r="H182" i="51"/>
  <c r="H185" i="51"/>
  <c r="H336" i="51"/>
  <c r="G305" i="52"/>
  <c r="E305" i="52"/>
  <c r="F175" i="52"/>
  <c r="P21" i="41"/>
  <c r="O21" i="41"/>
  <c r="F217" i="52"/>
  <c r="P16" i="38"/>
  <c r="L20" i="40"/>
  <c r="O17" i="7"/>
  <c r="M17" i="7"/>
  <c r="O14" i="7"/>
  <c r="O19" i="39"/>
  <c r="M19" i="39"/>
  <c r="L135" i="52"/>
  <c r="L217" i="52"/>
  <c r="L305" i="52"/>
  <c r="I303" i="52"/>
  <c r="F378" i="53"/>
  <c r="F278" i="53"/>
  <c r="H185" i="53"/>
  <c r="H225" i="53"/>
  <c r="H278" i="53"/>
  <c r="H378" i="53"/>
  <c r="I278" i="53"/>
  <c r="J375" i="53"/>
  <c r="J382" i="53"/>
  <c r="J378" i="53"/>
  <c r="F103" i="53"/>
  <c r="F380" i="53"/>
  <c r="G382" i="53"/>
  <c r="I380" i="53"/>
  <c r="I375" i="53"/>
  <c r="K185" i="53"/>
  <c r="K382" i="53"/>
  <c r="K378" i="53"/>
  <c r="E382" i="53"/>
  <c r="F63" i="53"/>
  <c r="I225" i="53"/>
  <c r="I378" i="53"/>
  <c r="L105" i="53"/>
  <c r="L382" i="53"/>
  <c r="I302" i="52"/>
  <c r="C382" i="53"/>
  <c r="D382" i="53"/>
  <c r="F148" i="53"/>
  <c r="F150" i="53"/>
  <c r="F185" i="53"/>
  <c r="F225" i="53"/>
  <c r="H105" i="53"/>
  <c r="H377" i="53"/>
  <c r="H380" i="53"/>
  <c r="H375" i="53"/>
  <c r="I150" i="53"/>
  <c r="I185" i="53"/>
  <c r="C11" i="18"/>
  <c r="H165" i="51"/>
  <c r="H337" i="51"/>
  <c r="F85" i="49"/>
  <c r="F339" i="49"/>
  <c r="F146" i="48"/>
  <c r="F337" i="48"/>
  <c r="K25" i="39"/>
  <c r="J18" i="37"/>
  <c r="I18" i="39"/>
  <c r="I25" i="39"/>
  <c r="H18" i="37"/>
  <c r="H382" i="53"/>
  <c r="I377" i="53"/>
  <c r="I20" i="40"/>
  <c r="I22" i="40"/>
  <c r="H20" i="37"/>
  <c r="L22" i="40"/>
  <c r="K20" i="37"/>
  <c r="O18" i="39"/>
  <c r="M185" i="53"/>
  <c r="M165" i="50"/>
  <c r="M165" i="51"/>
  <c r="M165" i="48"/>
  <c r="M165" i="49"/>
  <c r="M165" i="42"/>
  <c r="M16" i="37"/>
  <c r="P20" i="40"/>
  <c r="H140" i="50"/>
  <c r="H146" i="50"/>
  <c r="H165" i="50"/>
  <c r="I330" i="50"/>
  <c r="H85" i="50"/>
  <c r="H341" i="50"/>
  <c r="F85" i="50"/>
  <c r="F336" i="50"/>
  <c r="H199" i="49"/>
  <c r="I199" i="49"/>
  <c r="F199" i="49"/>
  <c r="I330" i="48"/>
  <c r="I339" i="49"/>
  <c r="I336" i="42"/>
  <c r="H85" i="49"/>
  <c r="H341" i="49"/>
  <c r="H240" i="42"/>
  <c r="H339" i="42"/>
  <c r="I146" i="48"/>
  <c r="I165" i="48"/>
  <c r="F330" i="48"/>
  <c r="F341" i="42"/>
  <c r="O25" i="38"/>
  <c r="M375" i="53"/>
  <c r="M330" i="50"/>
  <c r="M330" i="51"/>
  <c r="M330" i="48"/>
  <c r="M330" i="42"/>
  <c r="N330" i="42"/>
  <c r="M330" i="49"/>
  <c r="M18" i="37"/>
  <c r="I341" i="51"/>
  <c r="I185" i="48"/>
  <c r="I336" i="48"/>
  <c r="F182" i="48"/>
  <c r="F185" i="48"/>
  <c r="F336" i="48"/>
  <c r="N165" i="49"/>
  <c r="I337" i="48"/>
  <c r="F165" i="48"/>
  <c r="H330" i="42"/>
  <c r="H341" i="42"/>
  <c r="O278" i="53"/>
  <c r="O217" i="52"/>
  <c r="O240" i="51"/>
  <c r="O240" i="50"/>
  <c r="O240" i="49"/>
  <c r="O240" i="48"/>
  <c r="N22" i="37"/>
  <c r="O240" i="42"/>
  <c r="P24" i="7"/>
  <c r="M19" i="7"/>
  <c r="N185" i="53"/>
  <c r="M105" i="53"/>
  <c r="M85" i="51"/>
  <c r="N85" i="51"/>
  <c r="M85" i="50"/>
  <c r="N85" i="50"/>
  <c r="M85" i="49"/>
  <c r="N85" i="49"/>
  <c r="M85" i="48"/>
  <c r="M14" i="37"/>
  <c r="M85" i="42"/>
  <c r="N85" i="42"/>
  <c r="F377" i="53"/>
  <c r="F105" i="53"/>
  <c r="N105" i="53"/>
  <c r="I382" i="53"/>
  <c r="N375" i="53"/>
  <c r="N278" i="53"/>
  <c r="O24" i="7"/>
  <c r="M14" i="7"/>
  <c r="M24" i="7"/>
  <c r="L14" i="37"/>
  <c r="L24" i="7"/>
  <c r="K14" i="37"/>
  <c r="K24" i="37"/>
  <c r="I19" i="7"/>
  <c r="M225" i="53"/>
  <c r="N225" i="53"/>
  <c r="M20" i="37"/>
  <c r="I146" i="50"/>
  <c r="J342" i="51"/>
  <c r="F341" i="49"/>
  <c r="I165" i="42"/>
  <c r="N165" i="42"/>
  <c r="J383" i="53"/>
  <c r="P25" i="38"/>
  <c r="M16" i="38"/>
  <c r="I17" i="7"/>
  <c r="I24" i="7"/>
  <c r="H14" i="37"/>
  <c r="H24" i="37"/>
  <c r="K24" i="7"/>
  <c r="J14" i="37"/>
  <c r="J24" i="37"/>
  <c r="P278" i="53"/>
  <c r="P217" i="52"/>
  <c r="P240" i="50"/>
  <c r="P240" i="51"/>
  <c r="P240" i="48"/>
  <c r="P240" i="49"/>
  <c r="O22" i="37"/>
  <c r="P240" i="42"/>
  <c r="I300" i="52"/>
  <c r="O225" i="53"/>
  <c r="O175" i="52"/>
  <c r="N20" i="37"/>
  <c r="H199" i="51"/>
  <c r="I199" i="51"/>
  <c r="F199" i="51"/>
  <c r="N165" i="51"/>
  <c r="F146" i="50"/>
  <c r="F337" i="50"/>
  <c r="H336" i="50"/>
  <c r="H341" i="51"/>
  <c r="F341" i="51"/>
  <c r="N85" i="48"/>
  <c r="H140" i="48"/>
  <c r="H146" i="48"/>
  <c r="I330" i="49"/>
  <c r="N341" i="42"/>
  <c r="N336" i="42"/>
  <c r="P185" i="53"/>
  <c r="P135" i="52"/>
  <c r="P165" i="51"/>
  <c r="P85" i="51"/>
  <c r="P341" i="51"/>
  <c r="P165" i="50"/>
  <c r="P165" i="49"/>
  <c r="P85" i="49"/>
  <c r="P341" i="49"/>
  <c r="P165" i="48"/>
  <c r="O16" i="37"/>
  <c r="P165" i="42"/>
  <c r="M20" i="40"/>
  <c r="M22" i="40"/>
  <c r="L20" i="37"/>
  <c r="P22" i="40"/>
  <c r="H337" i="48"/>
  <c r="H165" i="48"/>
  <c r="H341" i="48"/>
  <c r="F165" i="50"/>
  <c r="F341" i="50"/>
  <c r="P85" i="42"/>
  <c r="P336" i="42"/>
  <c r="O105" i="53"/>
  <c r="O78" i="52"/>
  <c r="O85" i="50"/>
  <c r="O85" i="51"/>
  <c r="O85" i="48"/>
  <c r="O85" i="49"/>
  <c r="N14" i="37"/>
  <c r="O85" i="42"/>
  <c r="M24" i="37"/>
  <c r="M341" i="48"/>
  <c r="M336" i="48"/>
  <c r="M382" i="53"/>
  <c r="F341" i="48"/>
  <c r="N330" i="50"/>
  <c r="P85" i="50"/>
  <c r="P341" i="50"/>
  <c r="M341" i="51"/>
  <c r="M336" i="51"/>
  <c r="M25" i="38"/>
  <c r="L16" i="37"/>
  <c r="M18" i="39"/>
  <c r="M25" i="39"/>
  <c r="L18" i="37"/>
  <c r="L24" i="37"/>
  <c r="N165" i="48"/>
  <c r="I341" i="42"/>
  <c r="C8" i="18"/>
  <c r="C7" i="18"/>
  <c r="I341" i="49"/>
  <c r="N330" i="49"/>
  <c r="P85" i="48"/>
  <c r="P341" i="48"/>
  <c r="I337" i="50"/>
  <c r="I165" i="50"/>
  <c r="N165" i="50"/>
  <c r="N382" i="53"/>
  <c r="P105" i="53"/>
  <c r="P78" i="52"/>
  <c r="P336" i="50"/>
  <c r="P336" i="48"/>
  <c r="P336" i="49"/>
  <c r="P341" i="42"/>
  <c r="O14" i="37"/>
  <c r="N330" i="51"/>
  <c r="M341" i="49"/>
  <c r="M336" i="49"/>
  <c r="M341" i="50"/>
  <c r="M336" i="50"/>
  <c r="O185" i="53"/>
  <c r="O135" i="52"/>
  <c r="O165" i="50"/>
  <c r="O165" i="51"/>
  <c r="O165" i="48"/>
  <c r="O165" i="49"/>
  <c r="O165" i="42"/>
  <c r="N16" i="37"/>
  <c r="O25" i="39"/>
  <c r="F382" i="53"/>
  <c r="H337" i="50"/>
  <c r="M341" i="42"/>
  <c r="M336" i="42"/>
  <c r="I341" i="48"/>
  <c r="N330" i="48"/>
  <c r="C10" i="17"/>
  <c r="C8" i="17"/>
  <c r="C14" i="18"/>
  <c r="C15" i="18"/>
  <c r="C13" i="18"/>
  <c r="C18" i="18"/>
  <c r="N341" i="50"/>
  <c r="N336" i="50"/>
  <c r="P336" i="51"/>
  <c r="O375" i="53"/>
  <c r="O382" i="53"/>
  <c r="O298" i="52"/>
  <c r="O305" i="52"/>
  <c r="O330" i="50"/>
  <c r="O330" i="51"/>
  <c r="O330" i="48"/>
  <c r="O330" i="49"/>
  <c r="N18" i="37"/>
  <c r="O330" i="42"/>
  <c r="I341" i="50"/>
  <c r="P225" i="53"/>
  <c r="P382" i="53"/>
  <c r="P175" i="52"/>
  <c r="P305" i="52"/>
  <c r="O20" i="37"/>
  <c r="O24" i="37"/>
  <c r="C41" i="17"/>
  <c r="N341" i="48"/>
  <c r="N336" i="48"/>
  <c r="N341" i="51"/>
  <c r="N336" i="51"/>
  <c r="N341" i="49"/>
  <c r="N336" i="49"/>
  <c r="N24" i="37"/>
  <c r="O336" i="48"/>
  <c r="O341" i="48"/>
  <c r="O336" i="42"/>
  <c r="O341" i="42"/>
  <c r="O336" i="51"/>
  <c r="O341" i="51"/>
  <c r="O341" i="50"/>
  <c r="O336" i="50"/>
  <c r="O336" i="49"/>
  <c r="O341" i="49"/>
  <c r="G24" i="20"/>
  <c r="F302" i="52"/>
  <c r="J302" i="52"/>
  <c r="F254" i="52"/>
  <c r="J275" i="52"/>
  <c r="J301" i="52"/>
  <c r="F255" i="52"/>
  <c r="F275" i="52"/>
  <c r="F301" i="52"/>
  <c r="F298" i="52"/>
  <c r="F305" i="52"/>
  <c r="J298" i="52"/>
  <c r="J305" i="52"/>
  <c r="J306" i="52"/>
</calcChain>
</file>

<file path=xl/comments1.xml><?xml version="1.0" encoding="utf-8"?>
<comments xmlns="http://schemas.openxmlformats.org/spreadsheetml/2006/main">
  <authors>
    <author>HOANG NGUYEN</author>
  </authors>
  <commentList>
    <comment ref="L7" authorId="0">
      <text>
        <r>
          <rPr>
            <b/>
            <sz val="9"/>
            <color indexed="81"/>
            <rFont val="Tahoma"/>
            <family val="2"/>
          </rPr>
          <t>HOANG NGUYEN:</t>
        </r>
        <r>
          <rPr>
            <sz val="9"/>
            <color indexed="81"/>
            <rFont val="Tahoma"/>
            <family val="2"/>
          </rPr>
          <t xml:space="preserve">
Các chỉ tiêu từ 12 - 16 lấy từ biểu số 3</t>
        </r>
      </text>
    </comment>
  </commentList>
</comments>
</file>

<file path=xl/sharedStrings.xml><?xml version="1.0" encoding="utf-8"?>
<sst xmlns="http://schemas.openxmlformats.org/spreadsheetml/2006/main" count="5702" uniqueCount="1105">
  <si>
    <t>STT</t>
  </si>
  <si>
    <t>Đơn vị tính</t>
  </si>
  <si>
    <t>Ghi chú</t>
  </si>
  <si>
    <t>TRƯỜNG ĐẠI HỌC VINH</t>
  </si>
  <si>
    <t>Đại học chính quy</t>
  </si>
  <si>
    <t xml:space="preserve">        TRƯỞNG ĐƠN VỊ</t>
  </si>
  <si>
    <t>A</t>
  </si>
  <si>
    <t>I</t>
  </si>
  <si>
    <t>II</t>
  </si>
  <si>
    <t>Tổ bộ môn và họ tên giảng viên</t>
  </si>
  <si>
    <t>Chức danh</t>
  </si>
  <si>
    <t>Giờ giảng dạy</t>
  </si>
  <si>
    <t>Giờ NCKH</t>
  </si>
  <si>
    <t>Giờ HĐCM khác</t>
  </si>
  <si>
    <t>Cộng</t>
  </si>
  <si>
    <t>Số giờ chuẩn theo định mức</t>
  </si>
  <si>
    <t>Số giờ chuẩn còn phải đảm nhận</t>
  </si>
  <si>
    <t>Khác</t>
  </si>
  <si>
    <t>Lớp đảm nhận</t>
  </si>
  <si>
    <t>B</t>
  </si>
  <si>
    <t xml:space="preserve">Đơn vị tính: </t>
  </si>
  <si>
    <t>TRƯỞNG ĐƠN VỊ</t>
  </si>
  <si>
    <t>Tổng cộng toàn khoa:</t>
  </si>
  <si>
    <t>Số kinh phí đề nghị cấp</t>
  </si>
  <si>
    <t>Tổng cộng:</t>
  </si>
  <si>
    <t>III</t>
  </si>
  <si>
    <t>Hoạt động tại học kỳ</t>
  </si>
  <si>
    <t>Các nội dung cần mua sắm tài sản</t>
  </si>
  <si>
    <t>Đơn giá</t>
  </si>
  <si>
    <t>Thành tiền</t>
  </si>
  <si>
    <t>Biểu số 2</t>
  </si>
  <si>
    <t>Biểu số 4</t>
  </si>
  <si>
    <t>Biểu số 3</t>
  </si>
  <si>
    <t>Biểu số 5</t>
  </si>
  <si>
    <t>Biểu số 6</t>
  </si>
  <si>
    <t>Chức vụ</t>
  </si>
  <si>
    <t>IV</t>
  </si>
  <si>
    <t>Nội dung Nghiên cứu khoa học</t>
  </si>
  <si>
    <t>Số kinh phí</t>
  </si>
  <si>
    <t>Dự kiến thừa thiếu số giờ giảng dạy quy chuẩn</t>
  </si>
  <si>
    <t>V</t>
  </si>
  <si>
    <t>Nội dung</t>
  </si>
  <si>
    <t>Trang thiết bị văn phòng</t>
  </si>
  <si>
    <t xml:space="preserve">Sửa chữa, bảo dưỡng tài sản có giá trị </t>
  </si>
  <si>
    <t>Mua sắm, sửa chữa</t>
  </si>
  <si>
    <t>Chi cho chuyên môn</t>
  </si>
  <si>
    <t>Chi cho con người</t>
  </si>
  <si>
    <t>Các khoản thu khác</t>
  </si>
  <si>
    <t>Dịch vụ</t>
  </si>
  <si>
    <t>Lệ phí</t>
  </si>
  <si>
    <t>Học phí</t>
  </si>
  <si>
    <t>A - CÁC KHOẢN THU</t>
  </si>
  <si>
    <t>TT</t>
  </si>
  <si>
    <t xml:space="preserve">Mở lớp ngắn hạn, cấp chứng chỉ, </t>
  </si>
  <si>
    <t>Lệ phí tuyển sinh</t>
  </si>
  <si>
    <t>Đào tạo khác</t>
  </si>
  <si>
    <t>Sửa chữa trang thiết bị văn phòng</t>
  </si>
  <si>
    <t>Đoàn ra, đoàn vào</t>
  </si>
  <si>
    <t>Thuê giáo viên thính giảng, vận chuyển, thiết bị, chuyên gia</t>
  </si>
  <si>
    <t>Công tác phí</t>
  </si>
  <si>
    <t>Tổ chức các hội nghị, hội thi NVSP, các chuyên đề</t>
  </si>
  <si>
    <t>Tiền điện thoại, sách báo tạp chí, Internet</t>
  </si>
  <si>
    <t>Tiền VPP, mua sắm dụng cụ văn phòng</t>
  </si>
  <si>
    <t>Tiền điện, tiền nước, vệ sinh, xăng dầu</t>
  </si>
  <si>
    <t>Trợ cấp khó khăn, thăm viếng, nghỉ phép</t>
  </si>
  <si>
    <t>Tiền thưởng các loại (Cấp trường, tỉnh,bộ, cá nhân, tập thể…)</t>
  </si>
  <si>
    <t>Làm thêm giờ, trực đêm, ngày lễ, dạy thừa giờ</t>
  </si>
  <si>
    <t>Học viên</t>
  </si>
  <si>
    <t>Đào tạo Tiến sỹ</t>
  </si>
  <si>
    <t>Sinh viên</t>
  </si>
  <si>
    <t>Cộng toàn đơn vị</t>
  </si>
  <si>
    <t>Số tín chỉ (hoặc số tiết giảng dạy)</t>
  </si>
  <si>
    <t>Nội dung đào tạo, bồi dưỡng</t>
  </si>
  <si>
    <t>ĐVT: Nghìn đồng</t>
  </si>
  <si>
    <t xml:space="preserve">Số tiền </t>
  </si>
  <si>
    <t>Địa điểm đặt lớp (trong trường hay ngoài Trường)</t>
  </si>
  <si>
    <t>. - Không tổng hợp số giờ giảng dạy khác (đào tạo ngắn hạn cấp chứng chỉ, đào tạo khác) vào số giờ giảng dạy của Tổ bộ môn, Khoa</t>
  </si>
  <si>
    <t>Đơn vị tính: Tiết chuẩn</t>
  </si>
  <si>
    <t>Công tác thực hành thí nghiệm</t>
  </si>
  <si>
    <t>Hoạt động chung của khoa</t>
  </si>
  <si>
    <t xml:space="preserve">Trình độ, hình thức đào tạo </t>
  </si>
  <si>
    <r>
      <rPr>
        <b/>
        <sz val="11"/>
        <color indexed="8"/>
        <rFont val="Times New Roman"/>
        <family val="1"/>
      </rPr>
      <t>Ghi chú:</t>
    </r>
    <r>
      <rPr>
        <sz val="11"/>
        <color indexed="8"/>
        <rFont val="Times New Roman"/>
        <family val="1"/>
      </rPr>
      <t xml:space="preserve"> - Các giảng viên, cán bộ hiện đang đi học phải ghi rõ trình độ, hình thức đào tạo, trong nước hay nước ngoài và thời gian bắt đầu được cử đi học đến khi kết thúc khóa học theo Quyết định cử đi học. Dự kiến trong năm cử CB, GV nào đi học và trình độ, hình thức và ở trong nước hay nước ngoài.</t>
    </r>
  </si>
  <si>
    <t>Các đề tài dự án do Bộ Giáo dục và Đào tạo giao theo dự toán</t>
  </si>
  <si>
    <t>Các đề tài, dự án cấp Bộ</t>
  </si>
  <si>
    <t>Các đề tài, dự án cấp Nhà nước</t>
  </si>
  <si>
    <t>Các đề tài, dự án cấp tỉnh</t>
  </si>
  <si>
    <t>Đơn vị tính: Nghìn đồng</t>
  </si>
  <si>
    <t>Đại học Giáo dục từ xa</t>
  </si>
  <si>
    <t>Số giờ NCKH đăng ký thực hiện</t>
  </si>
  <si>
    <t>Số giờ HĐCM khác đăng ký thực hiện</t>
  </si>
  <si>
    <t>(11)=(9)+(10)</t>
  </si>
  <si>
    <t>Đơn vị</t>
  </si>
  <si>
    <t>Học phí THPT chuyên</t>
  </si>
  <si>
    <t>Học phí Trường THSP</t>
  </si>
  <si>
    <t>Trẻ nhà trẻ</t>
  </si>
  <si>
    <t>Trẻ mẫu giáo</t>
  </si>
  <si>
    <t>HS Tiểu học</t>
  </si>
  <si>
    <t>HS Trung học CS</t>
  </si>
  <si>
    <t xml:space="preserve">Học phí hệ đại học chính quy   </t>
  </si>
  <si>
    <t>Học phí hệ vừa làm vừa học</t>
  </si>
  <si>
    <t>Học phí hệ Đào tạo từ xa</t>
  </si>
  <si>
    <t xml:space="preserve">Học phí đào tạo SĐH </t>
  </si>
  <si>
    <t>Học phí đào tạo tiến sỹ</t>
  </si>
  <si>
    <t>GV khối HC Trường đảm nhận</t>
  </si>
  <si>
    <t>Công tác thực tập, kiến tập, thực tế, rèn nghề, hoạt động khác</t>
  </si>
  <si>
    <t>Tiếp khách</t>
  </si>
  <si>
    <t>Các khoản chi khác</t>
  </si>
  <si>
    <t>Chi khác</t>
  </si>
  <si>
    <t>BỘ GIÁO DỤC VÀ ĐÀO TẠO</t>
  </si>
  <si>
    <t>Tổng các khoản chi</t>
  </si>
  <si>
    <t>Các khoản đóng góp theo lương 22% lương đóng BHXH</t>
  </si>
  <si>
    <t>Nội dung hoạt động giáo dục, đào tạo</t>
  </si>
  <si>
    <t>CÁC KHOẢN THU CỦA ĐƠN VỊ</t>
  </si>
  <si>
    <t>Lệ phí khác</t>
  </si>
  <si>
    <t>Chủ trì đề tài, dự án</t>
  </si>
  <si>
    <t xml:space="preserve">Các đề tài, dự án do các đơn vị liên hệ và Trường ký hợp đồng </t>
  </si>
  <si>
    <t xml:space="preserve">    TRƯỞNG ĐƠN VỊ</t>
  </si>
  <si>
    <t>(1)</t>
  </si>
  <si>
    <t>(2)</t>
  </si>
  <si>
    <t>(3)</t>
  </si>
  <si>
    <t>(4)</t>
  </si>
  <si>
    <t>(5)</t>
  </si>
  <si>
    <t>(6)</t>
  </si>
  <si>
    <t>(7)</t>
  </si>
  <si>
    <t>(8)</t>
  </si>
  <si>
    <t>(9)</t>
  </si>
  <si>
    <t>1.1</t>
  </si>
  <si>
    <t>(10)</t>
  </si>
  <si>
    <t>(12)</t>
  </si>
  <si>
    <t>(13)</t>
  </si>
  <si>
    <t>(14)</t>
  </si>
  <si>
    <t>(15)</t>
  </si>
  <si>
    <t>(16)</t>
  </si>
  <si>
    <t>2.1</t>
  </si>
  <si>
    <t>2.2</t>
  </si>
  <si>
    <t>2.3</t>
  </si>
  <si>
    <t>(11)</t>
  </si>
  <si>
    <t xml:space="preserve">        TRƯỜNG ĐẠI HỌC VINH</t>
  </si>
  <si>
    <t xml:space="preserve">   TRƯỜNG ĐẠI HỌC VINH</t>
  </si>
  <si>
    <t xml:space="preserve">    TRƯỜNG ĐẠI HỌC VINH</t>
  </si>
  <si>
    <t xml:space="preserve">  TRƯỜNG ĐẠI HỌC VINH</t>
  </si>
  <si>
    <t>2.4</t>
  </si>
  <si>
    <t>2.5</t>
  </si>
  <si>
    <t>2.6</t>
  </si>
  <si>
    <t>2.7</t>
  </si>
  <si>
    <t>2.8</t>
  </si>
  <si>
    <t xml:space="preserve"> B - CÁC KHOẢN CHI</t>
  </si>
  <si>
    <t>CÁC KHOẢN CHI TRỰC TIẾP TẠI ĐƠN VỊ</t>
  </si>
  <si>
    <t>Lưu ý:</t>
  </si>
  <si>
    <t>a</t>
  </si>
  <si>
    <t>b</t>
  </si>
  <si>
    <t>.- Khóa 57</t>
  </si>
  <si>
    <t>Ghi chú: - KH giảng dạy lập cho cả các lớp dự kiến tuyển mới năm học 2017-2018</t>
  </si>
  <si>
    <t>Hướng dẫn thực tế, thực tập; luận văn và đổ án TN</t>
  </si>
  <si>
    <t>Số lớp TC dự kiến mở</t>
  </si>
  <si>
    <t>Tổ BM hướng dẫn đồ án TN</t>
  </si>
  <si>
    <t>Tổ BM Hướng dẫn luận văn TN</t>
  </si>
  <si>
    <t>Tổ BM hướng dẫn khóa luận TN</t>
  </si>
  <si>
    <t>Tổ BM hướng dẫn thực tập</t>
  </si>
  <si>
    <t>Tổ BM hướng dẫn đi thực tế</t>
  </si>
  <si>
    <t>GV thỉnh giảng</t>
  </si>
  <si>
    <t>Số tiết giảng dạy quy chuẩn</t>
  </si>
  <si>
    <t>GV trong đơn vị đảm nhận</t>
  </si>
  <si>
    <t xml:space="preserve">Giảng dạy ĐH chính quy </t>
  </si>
  <si>
    <t>Đại học chính quy (gồm cả trong và ngoài Trường)</t>
  </si>
  <si>
    <t>Giảng dạy ĐH vừa làm vừa học</t>
  </si>
  <si>
    <t>Đào tạo Cao học (gồm cả trong và ngoài Trường)</t>
  </si>
  <si>
    <t xml:space="preserve">Giảng dạy Thạc sỹ </t>
  </si>
  <si>
    <t>Đào tạo Nghiên cứu sinh</t>
  </si>
  <si>
    <t>Giảng dạy Nghiên cứu sinh</t>
  </si>
  <si>
    <t>Hướng dẫn chuyên đề</t>
  </si>
  <si>
    <t>c</t>
  </si>
  <si>
    <t>Hướng dẫn Luận án</t>
  </si>
  <si>
    <t xml:space="preserve">Tên học phần hoặc chuyên đề; hướng dẫn luận văn, đồ án, luận án </t>
  </si>
  <si>
    <t>Đào tạo Thạc sỹ (gồm cả trong và ngoài Trường)</t>
  </si>
  <si>
    <t>Bộ phận hành chính khoa, viện, trường</t>
  </si>
  <si>
    <t>Đơn giá các lớp ngành KHTN, kỹ thuật, CNTT</t>
  </si>
  <si>
    <t>Đơn giá các lớp ngành KHXH, Kinh tế, Luật,..</t>
  </si>
  <si>
    <t>Đơn giá các lớp bình quân TN và XH</t>
  </si>
  <si>
    <t>HS THPT chất lượng cao</t>
  </si>
  <si>
    <t>KẾ HOẠCH GIẢNG DẠY ĐÀO TẠO NGẮN HẠN CẤP CHỨNG CHỈ</t>
  </si>
  <si>
    <t>Nội dung đào tạo</t>
  </si>
  <si>
    <t>Đào tạo tiếng Anh theo khung tham chiếu Châu Âu</t>
  </si>
  <si>
    <t>Đào tạo chứng chỉ tin học</t>
  </si>
  <si>
    <t>Đào tạo cán bộ quản lý giáo dục</t>
  </si>
  <si>
    <t>Học phí bình quân/người học</t>
  </si>
  <si>
    <t>Số lượng HV, Chứng chỉ</t>
  </si>
  <si>
    <t>KP cấp chứng chỉ/cái</t>
  </si>
  <si>
    <t>Tổng kinh phí lương, các khoản có tính chất lương chi trả hàng tháng (chưa trừ BHXH)</t>
  </si>
  <si>
    <t>Các khoản phúc lợi khác (3 tháng lương cuối năm + 1,5 tháng phúc lợi lễ, tết)</t>
  </si>
  <si>
    <t xml:space="preserve">Phòng Đào tạo </t>
  </si>
  <si>
    <t xml:space="preserve">Phòng Đào tạo Sau Đại học </t>
  </si>
  <si>
    <t xml:space="preserve">Phòng Hành chính Tổng hợp </t>
  </si>
  <si>
    <t xml:space="preserve">Phòng Khoa học và Hợp tác quốc tế </t>
  </si>
  <si>
    <t xml:space="preserve">Trạm Y tế </t>
  </si>
  <si>
    <t xml:space="preserve">Trung tâm Công nghệ thông tin </t>
  </si>
  <si>
    <t xml:space="preserve">Trung tâm Đảm bảo chất lượng </t>
  </si>
  <si>
    <t xml:space="preserve">Trung tâm Giáo dục Thường xuyên </t>
  </si>
  <si>
    <t xml:space="preserve">Trung tâm Nội trú </t>
  </si>
  <si>
    <t xml:space="preserve">Trung tâm Thực hành - Thí nghiệm </t>
  </si>
  <si>
    <t xml:space="preserve">Viện Công nghệ Hóa sinh - Môi trường </t>
  </si>
  <si>
    <t xml:space="preserve">Viện Kỹ thuật - Công nghệ </t>
  </si>
  <si>
    <t>Các khoản chi lương, tiền công, phụ cấp, TN tăng thêm, phúc lợi, lễ tết và các khoản đóng góp BHXH</t>
  </si>
  <si>
    <t>Chi cho chuyên môn, nghiệp vụ</t>
  </si>
  <si>
    <t>Điều hoà, máy tinh, máy phôto, sửa chữa các công trình</t>
  </si>
  <si>
    <t xml:space="preserve">Học bổng sinh viên, trợ cấp xã hội, miễn giảm học phí </t>
  </si>
  <si>
    <t>Chi Bảo hộ LĐ, sinh viên đi thực tập, thực tế; hội đồng bảo vệ, hướng dẫn luận văn, học tập kinh nghiệm, chấm thi, kinh phí quản lý cấp khoa, cấp trường, tổ chức thi olimpic, học sinh giỏi, …….</t>
  </si>
  <si>
    <t>Số TC theo chương trình đào tạo</t>
  </si>
  <si>
    <t>Hệ số TC môn học tính học phí so với TC dạy lý thuyết trên lớp</t>
  </si>
  <si>
    <t>(17)</t>
  </si>
  <si>
    <t>Tổng số lượt tín chỉ/HSSV dự kiến đảm nhận</t>
  </si>
  <si>
    <t>Số SV, HV bình quân theo học/lớp TC</t>
  </si>
  <si>
    <t>Tổng số giờ giảng dạy quy chuẩn kế hoạch đăng ký thực hiện</t>
  </si>
  <si>
    <t>Số giờ chuẩn ĐM giảng dạy phải đảm nhận theo chức danh</t>
  </si>
  <si>
    <t>Số giờ chuẩn ĐM giảng dạy phải đảm nhận đã trừ miễn giảm</t>
  </si>
  <si>
    <t>Số giờ chuẩn được miễn giảm</t>
  </si>
  <si>
    <t xml:space="preserve">Đào tạo chính quy </t>
  </si>
  <si>
    <t>Đào tạo THPT chuyên</t>
  </si>
  <si>
    <t>Đào tạo Trường THSP</t>
  </si>
  <si>
    <t>Đào tạo không chính quy</t>
  </si>
  <si>
    <t xml:space="preserve">Đào tạo Thạc sỹ </t>
  </si>
  <si>
    <t>HS</t>
  </si>
  <si>
    <t>Trẻ, HS</t>
  </si>
  <si>
    <t>HSSV</t>
  </si>
  <si>
    <t>Số lượt TC theo KH đào tạo (ĐVT)</t>
  </si>
  <si>
    <t>Học phí bình quân/1 TC (Số lượng ĐVT)</t>
  </si>
  <si>
    <t>Đào tạo chinh quy (gồm cả trong và ngoài Trường)</t>
  </si>
  <si>
    <t>Đào tạo không chính quy (gồm cả trong, ngoài Trường)</t>
  </si>
  <si>
    <t>Đào tạo ĐH vừa làm vừa học</t>
  </si>
  <si>
    <t>a.1</t>
  </si>
  <si>
    <t>a.2</t>
  </si>
  <si>
    <t>a.3</t>
  </si>
  <si>
    <t>a.4</t>
  </si>
  <si>
    <t>a.5</t>
  </si>
  <si>
    <t>a.6</t>
  </si>
  <si>
    <t>b.1</t>
  </si>
  <si>
    <t>b.2</t>
  </si>
  <si>
    <t>b.3</t>
  </si>
  <si>
    <t>b.4</t>
  </si>
  <si>
    <t>b.5</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</si>
  <si>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</si>
  <si>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r>
      <rPr>
        <b/>
        <sz val="10"/>
        <color indexed="8"/>
        <rFont val="Times New Roman"/>
        <family val="1"/>
      </rPr>
      <t>Ghi chú:</t>
    </r>
    <r>
      <rPr>
        <sz val="10"/>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</si>
  <si>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Biểu số 7</t>
  </si>
  <si>
    <t>Biểu số 8</t>
  </si>
  <si>
    <t>Biểu số 9</t>
  </si>
  <si>
    <t>Biểu số 10</t>
  </si>
  <si>
    <t>Biểu số 1</t>
  </si>
  <si>
    <t>Biểu số 11</t>
  </si>
  <si>
    <t>Biểu số 12</t>
  </si>
  <si>
    <t>Giáo dục mầm non</t>
  </si>
  <si>
    <t>Giáo dục tiểu học</t>
  </si>
  <si>
    <t>Quản lý giáo dục</t>
  </si>
  <si>
    <t>Các PPĐG kết quả học tập môn Toán ở TH</t>
  </si>
  <si>
    <t>Thực hành giải toán ở tiểu học</t>
  </si>
  <si>
    <t>Phát triển chương trình giáo dục Tiểu học</t>
  </si>
  <si>
    <t>Bồi dưỡng năng lực cảm thụ văn học cho HSTH</t>
  </si>
  <si>
    <t>Thực hành giải bài tập Tiếng Việt ở tiểu học</t>
  </si>
  <si>
    <t>Thực tập sư phạm</t>
  </si>
  <si>
    <t>Thực hành phương pháp dạy học bộ môn</t>
  </si>
  <si>
    <t>Làm đồ chơi cho trẻ</t>
  </si>
  <si>
    <t>Lí luận văn học</t>
  </si>
  <si>
    <t>Văn học Việt Nam</t>
  </si>
  <si>
    <t>PPDH Tiếng Việt ở tiểu học</t>
  </si>
  <si>
    <t>Phương tiện KTDH và ƯDCNTT trong dạy học ở TH</t>
  </si>
  <si>
    <t>PPDH Tự nhiên - Xã hội</t>
  </si>
  <si>
    <t>PP tổ chức hoạt động tạo hình</t>
  </si>
  <si>
    <t>Tiếng Việt</t>
  </si>
  <si>
    <t>Kỹ thuật xây dựng văn bản hành chính thông dụng</t>
  </si>
  <si>
    <t>Toán sơ cấp</t>
  </si>
  <si>
    <t>Văn học thiếu nhi</t>
  </si>
  <si>
    <t>Ngữ dụng học</t>
  </si>
  <si>
    <t>Từ Hán Việt</t>
  </si>
  <si>
    <t>Ngữ pháp văn bản và dạy học Tập làm văn ở tiểu học</t>
  </si>
  <si>
    <t>Cơ sở ngôn ngữ học của dạy học Tiếng Việt ở tiểu học</t>
  </si>
  <si>
    <t>Cơ sở toán học của dạy học Toán ở tiểu học</t>
  </si>
  <si>
    <t>Bồi dưỡng hứng thú tiếng Việt cho học sinh tiểu học</t>
  </si>
  <si>
    <t>Một số vấn đề về phương pháp dạy học Toán tiểu học</t>
  </si>
  <si>
    <t>Phương pháp dạy học Tiếng Việt  ở tiểu học</t>
  </si>
  <si>
    <t>Cơ sở Tự nhiên xã hội 1</t>
  </si>
  <si>
    <t>Giáo dục lối sống cho HSTH</t>
  </si>
  <si>
    <t>Tổ chức hoạt động trải nghiệm sáng tạo cho HSTH</t>
  </si>
  <si>
    <t>Phương pháp dạy học Tự nhiên- Xã hội ở tiểu học</t>
  </si>
  <si>
    <t>Phương pháp dạy học Thủ công- Kỹ thuật</t>
  </si>
  <si>
    <t>Nghệ thuật tạo hình</t>
  </si>
  <si>
    <t>Giáo dục nghệ thuật cho HS tiểu học</t>
  </si>
  <si>
    <t>a.7</t>
  </si>
  <si>
    <t>a.8</t>
  </si>
  <si>
    <t>a.9</t>
  </si>
  <si>
    <t>a.10</t>
  </si>
  <si>
    <t>a.11</t>
  </si>
  <si>
    <t>Toán Cao cấp</t>
  </si>
  <si>
    <t>Phương pháp dạy học Toán ở tiểu học</t>
  </si>
  <si>
    <t>a.12</t>
  </si>
  <si>
    <t>a.13</t>
  </si>
  <si>
    <t>a.14</t>
  </si>
  <si>
    <t>a.15</t>
  </si>
  <si>
    <t>TS. Nguyễn Tiến Dũng</t>
  </si>
  <si>
    <t>Tổ bộ môn Giáo dục Tiểu học</t>
  </si>
  <si>
    <t>Hệ số lương</t>
  </si>
  <si>
    <t>Tên đơn vị: Khoa Giáo dục</t>
  </si>
  <si>
    <t>CBGD đảm nhận ĐM giờ tập sự (thử việc):0</t>
  </si>
  <si>
    <t>CBGD đảm nhận ĐM giờ giảng viên trở lên: 9….</t>
  </si>
  <si>
    <t>CBGD đảm nhận ĐM giờ giáo viên:0.</t>
  </si>
  <si>
    <t>Chu Thị Thủy An</t>
  </si>
  <si>
    <t>P. Khoa (-25%, +HDCM)</t>
  </si>
  <si>
    <t>Chu Thị Hà Thanh</t>
  </si>
  <si>
    <t>TBM (-20%, +HDCM)</t>
  </si>
  <si>
    <t>Nguyễn Tiến Dũng</t>
  </si>
  <si>
    <t>TLĐT (-15%, +HDCM)</t>
  </si>
  <si>
    <t>Phan Anh Tuấn</t>
  </si>
  <si>
    <t>Nguyễn Thị Phương Nhung B</t>
  </si>
  <si>
    <t>Nguyễn Thị Phương Nhung A</t>
  </si>
  <si>
    <t>NCS (- 70%, + NCKH)</t>
  </si>
  <si>
    <t>Nguyễn Thị Thanh Giang</t>
  </si>
  <si>
    <t>Thái Mạnh Thủy</t>
  </si>
  <si>
    <t>Nguyễn Thị Châu Giang</t>
  </si>
  <si>
    <t>PK</t>
  </si>
  <si>
    <t>TBM</t>
  </si>
  <si>
    <t>TLĐT</t>
  </si>
  <si>
    <t>NCS</t>
  </si>
  <si>
    <t>Trần Thị Hoàng Yến</t>
  </si>
  <si>
    <t>Nguyễn Thị Thu Hạnh</t>
  </si>
  <si>
    <t>Phạm Thị Huyền</t>
  </si>
  <si>
    <t>Phạm Thị Hải Châu</t>
  </si>
  <si>
    <t>Trần Thị Thúy Nga</t>
  </si>
  <si>
    <t>Võ Trọng Vinh</t>
  </si>
  <si>
    <t>Lê Công Phượng</t>
  </si>
  <si>
    <t>Tổng cộng toàn tổ:</t>
  </si>
  <si>
    <t>Giảng viên Nguyễn Như An</t>
  </si>
  <si>
    <t>Giảng viên Nguyễn Thị Thu Hằng</t>
  </si>
  <si>
    <t>Giảng viên Bùi Văn Hùng</t>
  </si>
  <si>
    <t>Giảng viên Chế Thị Hải Linh</t>
  </si>
  <si>
    <t>Giảng viên Nguyễn Việt Phương</t>
  </si>
  <si>
    <t>Giảng viên Phạm Minh Hùng</t>
  </si>
  <si>
    <t>Đặng Thị Tình</t>
  </si>
  <si>
    <t>Nguyễn Thị Phương Thảo</t>
  </si>
  <si>
    <t>Cán bộ giảng dạy: ………6……….., gồm:</t>
  </si>
  <si>
    <t>CVHT</t>
  </si>
  <si>
    <t>Phan Quốc Lâm</t>
  </si>
  <si>
    <t>Dương Thị Thanh Thanh</t>
  </si>
  <si>
    <t>Lê Thục Anh</t>
  </si>
  <si>
    <t>Dương Thị Linh</t>
  </si>
  <si>
    <t>Hồ Thị Hạnh</t>
  </si>
  <si>
    <t>Trần Hằng Ly</t>
  </si>
  <si>
    <t>Nguyễn Thị Hường</t>
  </si>
  <si>
    <t>Chu Trọng Tuấn</t>
  </si>
  <si>
    <t>Nguyễn Thị Quỳnh Anh</t>
  </si>
  <si>
    <t>Nguyễn Thị Nhân</t>
  </si>
  <si>
    <t>Nguyễn Trung Kiền</t>
  </si>
  <si>
    <t>Cán bộ giảng dạy: ………5……….., gồm:</t>
  </si>
  <si>
    <t>Cán bộ hành chính 2</t>
  </si>
  <si>
    <t xml:space="preserve">          Tên đơn vị:Khoa Giáo dục</t>
  </si>
  <si>
    <t>ĐHCQ</t>
  </si>
  <si>
    <t>ĐHV</t>
  </si>
  <si>
    <t>Hoạt động của các Tổ bộ môn</t>
  </si>
  <si>
    <t>Ngành Giáo dục Mầm non</t>
  </si>
  <si>
    <t>Ngành Giáo dục TIểu học</t>
  </si>
  <si>
    <t>TT sư phạm ngành GDTH</t>
  </si>
  <si>
    <t>TrươngTH</t>
  </si>
  <si>
    <t>Bộ môn Quản lý Giáo dục</t>
  </si>
  <si>
    <t>Tổng</t>
  </si>
  <si>
    <t>Có dự toán kèm theo</t>
  </si>
  <si>
    <t>Hội thi viết chữ đẹp - Giải Toán nhanh</t>
  </si>
  <si>
    <t>Toàn thể</t>
  </si>
  <si>
    <t>Chính quy</t>
  </si>
  <si>
    <t>1, 2</t>
  </si>
  <si>
    <t>Bộ môn Tâm lí học</t>
  </si>
  <si>
    <t>Cán bộ văn phòng: 1</t>
  </si>
  <si>
    <t>Quản lí Sinh viên, học viên: 1</t>
  </si>
  <si>
    <t>Tổ bộ môn QLGD</t>
  </si>
  <si>
    <t>Có 6 Giảng viên, trong đó:</t>
  </si>
  <si>
    <t>GV</t>
  </si>
  <si>
    <t>NCS không tập trung trong nước (9/2014-9/2017)</t>
  </si>
  <si>
    <t>Dự kiến số lượng giảng viên nghỉ hưu 0</t>
  </si>
  <si>
    <t>Dự kiến số lượng tuyển mới 0</t>
  </si>
  <si>
    <t>Tổ bộ môn Giáo dục mầm non</t>
  </si>
  <si>
    <t>Giảng viên Phạm Thị Huyền</t>
  </si>
  <si>
    <t>Giảng viên Phạm Thị Hải Châu</t>
  </si>
  <si>
    <t>Giảng viên Nguyễn Thị Thu Hạnh</t>
  </si>
  <si>
    <t>Dự kiến số lượng giảng viên nghỉ hưu: 0</t>
  </si>
  <si>
    <t>Giảng viên</t>
  </si>
  <si>
    <t>Giảng viên Nguyễn Thị Phương Nhung B</t>
  </si>
  <si>
    <t>Dự kiến số lượng tuyển mới: 01</t>
  </si>
  <si>
    <t>Tổ bộ môn Giáo dục học</t>
  </si>
  <si>
    <t>Có 5 Giảng viên, trong đó:</t>
  </si>
  <si>
    <t>Có 01 giảng viên đi học, cụ thể:</t>
  </si>
  <si>
    <t>Giảng viên Nguyễn Thị Quỳnh Anh</t>
  </si>
  <si>
    <t>Tổ bộ môn Tâm lý học</t>
  </si>
  <si>
    <t>Có 9 Giảng viên, trong đó:</t>
  </si>
  <si>
    <t>NCS không tập trung trong nước (11/2015-11/2019)</t>
  </si>
  <si>
    <t>NCS không tập trung trong nước (9/2016-9/2020)</t>
  </si>
  <si>
    <t>NCS không tập trung trong nước (9/2015-9/2019)</t>
  </si>
  <si>
    <t>1.1.</t>
  </si>
  <si>
    <t>cái</t>
  </si>
  <si>
    <t xml:space="preserve"> </t>
  </si>
  <si>
    <t xml:space="preserve"> cái</t>
  </si>
  <si>
    <t>Số lượng</t>
  </si>
  <si>
    <t>Tổng hợp của Tổ GDTH</t>
  </si>
  <si>
    <t>Tổ bộ môn GIÁO DỤC MẦM NON</t>
  </si>
  <si>
    <t>Tự chọn 3 - K56</t>
  </si>
  <si>
    <t xml:space="preserve"> I </t>
  </si>
  <si>
    <t xml:space="preserve"> Đào tạo chinh quy (gồm cả trong và ngoài Trường) </t>
  </si>
  <si>
    <t xml:space="preserve"> Đại học chính quy </t>
  </si>
  <si>
    <t>TỔNG</t>
  </si>
  <si>
    <t xml:space="preserve"> a </t>
  </si>
  <si>
    <t>Phương pháp hình thành BT toán - K57</t>
  </si>
  <si>
    <t>Âm nhạc - K57</t>
  </si>
  <si>
    <t>PP giáo dục âm nhạc cho trẻ - K57</t>
  </si>
  <si>
    <t>Bệnh học trẻ em - K57</t>
  </si>
  <si>
    <t>Bệnh học trẻ em - K58</t>
  </si>
  <si>
    <t>Phương pháp cho trẻ LMMTXQ - K57</t>
  </si>
  <si>
    <t>Phương pháp cho trẻ LMMTXQ - K58</t>
  </si>
  <si>
    <t>Phương pháp giáo duc thể chất cho trẻ - K57</t>
  </si>
  <si>
    <t xml:space="preserve">PP cho trẻ LQTPVH - K57 </t>
  </si>
  <si>
    <t>Âm nhạc và PPGD âm nhạc - K58</t>
  </si>
  <si>
    <t xml:space="preserve">TỔNG </t>
  </si>
  <si>
    <t>TỔNG HỢP CỦA TỔ GDMN</t>
  </si>
  <si>
    <t>a.16</t>
  </si>
  <si>
    <t>a.17</t>
  </si>
  <si>
    <t>a.18</t>
  </si>
  <si>
    <t>a.19</t>
  </si>
  <si>
    <t>a.20</t>
  </si>
  <si>
    <t>a.21</t>
  </si>
  <si>
    <t>a.22</t>
  </si>
  <si>
    <t>a.23</t>
  </si>
  <si>
    <t>a.24</t>
  </si>
  <si>
    <t>a.25</t>
  </si>
  <si>
    <t>a.26</t>
  </si>
  <si>
    <t>a.27</t>
  </si>
  <si>
    <t>a.28</t>
  </si>
  <si>
    <t>a.29</t>
  </si>
  <si>
    <t>a.30</t>
  </si>
  <si>
    <t>a.31</t>
  </si>
  <si>
    <t>a.32</t>
  </si>
  <si>
    <t>GD hòa nhập HS khuyết tật K55</t>
  </si>
  <si>
    <t>Tâm lí-giáo dục học quân sự K57</t>
  </si>
  <si>
    <t>Kiến tập sư phạm</t>
  </si>
  <si>
    <t>RLNVSPTX ngành GDTH 1 (128 sv)</t>
  </si>
  <si>
    <t>Chuyên đề Xã hội học giáo dục (QLGD)</t>
  </si>
  <si>
    <t>Chuyên đề Các lý thuyết TLH dạy học hiện đại (GDHTH)</t>
  </si>
  <si>
    <t>Chuyên đề Công tác quản lý trường tiểu học (GDHTH)</t>
  </si>
  <si>
    <t>Chuyên đề Giáo dục hòa nhập trẻ khuyết tật ở trường mầm non (GDHMN)</t>
  </si>
  <si>
    <t>Chuyên đề Quản lý nguồn nhân lực trong giáo dục (QLGD)</t>
  </si>
  <si>
    <t>Chuyên đề Các lý thuyết TLH hiện đại trong giáo dục trẻ em (GDHMN)</t>
  </si>
  <si>
    <t>Chuyên đề Các lý thuyết TLH hiện đại trong QLGD (QLGD)</t>
  </si>
  <si>
    <t>C</t>
  </si>
  <si>
    <t>Tổ bộ môn TÂM LÍ HỌC</t>
  </si>
  <si>
    <t>TỔNG HỢP CỦA TỔ TÂM LÍ HỌC</t>
  </si>
  <si>
    <t>PPNCKH MN</t>
  </si>
  <si>
    <t>PPNCKH TH</t>
  </si>
  <si>
    <t>Giáo dục học  TH</t>
  </si>
  <si>
    <t>GD học MN</t>
  </si>
  <si>
    <t>PPDH TN - XH</t>
  </si>
  <si>
    <t>Tổ chức hoạt động vui chơi cho trẻ MG</t>
  </si>
  <si>
    <t>D</t>
  </si>
  <si>
    <t>Tổ bộ môn: GIÁO DỤC HỌC</t>
  </si>
  <si>
    <t>Lãnh đạo và QL sự thay đổi NT</t>
  </si>
  <si>
    <t>Một số vấn đề về dạy TN - XH Ở TH</t>
  </si>
  <si>
    <t>QL giá dục giá trị và kỹ năng sống</t>
  </si>
  <si>
    <t>Giáo dục học  TH K 57</t>
  </si>
  <si>
    <t>PPNCKH  TH</t>
  </si>
  <si>
    <t>TỎNG</t>
  </si>
  <si>
    <t>TỔNG HỢP CỦA TỔ GIÁO DỤC HỌC</t>
  </si>
  <si>
    <t>Quản lý hành chính NN và QL ngành GD&amp;ĐT</t>
  </si>
  <si>
    <t>Tổ chức, quản lý cơ sở GD</t>
  </si>
  <si>
    <t>Nhập môn ngành SP</t>
  </si>
  <si>
    <t>Phương pháp nghiên cứu KH QLGD</t>
  </si>
  <si>
    <t>QL giáo dục đại học</t>
  </si>
  <si>
    <t>Công tác QL GDMN</t>
  </si>
  <si>
    <t>Phát triển chương trình GD</t>
  </si>
  <si>
    <t>Lập KH phát triển GD</t>
  </si>
  <si>
    <t>Kinh tế học GD</t>
  </si>
  <si>
    <t>QL tổ chức HĐ DH,GD</t>
  </si>
  <si>
    <t>Các mô hình QL:GD</t>
  </si>
  <si>
    <t>Thanh tra, kiểm tra trong GD</t>
  </si>
  <si>
    <t>Quản lý tài chính, tài sản CSVC</t>
  </si>
  <si>
    <t>QLNCNN và QLGD</t>
  </si>
  <si>
    <t>Đại cương về QLGD</t>
  </si>
  <si>
    <t xml:space="preserve">Hệ thống thông tin QLGD </t>
  </si>
  <si>
    <t>Xã hội hóa GD</t>
  </si>
  <si>
    <t>Rèn luyện NVQL</t>
  </si>
  <si>
    <t>Dự báo, quy hoạch và kế hoạch chiến lược PTCSGD</t>
  </si>
  <si>
    <t>Quản lý phát triển CTGD</t>
  </si>
  <si>
    <t>Quản lý GDMN</t>
  </si>
  <si>
    <t>Phát triển chương trình GD HSTH</t>
  </si>
  <si>
    <t>PP nghiên cứu KHQLGD</t>
  </si>
  <si>
    <t>Quản lý chất lượng GD</t>
  </si>
  <si>
    <t>PPNC khoa học GDTH</t>
  </si>
  <si>
    <t>PPNC khoa học GDMN</t>
  </si>
  <si>
    <t>QLGD và QL nhà trường</t>
  </si>
  <si>
    <t>Đổi mới QLCS GD trong bối cảnh hiện nay</t>
  </si>
  <si>
    <t>Đánh giá trong GDTH</t>
  </si>
  <si>
    <t>Đổi mới đánh giá trong GDMN</t>
  </si>
  <si>
    <t>Hướng dẫn luận văn Thạc sĩ</t>
  </si>
  <si>
    <t>Nguyễn Như An (5 học viên x 35 tiết/1Hv = 175 tiết)</t>
  </si>
  <si>
    <t>Phạm Minh Hùng (5 học viên x 35 tiết/1Hv = 175 tiết)</t>
  </si>
  <si>
    <t>Nguyễn Văn Tứ (5 học viên x 35 tiết/1Hv = 175 tiết)</t>
  </si>
  <si>
    <t>Nguyễn Đình Nhâm (5 học viên x 35 tiết/1Hv = 175 tiết)</t>
  </si>
  <si>
    <t>Chuyên đề Lãnh đạo cơ sở giáo dục trong bối cảnh hiện nay</t>
  </si>
  <si>
    <t>Chuyên đề Đổi mới quản lý chất lượng giáo dục</t>
  </si>
  <si>
    <t>a3</t>
  </si>
  <si>
    <t>Chuyên đề Chính sách phát triển giáo dục thời kỳ đổi mới</t>
  </si>
  <si>
    <t>CBHD của trường</t>
  </si>
  <si>
    <t>CBHD ngoài trường</t>
  </si>
  <si>
    <t>CBHD trong trường</t>
  </si>
  <si>
    <t>TỔNG HỢP CỦA TỔ QLGD</t>
  </si>
  <si>
    <t>Bộ môn QUẢN LÍ GIÁO DỤC</t>
  </si>
  <si>
    <t>TỔNG TOÀN KHOA</t>
  </si>
  <si>
    <t>ĐH</t>
  </si>
  <si>
    <t>Thực tập tốt nghiệp</t>
  </si>
  <si>
    <t>Hoạt động khác</t>
  </si>
  <si>
    <t>Tổng I + II + III</t>
  </si>
  <si>
    <t>Biểu 12</t>
  </si>
  <si>
    <t xml:space="preserve">Khác </t>
  </si>
  <si>
    <t>Hỗ trợ VH-VN, TDTT cho SV</t>
  </si>
  <si>
    <t>Hỗ trợ hoạt động SV NCKH</t>
  </si>
  <si>
    <t>Đ21, CTNB</t>
  </si>
  <si>
    <t>Biểu 4</t>
  </si>
  <si>
    <t>Biểu 5</t>
  </si>
  <si>
    <t>Biểu 7</t>
  </si>
  <si>
    <t>Học thạc sĩ không tập trung trong Trường DHV (2017-2019)</t>
  </si>
  <si>
    <t>TỔNG CHI</t>
  </si>
  <si>
    <t>ĐƠN VỊ: KHOA GIÁO DỤC</t>
  </si>
  <si>
    <t xml:space="preserve">Y học thể dục thể thao </t>
  </si>
  <si>
    <t>Sử dụng tác phẩm văn học trong trường MN - K24</t>
  </si>
  <si>
    <t xml:space="preserve"> Đào tạo Cao học (gồm cả trong và ngoài Trường) </t>
  </si>
  <si>
    <t xml:space="preserve">Bồi dưỡng theo tiêu chuẩn chức danh nhà giáo </t>
  </si>
  <si>
    <t>Ưu tiên nam giới. Tốt nghiệp thạc sĩ trở lên. Tốt nghiệp Đại học trường: ĐHSP Hà Nội; ĐH KHXH và Nhân văn; ĐHSP TP Hồ Chí Minh.</t>
  </si>
  <si>
    <t xml:space="preserve"> II </t>
  </si>
  <si>
    <t xml:space="preserve"> Đào tạo không chính quy (gồm cả trong, ngoài Trường) </t>
  </si>
  <si>
    <t>Hội thi rèn nghề cấp khoa</t>
  </si>
  <si>
    <t>GDH tiểu học K58</t>
  </si>
  <si>
    <t>GDH mầm non K58</t>
  </si>
  <si>
    <t>Hướng dẫn luận văn Thạc sĩ (Cao học 24QLGD)</t>
  </si>
  <si>
    <t>Phan Quốc Lâm (5 học viên x 35 tiết/1Hv = 175 tiết)</t>
  </si>
  <si>
    <t>Nguyễn Thị Hường (5 học viên x 35 tiết/1Hv = 175 tiết)</t>
  </si>
  <si>
    <t>Lê Thục Anh (5 học viên x 35 tiết/1Hv = 175 tiết)</t>
  </si>
  <si>
    <t>Dương Thị Thanh Thanh (5 học viên x 35 tiết/1Hv = 175 tiết)</t>
  </si>
  <si>
    <t>b1</t>
  </si>
  <si>
    <t>b2</t>
  </si>
  <si>
    <t>b3</t>
  </si>
  <si>
    <t>b4</t>
  </si>
  <si>
    <t>b5</t>
  </si>
  <si>
    <t>b6</t>
  </si>
  <si>
    <t>b7</t>
  </si>
  <si>
    <t>b8</t>
  </si>
  <si>
    <t>b9</t>
  </si>
  <si>
    <t>b10</t>
  </si>
  <si>
    <t xml:space="preserve">      ĐƠN VỊ: KHOA GIÁO DỤC</t>
  </si>
  <si>
    <t>Đơn vị tính: nghìn đồng</t>
  </si>
  <si>
    <t>Một số chuyên đề Phương pháp</t>
  </si>
  <si>
    <t>Chuyên đề - PPDH Tiếng Việt ở tiểu học</t>
  </si>
  <si>
    <t>Chuyên đề - PPDH Toán ở tiểu học</t>
  </si>
  <si>
    <t>Chuyên đề - PPDH Tự nhiên - Xã hội</t>
  </si>
  <si>
    <t>Do giáo viên trường tiểu học thực hành đảm nhân</t>
  </si>
  <si>
    <t xml:space="preserve">     ĐƠN VỊ: KHOA GIÁO DỤC</t>
  </si>
  <si>
    <t xml:space="preserve">Tên đơn vị : KHOA GIÁO DỤC </t>
  </si>
  <si>
    <t>Lý thuyết hệ thống trong Quản lí giáo dục</t>
  </si>
  <si>
    <t>a.34</t>
  </si>
  <si>
    <t>a.35</t>
  </si>
  <si>
    <t>a.36</t>
  </si>
  <si>
    <t>CBGD đảm nhận ĐM giờ giảng viên trở lên: 5</t>
  </si>
  <si>
    <t>CBGD đảm nhận ĐM giờ giảng viên trở lên: 6</t>
  </si>
  <si>
    <t>Cán bộ hành chính ………2………</t>
  </si>
  <si>
    <t>CVHT(-15%, +HDCM)</t>
  </si>
  <si>
    <t>Tổng số cán bộ của đơn vị: 9, trong đó:</t>
  </si>
  <si>
    <t>Cán bộ hành chính …0</t>
  </si>
  <si>
    <t>Cán bộ giảng dạy: ………9, gồm:</t>
  </si>
  <si>
    <t>Cán bộ hành chính : 0</t>
  </si>
  <si>
    <t xml:space="preserve"> Đại học VLVH (gồm cả trong và ngoài Trường) </t>
  </si>
  <si>
    <t xml:space="preserve"> Đại học ĐTTX (gồm cả trong và ngoài Trường) </t>
  </si>
  <si>
    <t>ĐVT:  nghìn đồng</t>
  </si>
  <si>
    <t>Chi tiết ở Biểu 9</t>
  </si>
  <si>
    <t>Chi tiết ở Biểu 10</t>
  </si>
  <si>
    <t>Dự kiến số lượng tuyển mới: 1</t>
  </si>
  <si>
    <t>Tốt nghiệp ĐH ngành SP Văn (loại giỏi+có bằng thạc sĩ đúng chuyên ngành)</t>
  </si>
  <si>
    <t>CTCĐ Khoa(-10%, +HDCM)</t>
  </si>
  <si>
    <t>TRƯỞNG KHOA</t>
  </si>
  <si>
    <t>TS. NGUYỄN NGỌC HIỀN</t>
  </si>
  <si>
    <t xml:space="preserve">        TRƯỞNG KHOA</t>
  </si>
  <si>
    <t xml:space="preserve">Tổ bộ môn TÂM LÍ HỌC </t>
  </si>
  <si>
    <t>Tổ bộ môn GIÁO DỤC HỌC</t>
  </si>
  <si>
    <t>NGÀNH GIÁO DỤC MẦM NON</t>
  </si>
  <si>
    <t xml:space="preserve">NGÀNH QUẢN LÍ GIÁO DỤC </t>
  </si>
  <si>
    <t>NGÀNH GIÁO DỤC TIỂU HỌC</t>
  </si>
  <si>
    <t>TBM (-20%, +HDCM), PCTCĐ(-10%)</t>
  </si>
  <si>
    <t>Tổng số cán bộ của đơn vị: 5, trong đó:</t>
  </si>
  <si>
    <t>Cán bộ hành chính ……0………….</t>
  </si>
  <si>
    <t>Tổng số cán bộ của đơn vị: 6, trong đó:</t>
  </si>
  <si>
    <t>Cán bộ hành chính …0……………….</t>
  </si>
  <si>
    <t xml:space="preserve">      Tên đơn vị: KHOA GIÁO DỤC</t>
  </si>
  <si>
    <t xml:space="preserve"> Lớp đại số q-Brauer, Koszul và ứng dụng</t>
  </si>
  <si>
    <t>K. Giáo dục</t>
  </si>
  <si>
    <t xml:space="preserve">      Tên đơn vị: Khoa Giáo dục</t>
  </si>
  <si>
    <t xml:space="preserve">          Tên đơn vị: Khoa Giáo dục</t>
  </si>
  <si>
    <t>Biểu 7 mục I</t>
  </si>
  <si>
    <t>CTNB-điểu 27-tr44</t>
  </si>
  <si>
    <t xml:space="preserve"> CTNB, điều 28-tr45</t>
  </si>
  <si>
    <t>Nguyễn Thị Nhân (5 học viên x 35 tiết/1Hv = 175 tiết)</t>
  </si>
  <si>
    <t>Khấu hao tài sản cố định</t>
  </si>
  <si>
    <t>Biểu 8</t>
  </si>
  <si>
    <t>CHÊNH LỆCH THU- CHI</t>
  </si>
  <si>
    <t>Điều 19-tr 34 CTNB</t>
  </si>
  <si>
    <t>Tổng giờ dạy của Giảng viên thỉnh giảng và hành chính là:</t>
  </si>
  <si>
    <t>Chi kết thúc học kì I và cuối năm học</t>
  </si>
  <si>
    <t xml:space="preserve">Biểu 7 </t>
  </si>
  <si>
    <t xml:space="preserve">Đơn vị tính: sinh viên, học viên </t>
  </si>
  <si>
    <t>Tên đơn vị:KHOA GIÁO DỤC</t>
  </si>
  <si>
    <t>.- Khóa 58</t>
  </si>
  <si>
    <t>.- Khóa 26</t>
  </si>
  <si>
    <t>.-Khóa 24</t>
  </si>
  <si>
    <t>.-Khóa 25</t>
  </si>
  <si>
    <t>.-Khóa 51</t>
  </si>
  <si>
    <t>Đào tạo THPT chất lượng cao</t>
  </si>
  <si>
    <t>1.2</t>
  </si>
  <si>
    <t>VI</t>
  </si>
  <si>
    <t>Tổng cộng số SV, HV có mặt NH 2018-2019 (Tổng HSSV tất cả các bậc, hình thức đào tạo: A+B)</t>
  </si>
  <si>
    <t>Phan Huy Hà</t>
  </si>
  <si>
    <t>Giáo viên</t>
  </si>
  <si>
    <t>Văn phòng</t>
  </si>
  <si>
    <t>QL HSSV</t>
  </si>
  <si>
    <t>CBGD đảm nhận ĐM giờ giáo viên: 01</t>
  </si>
  <si>
    <t>Dự kiến số lượng tuyển mới:     0</t>
  </si>
  <si>
    <t xml:space="preserve">Ban quản lý cơ sở II </t>
  </si>
  <si>
    <t xml:space="preserve">Khoa Giáo Dục </t>
  </si>
  <si>
    <t xml:space="preserve">Khoa Giáo dục Thể chất </t>
  </si>
  <si>
    <t xml:space="preserve">Khoa Kinh tế </t>
  </si>
  <si>
    <t xml:space="preserve">Khoa Luật </t>
  </si>
  <si>
    <t xml:space="preserve">Khoa SP Ngoại Ngữ </t>
  </si>
  <si>
    <t xml:space="preserve">Khoa Xây Dựng </t>
  </si>
  <si>
    <t xml:space="preserve">Nhà Xuất bản Đại học Vinh </t>
  </si>
  <si>
    <t xml:space="preserve">Phòng Công tác Chính trị và QL-HSSV </t>
  </si>
  <si>
    <t xml:space="preserve">Phòng Kế hoạch -Tài chính </t>
  </si>
  <si>
    <t xml:space="preserve">Phòng Quản trị và Đầu tư </t>
  </si>
  <si>
    <t xml:space="preserve">Phòng Tổ chức cán bộ </t>
  </si>
  <si>
    <t xml:space="preserve">Trung tâm Dịch vụ, hỗ trợ sinh viên </t>
  </si>
  <si>
    <t xml:space="preserve">Trung tâm GDQP - AN Vinh </t>
  </si>
  <si>
    <t xml:space="preserve">Trung tâm kiểm định chất lượng giáo dục </t>
  </si>
  <si>
    <t xml:space="preserve">Trung tâm Thông tin -Thư viện NTH </t>
  </si>
  <si>
    <t xml:space="preserve">Trường THPT chuyên </t>
  </si>
  <si>
    <t xml:space="preserve">Trường Thực hành Sư phạm </t>
  </si>
  <si>
    <t xml:space="preserve">Văn phòng Đảng - Đoàn thể </t>
  </si>
  <si>
    <t xml:space="preserve">Viên Khoa học xã hội và nhân văn </t>
  </si>
  <si>
    <t xml:space="preserve">Viện Nông nghiệp và Tài nguyên </t>
  </si>
  <si>
    <t xml:space="preserve">Viện Sư phạm tự nhiên </t>
  </si>
  <si>
    <t xml:space="preserve">Viện Sư phạm xã hội </t>
  </si>
  <si>
    <t>NCS không tập trung trong nước (9/2013-12/2018)</t>
  </si>
  <si>
    <t>Nghệ An, ngày       tháng       năm 2018</t>
  </si>
  <si>
    <t>KẾ HOẠCH ĐÀO TẠO. GIẢNG DẠY CỦA ĐƠN VỊ TRONG NĂM HỌC 2018-2019</t>
  </si>
  <si>
    <t>Đào tạo chính quy (gồm cả trong và ngoài Trường)</t>
  </si>
  <si>
    <t>Nguyễn Thị Kỳ</t>
  </si>
  <si>
    <t xml:space="preserve"> Phan Thị Quỳnh Trang</t>
  </si>
  <si>
    <t>Nghiên cứu đề xuất mô hình phối hợp giữa nhà trường, gia đình và xã hội trong chăm sóc - giáo dục trẻ ở trường mầm non đáp ứng đổi mới giáo dục</t>
  </si>
  <si>
    <t>GS.TS Thái Văn Thành</t>
  </si>
  <si>
    <t>(8)=(3x4x6)</t>
  </si>
  <si>
    <t xml:space="preserve"> Việt ngữ học cơ sở - Khóa 59</t>
  </si>
  <si>
    <t>Phương pháp phát triển ngôn ngữ - Khóa 57</t>
  </si>
  <si>
    <t>Rèn luyện NVSPTX 2 - K57</t>
  </si>
  <si>
    <t>Rèn luyện NVSPTX 3 - K57</t>
  </si>
  <si>
    <t>Rèn luyện NVSPTX 4 - K56</t>
  </si>
  <si>
    <t>Tự chọn 2 - Khóa 57</t>
  </si>
  <si>
    <t>Toán cơ sở - K58</t>
  </si>
  <si>
    <t>Ứng dụng CNTT trong GDMN - K57</t>
  </si>
  <si>
    <t>Phân tích và PT chương trình GDMN - Khóa 56</t>
  </si>
  <si>
    <t>Phương pháp hình thành biểu tượng toán - Khóa 57</t>
  </si>
  <si>
    <t>Thực hành Phương pháp GDMN - Khóa 56</t>
  </si>
  <si>
    <t>Bệnh học trẻ em - K56</t>
  </si>
  <si>
    <t>Phương pháp cho trẻ LQMTXQ - K57</t>
  </si>
  <si>
    <t>Múa - Khóa 58</t>
  </si>
  <si>
    <t>Phương pháp giáo dục thể chất cho trẻ MN - K57</t>
  </si>
  <si>
    <t>Phương pháp cho trẻ LQTPVH - K57</t>
  </si>
  <si>
    <t xml:space="preserve"> Phương pháp giáo dục âm nhạc cho trẻ MN  - K57</t>
  </si>
  <si>
    <t>Văn học thiếu nhi - K58</t>
  </si>
  <si>
    <t>Tự chọn 4 - K56</t>
  </si>
  <si>
    <t>Âm nhạc - K58</t>
  </si>
  <si>
    <t>Âm nhạc và PP DH âm nhạc - Khóa 58</t>
  </si>
  <si>
    <t>Cơ sở NNH của việc phát triển NN cho trẻ - Khóa 26</t>
  </si>
  <si>
    <t>Sự tăng trưởng và phát triển của trẻ mầm non - Khóa 26</t>
  </si>
  <si>
    <t>Một số vấn đề hiện đại về việc PTNN cho trẻ - K26</t>
  </si>
  <si>
    <t>Chăm sóc, nuôi dưỡng và đảm bảo an toàn cho trẻ MN - K26</t>
  </si>
  <si>
    <t>Phát triển tính tích cực nhận thức cho trẻ thông qua HĐLQVT - K26</t>
  </si>
  <si>
    <t>Phát triển tính tích cực vận động cho trẻ - K26</t>
  </si>
  <si>
    <t>Hướng dẫn luận văn thạc sĩ cao học 26: (6 x35)</t>
  </si>
  <si>
    <t>Tiếng Việt và Phương pháp phát triển NN - K58</t>
  </si>
  <si>
    <t>Dinh dưỡng trẻ em - K58</t>
  </si>
  <si>
    <t>Toán cơ sở - K58, K59</t>
  </si>
  <si>
    <t>Phương pháp hình thành BT toán - K58</t>
  </si>
  <si>
    <t>Âm nhạc và PP DH âm nhạc - Khóa 58, K59</t>
  </si>
  <si>
    <t>Bệnh học trẻ em - K58, K59</t>
  </si>
  <si>
    <t>Phương pháp cho trẻ LMMTXQ - K58, K59</t>
  </si>
  <si>
    <t>Phương pháp giáo duc thể chất cho trẻ - K58, K59</t>
  </si>
  <si>
    <t>Văn học và PP cho trẻ LQTPVH - K58, K59</t>
  </si>
  <si>
    <t>Múa - Khóa 58, K59</t>
  </si>
  <si>
    <t>K56, K57</t>
  </si>
  <si>
    <t>K57</t>
  </si>
  <si>
    <t>RLNVSPTX ngành GDTH 3 (280 sv)</t>
  </si>
  <si>
    <t>Số học</t>
  </si>
  <si>
    <t>Đại lượng, đo lường và các tập hợp số</t>
  </si>
  <si>
    <t>Tổ chức hoạt động cho thiếu nhi</t>
  </si>
  <si>
    <t>RLNVSPTX ngành GDTH 4 - K56 (130 sv)</t>
  </si>
  <si>
    <t>Văn học</t>
  </si>
  <si>
    <t>Đạo đức và PPDH Đạo đức</t>
  </si>
  <si>
    <t>RLNVSPTX ngành GDTH 1 (128 SV)</t>
  </si>
  <si>
    <t>Kỹ thuật và PPDH Kỹ thuật</t>
  </si>
  <si>
    <t>Toán chuyên ngành</t>
  </si>
  <si>
    <t>Nghệ thuật tạo hình và thiết kế đồ dùng, đồ chơi cho trẻ</t>
  </si>
  <si>
    <t xml:space="preserve">Việt ngữ học cơ sở </t>
  </si>
  <si>
    <t>Việt ngữ học hiện đại</t>
  </si>
  <si>
    <t xml:space="preserve">Cơ sở Tự nhiên Xã hội </t>
  </si>
  <si>
    <t xml:space="preserve">Toán cơ sở </t>
  </si>
  <si>
    <t>a33</t>
  </si>
  <si>
    <t>Công tác đội thiếu niên TP HCM và Tổ chức HĐ ngoài giờ lên lớp</t>
  </si>
  <si>
    <t>a34</t>
  </si>
  <si>
    <t xml:space="preserve">PPDH Toán ở tiểu học </t>
  </si>
  <si>
    <t>a35</t>
  </si>
  <si>
    <t>a36</t>
  </si>
  <si>
    <t>a37</t>
  </si>
  <si>
    <t>a38</t>
  </si>
  <si>
    <t>RLNVSPTX ngành GDTH 4 - K57 (283 sv)</t>
  </si>
  <si>
    <t>a.39</t>
  </si>
  <si>
    <t>Hướng dẫn luận văn thạc sĩ cao học 25 (11x35tiết)</t>
  </si>
  <si>
    <t>TS. Chu Thị Hà Thanh</t>
  </si>
  <si>
    <t>TS. Nguyễn Thị Châu Giang</t>
  </si>
  <si>
    <t>TS. Bùi Văn Hùng</t>
  </si>
  <si>
    <t>TS. Nguyễn Thị Thu Hằng</t>
  </si>
  <si>
    <t>Nghiên cứu trách nhiệm giải trình của trường đại học công lập trong bối cảnh tự chủ đại học</t>
  </si>
  <si>
    <t>Nghiên cứu xây dựng khung tiêu chí đánh giá mức độ tự chủ của trường đại học công lập</t>
  </si>
  <si>
    <t>1,3</t>
  </si>
  <si>
    <t>Thái Văn Thành (7 học viên x 35 tiết/1Hv = 175 tiết)</t>
  </si>
  <si>
    <t>b11</t>
  </si>
  <si>
    <t>Nguyễn Thị Châu Giang (5 học viên x 35 tiết/1Hv = 175 tiết)</t>
  </si>
  <si>
    <t>b12</t>
  </si>
  <si>
    <t>Phạm THị Phú (2 học viên x 35 tiết/1Hv = 175 tiết)</t>
  </si>
  <si>
    <t>b13</t>
  </si>
  <si>
    <t>Tràn Viết Thụ (2 học viên x 35 tiết/1Hv = 175 tiết)</t>
  </si>
  <si>
    <t>Thỉnh giảng (58 học viên x 35 tiết)</t>
  </si>
  <si>
    <t>Dự kiến có 8 NCS thực hiện chuyên đề và tiểu luận tổng quan</t>
  </si>
  <si>
    <t>8 x 3 (chuyên đề) x 60 tiết/1 chuyên đề = 1440 tiết</t>
  </si>
  <si>
    <t>32 NCS x 50 tiết/1 NCS = 1600 tiết</t>
  </si>
  <si>
    <t xml:space="preserve">Quản lý GDTH </t>
  </si>
  <si>
    <t>Quản lý GDMN (khóa 57, sau TN Trung cấp)</t>
  </si>
  <si>
    <t>Quản lý GDMN (khóa 58, sau TN Cao đẳng)</t>
  </si>
  <si>
    <t>Tâm lí học K59</t>
  </si>
  <si>
    <t>Tâm lí học đại cương K59</t>
  </si>
  <si>
    <t>Tâm lí học giáo dục trẻ em K58</t>
  </si>
  <si>
    <t>Tâm lý học thể dục thể thao K57</t>
  </si>
  <si>
    <t>Phát triển nguồn nhân lực là quản lý nhân sự trong giáo dục K56</t>
  </si>
  <si>
    <t>Chuẩn bị cho trẻ vào lớp 1 K58</t>
  </si>
  <si>
    <t>Giao tiếp sư phạm trong trường mầm non K58</t>
  </si>
  <si>
    <t>Tâm lí học tiểu học K59</t>
  </si>
  <si>
    <t>Tâm lí học mầm non K59</t>
  </si>
  <si>
    <t>Giáo dục học Khóa 58</t>
  </si>
  <si>
    <t xml:space="preserve">PPNCKH MN </t>
  </si>
  <si>
    <t>a6</t>
  </si>
  <si>
    <t>Giao dục hòa nhập cho trẻ MN mầm non K56</t>
  </si>
  <si>
    <t>a7</t>
  </si>
  <si>
    <t>Đánh giá trong GD khóa 58</t>
  </si>
  <si>
    <t>Một số vấn đề của GD TH hiện đại</t>
  </si>
  <si>
    <t>Hướng dẫn luận văn Thạc sĩ (25 QLGD)</t>
  </si>
  <si>
    <t>GD học MN K 58</t>
  </si>
  <si>
    <t>Dự kiến số lượng tuyển mới ………03..</t>
  </si>
  <si>
    <t>Tốt nghiệp đại học đúng chuyên ngành (loại giỏi) hoặc thạc sĩ GDH</t>
  </si>
  <si>
    <t>PGS.TS. Phạm Minh Hùng</t>
  </si>
  <si>
    <t>Học phần thực hành</t>
  </si>
  <si>
    <t>PLuc8-k4-tr119</t>
  </si>
  <si>
    <t>Hướng dẫn luận văn thạc sĩ cao học 25 (8x35tiết)</t>
  </si>
  <si>
    <t>35t/luận văn-QC1585</t>
  </si>
  <si>
    <t>Tổng toàn Tổ GDTH</t>
  </si>
  <si>
    <t>Tổng toàn Tổ GDMN</t>
  </si>
  <si>
    <t>Tổng giờ tổ TLH</t>
  </si>
  <si>
    <t>Tổng giờ tổ GDH</t>
  </si>
  <si>
    <t>Tổ BM hướng dẫn khóa luận TN (21 sinh viên)</t>
  </si>
  <si>
    <t>1CĐ=60tiết chuẩn</t>
  </si>
  <si>
    <t>31 NCS x 50 tiết/1 NCS = 1550 tiết</t>
  </si>
  <si>
    <t>Tổng giờ QLGD</t>
  </si>
  <si>
    <t>Ghi chú: - KH giảng dạy lập cho cả các lớp dự kiến tuyển mới năm học 2018-2019</t>
  </si>
  <si>
    <t>Biểu 2</t>
  </si>
  <si>
    <t>&gt;1000SV, QC CTNB-tr56</t>
  </si>
  <si>
    <t>Biểu 2 (GV dạy thạc sĩ)</t>
  </si>
  <si>
    <t>Chi cho Đề tài NCKH (không tính cấp Bộ và Nhà nước)</t>
  </si>
  <si>
    <t>PGS. TS. Chu Thị Thủy An</t>
  </si>
  <si>
    <t>TS. Nguyễn Thị Phương Nhung A</t>
  </si>
  <si>
    <t>CN. Nguyễn Thị Thanh Giang</t>
  </si>
  <si>
    <t>ThS. Thái Mạnh Thủy</t>
  </si>
  <si>
    <t>ThS. Nguyễn Thị Phương Nhung B</t>
  </si>
  <si>
    <t>ThS. Phan Anh Tuấn</t>
  </si>
  <si>
    <t>ThS. Nguyễn Thị Thanh Giang</t>
  </si>
  <si>
    <t>TS. Nguyễn Thị Phương Nhung B</t>
  </si>
  <si>
    <t>TS. Trần Thị Hoàng Yến</t>
  </si>
  <si>
    <t>ThS. Nguyễn Thị Thu Hạnh</t>
  </si>
  <si>
    <t>BS. Lê Công Phượng</t>
  </si>
  <si>
    <t>ThS. Phạm Thị Hải Châu</t>
  </si>
  <si>
    <t>ThS. Phạm Thị Huyền</t>
  </si>
  <si>
    <t>TS. Nguyễn Ngọc Hiền</t>
  </si>
  <si>
    <t>ThS. Trần Thị Thúy Nga</t>
  </si>
  <si>
    <t>CN. Phan Huy Hà</t>
  </si>
  <si>
    <t>ThS. Võ Trọng Vinh</t>
  </si>
  <si>
    <t>ThS. Nguyễn Thị Kỳ</t>
  </si>
  <si>
    <t>ThS. Võ Trọng Vinh. ThS. Phan Huy Hà</t>
  </si>
  <si>
    <t>TS. Dương Thị Thanh Thanh</t>
  </si>
  <si>
    <t>TS. Le Thục Anh</t>
  </si>
  <si>
    <t>ThS. Dương Thị Linh</t>
  </si>
  <si>
    <t>TS. Phan Quốc Lâm</t>
  </si>
  <si>
    <t>CN. Trần Hằng Ly</t>
  </si>
  <si>
    <t>ThS. Hồ Thị Hạnh</t>
  </si>
  <si>
    <t>Cả tổ đều tham gia giảng dạy</t>
  </si>
  <si>
    <t>PGS. TS. Nguyễn Thị Hường</t>
  </si>
  <si>
    <t>ThS. Nguyễn Thị Quỳnh Anh</t>
  </si>
  <si>
    <t>ThS. Chu Trọng Tuấn</t>
  </si>
  <si>
    <t>ThS. Nguyễn Trung Kiền</t>
  </si>
  <si>
    <t>TS. Nguyễn Thị Nhân</t>
  </si>
  <si>
    <t>PGS. TS. Nguyễn Như An</t>
  </si>
  <si>
    <t>PGS. TS. Phạm Minh Hùng</t>
  </si>
  <si>
    <t>ThS. Nguyễn Việt Phương</t>
  </si>
  <si>
    <t>ThS. Chế Thị Hải Linh</t>
  </si>
  <si>
    <t>Tên học phần tương ứng</t>
  </si>
  <si>
    <t>Mã HP</t>
  </si>
  <si>
    <t>Số TC</t>
  </si>
  <si>
    <t>Bộ môn quản lý học phần</t>
  </si>
  <si>
    <t>Tổng cộng</t>
  </si>
  <si>
    <t>Tâm lý học giáo dục trẻ em</t>
  </si>
  <si>
    <t>Bệnh học trẻ em</t>
  </si>
  <si>
    <t>EDU20007</t>
  </si>
  <si>
    <t>EDU30058</t>
  </si>
  <si>
    <t>Tâm lý học</t>
  </si>
  <si>
    <t>Xem biểu Dự kiến xuất bản</t>
  </si>
  <si>
    <t>Có 8 Giảng viên, trong đó:</t>
  </si>
  <si>
    <t>Tổng số cán bộ của đơn vị: 39, trong đó:</t>
  </si>
  <si>
    <t>Cán bộ giảng dạy: 37, gồm:</t>
  </si>
  <si>
    <t>Có 02 giảng viên đi học, cụ thể:</t>
  </si>
  <si>
    <t>20 giảng viên đào tạo thăng hạng giảng viên hạng III</t>
  </si>
  <si>
    <t>Bồi dưỡng thăng hạng Giảng viên</t>
  </si>
  <si>
    <t>Bồi dưỡng Trung cấp lí luận chính trị</t>
  </si>
  <si>
    <t>Chi các khoản liên quan đến đào tạo, bồi dưỡng và cấp chứng chỉ (70% tổng thu)</t>
  </si>
  <si>
    <t>Hội thi NVSP ngành GDTH, GDMN</t>
  </si>
  <si>
    <t xml:space="preserve">THỐNG KÊ SỐ LƯỢNG SINH VIÊN CHÍNH QUY TẠI TRƯỜNG </t>
  </si>
  <si>
    <t>Đơn vị tính: sinh viên</t>
  </si>
  <si>
    <t>.- Khóa 59</t>
  </si>
  <si>
    <t>KẾ HOẠCH TUYỂN SINH NĂM HỌC 2019-2020</t>
  </si>
  <si>
    <t>Số SV có mặt đến ngày 01/7/2019, gồm:</t>
  </si>
  <si>
    <t>.- Khóa 56 CN và khóa 55 về trước</t>
  </si>
  <si>
    <t>.- Khóa 56 (kỹ sư)</t>
  </si>
  <si>
    <t>Số SV DK tuyển mới năm học 2019-2020</t>
  </si>
  <si>
    <t>Số HV có mặt đến ngày 01/7/2019, gồm:</t>
  </si>
  <si>
    <t>.- Khóa 25 về trước (không tính số K25 BV năm 2019)</t>
  </si>
  <si>
    <t>.- Khóa 27</t>
  </si>
  <si>
    <t>Số HV DK tuyển mới năm học 2019-2020</t>
  </si>
  <si>
    <t>Số NCS có mặt đến ngày 01/7/2019, gồm:</t>
  </si>
  <si>
    <t>.-Khóa 23 về trước</t>
  </si>
  <si>
    <t>.-Khóa 26</t>
  </si>
  <si>
    <t>Số NCS DK tuyển mới năm học 2019-2020</t>
  </si>
  <si>
    <t>Số học sinh có mặt đến ngày 01/7/2019, gồm:</t>
  </si>
  <si>
    <t>.-Khóa 52</t>
  </si>
  <si>
    <t>Số học sinh tuyển mới năm học 2019-2020</t>
  </si>
  <si>
    <t>(Tương tự như Đào tạo THPT chuyên, chi tiết đến bậc học từ trẻ nhà trẻ đến mầm non)</t>
  </si>
  <si>
    <t xml:space="preserve">Đại học vừa làm vừa học </t>
  </si>
  <si>
    <t>.- Khóa 56 về trước</t>
  </si>
  <si>
    <t>Tổng cộng số SV, HV có mặt NH 2019-2020 (Tổng HSSV tất cả các bậc, hình thức đào tạo: A+B)</t>
  </si>
  <si>
    <t>TS. PHẠM LÊ CƯỜNG</t>
  </si>
  <si>
    <t>KẾ HOẠCH ĐÀO TẠO. GIẢNG DẠY CỦA ĐƠN VỊ TRONG NĂM HỌC 2019-2020</t>
  </si>
  <si>
    <t>(6)=(9)+ (10)+(11)</t>
  </si>
  <si>
    <t>(8)=(3x5x7)</t>
  </si>
  <si>
    <t>(09)=(3)x(5)x 16.5</t>
  </si>
  <si>
    <t>Ghi chú: - KH giảng dạy lập cho cả các lớp dự kiến tuyển mới năm học 2019-2020</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</si>
  <si>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</si>
  <si>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</si>
  <si>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</si>
  <si>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</si>
  <si>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BẢNG TỔNG HỢP TÀI SẢN, CÔNG CỤ, DỤNG CỤ ĐỀ NGHỊ NHÀ TRƯỜNG MUA SẮM NĂM HỌC 2019-2020</t>
  </si>
  <si>
    <t>Giá đựng tài liệu đặt bàn</t>
  </si>
  <si>
    <t>Phòng sinh hoạt bộ môn</t>
  </si>
  <si>
    <t>phòng</t>
  </si>
  <si>
    <t>Bộ môn GDTH</t>
  </si>
  <si>
    <t>Phòng học thực hành cho CTĐT CDIO</t>
  </si>
  <si>
    <t>Máy chiếu Projector</t>
  </si>
  <si>
    <t>Dùng cho phòng sinh hoạt bộ môn GDTH</t>
  </si>
  <si>
    <t>Máy tính xách tay Laptop Asus TP412UA i3 7020U/4GB/256GB/Win10 (EC173T)</t>
  </si>
  <si>
    <t>Tổ Tâm lý học đề xuất</t>
  </si>
  <si>
    <t>Tài liệu giáo trình</t>
  </si>
  <si>
    <t>Bộ SGK Lớp 1 CTGDPT mới</t>
  </si>
  <si>
    <t>cuốn</t>
  </si>
  <si>
    <t>Tài liệu tập huấn Bồi dưỡng GV phổ thông dạy học Chương trình GDPT mới</t>
  </si>
  <si>
    <t>Văn phòng phẩm</t>
  </si>
  <si>
    <t>Theo QC CTNB</t>
  </si>
  <si>
    <t>Điều hòa Văn phòng khoa</t>
  </si>
  <si>
    <t>Ghế xoay</t>
  </si>
  <si>
    <t>Điện thoại bàn</t>
  </si>
  <si>
    <t>Giá</t>
  </si>
  <si>
    <t>1</t>
  </si>
  <si>
    <t>Máy tính</t>
  </si>
  <si>
    <t>Bộ</t>
  </si>
  <si>
    <t>100</t>
  </si>
  <si>
    <r>
      <t xml:space="preserve">Ghi chú: </t>
    </r>
    <r>
      <rPr>
        <sz val="10"/>
        <color indexed="10"/>
        <rFont val="Times New Roman"/>
        <family val="1"/>
      </rPr>
      <t>Các nội dung mua sắm phải có dự toán thuyết minh chi tiết kèm theo, trong đó nêu rõ sự cần thiết phải mua sắm. 
- Đối với việc lập dự trù mua sắm các thiết bị THTN, các khoa viện trao đổi với TT THTN để lên dự toán phù hợp.
- Đối với việc lập dự trù giáo trình theo CDIO, các khoa, viện trao đổi với Phòng Đào tạo, TT Thư viện để lên dự toán cho phù hợp
- Đối với các bảo dưỡng, bảo trì lớn, các đơn vị đầu mối trực tiếp lên dự trù như TT THTN, TT CNTT, Phòng Quản trị &amp; Đầu tư</t>
    </r>
  </si>
  <si>
    <t>Chín mươi triệu tám trăm ngàn đồng</t>
  </si>
  <si>
    <t>Nghệ An, ngày      tháng      năm 2019</t>
  </si>
  <si>
    <t>KẾ HOẠCH ĐĂNG KÝ NGHIÊN CỨU KHOA HỌC NĂM HỌC 2019-2020</t>
  </si>
  <si>
    <t>2.2.</t>
  </si>
  <si>
    <t>PGS.TS. Nguyễn Như An</t>
  </si>
  <si>
    <t>Giải pháp nâng cao năng lực của giáo viên  về giáo dục giới tính cho học sinh tiểu học và THCS</t>
  </si>
  <si>
    <t>Nguyễn Thị Phương Nhung</t>
  </si>
  <si>
    <t>Sinh viên, học viên Nghiên cứu khoa học</t>
  </si>
  <si>
    <t>Thiết kế hoạt động trải nghiệm trong dạy học Toán cho HS lớp 4, 5</t>
  </si>
  <si>
    <t>Võ Thị Thúy Hằng</t>
  </si>
  <si>
    <t>Thực trạng chất lượng học tập của SV k58 ngành GDTH sau 2 năm học thực hiện CTĐT theo tiếp cận CDIO</t>
  </si>
  <si>
    <t>Nguyễn Thị Trâm Anh</t>
  </si>
  <si>
    <t>Các đề tài cấp trường</t>
  </si>
  <si>
    <r>
      <t>Nghiên cứu đổi mới nội dung, phương pháp giảng dạy và đánh giá khối kiến thức</t>
    </r>
    <r>
      <rPr>
        <i/>
        <sz val="10"/>
        <rFont val="Times New Roman"/>
        <family val="1"/>
      </rPr>
      <t xml:space="preserve"> Chuyên ngành GDMN 2 </t>
    </r>
    <r>
      <rPr>
        <sz val="10"/>
        <rFont val="Times New Roman"/>
        <family val="1"/>
      </rPr>
      <t xml:space="preserve">theo tiếp cận CDIO </t>
    </r>
  </si>
  <si>
    <t>TS Trần Thị Hoàng Yến</t>
  </si>
  <si>
    <r>
      <t>Nghiên cứu đổi mới nội dung, phương pháp giảng dạy và đánh giá khối kiến thức</t>
    </r>
    <r>
      <rPr>
        <i/>
        <sz val="10"/>
        <rFont val="Times New Roman"/>
        <family val="1"/>
      </rPr>
      <t xml:space="preserve"> Chuyên ngành GDMN 3 </t>
    </r>
    <r>
      <rPr>
        <sz val="10"/>
        <rFont val="Times New Roman"/>
        <family val="1"/>
      </rPr>
      <t xml:space="preserve">theo tiếp cận CDIO </t>
    </r>
  </si>
  <si>
    <t>Ths Phạm Thị Huyền</t>
  </si>
  <si>
    <r>
      <t xml:space="preserve">Nghiên cứu đổi mới nội dung, phương pháp giảng dạy và đánh giá khối kiến thức </t>
    </r>
    <r>
      <rPr>
        <i/>
        <sz val="10"/>
        <rFont val="Times New Roman"/>
        <family val="1"/>
      </rPr>
      <t>Kiến thức, kỹ năng ngành QLGD 1</t>
    </r>
    <r>
      <rPr>
        <sz val="10"/>
        <rFont val="Times New Roman"/>
        <family val="1"/>
      </rPr>
      <t xml:space="preserve"> theo tiếp cận CDIO </t>
    </r>
  </si>
  <si>
    <t>TS Phạm lê Cường</t>
  </si>
  <si>
    <r>
      <t xml:space="preserve">Nghiên cứu đổi mới nội dung, phương pháp giảng dạy và đánh giá khối kiến thức </t>
    </r>
    <r>
      <rPr>
        <i/>
        <sz val="10"/>
        <rFont val="Times New Roman"/>
        <family val="1"/>
      </rPr>
      <t>Chuyên ngành QLGD</t>
    </r>
    <r>
      <rPr>
        <sz val="10"/>
        <rFont val="Times New Roman"/>
        <family val="1"/>
      </rPr>
      <t xml:space="preserve"> theo tiếp cận CDIO </t>
    </r>
  </si>
  <si>
    <t>TS Nguyễn Thị Thu Hằng</t>
  </si>
  <si>
    <r>
      <t xml:space="preserve">Nghiên cứu đổi mới nội dung, phương pháp giảng dạy và đánh giá khối kiến thức </t>
    </r>
    <r>
      <rPr>
        <i/>
        <sz val="10"/>
        <rFont val="Times New Roman"/>
        <family val="1"/>
      </rPr>
      <t>Chuyên ngành Giáo dục tiểu học tự chọn</t>
    </r>
    <r>
      <rPr>
        <sz val="10"/>
        <rFont val="Times New Roman"/>
        <family val="1"/>
      </rPr>
      <t xml:space="preserve"> theo tiếp cận CDIO </t>
    </r>
  </si>
  <si>
    <t>TS Chu Thị Hà Thanh</t>
  </si>
  <si>
    <t>Nghiên cứu giải pháp quản lý hoạt động tư vấn tâm lý học đường cho học sinh THCS thành phố Vinh, tỉnh Nghệ An.</t>
  </si>
  <si>
    <t>Nghệ An, ngày ….. tháng ….. năm 2019</t>
  </si>
  <si>
    <r>
      <rPr>
        <b/>
        <sz val="12"/>
        <rFont val="Times New Roman"/>
        <family val="1"/>
      </rPr>
      <t>Ghi chú:</t>
    </r>
    <r>
      <rPr>
        <sz val="12"/>
        <rFont val="Times New Roman"/>
        <family val="1"/>
      </rPr>
      <t xml:space="preserve"> Phải ghi rõ số lượng, tên đề tài dự kiến thực hiện. Đối với các đề tài thực hiện trong nhiều kì đề nghị thể hiện rõ % thực hiện trong năm học 2019-2020.</t>
    </r>
  </si>
  <si>
    <t>Hai tỉ, ba trăm sáu mươi bảy triệu đồng</t>
  </si>
  <si>
    <t xml:space="preserve">KẾ HOẠCH BIÊN SOẠN, XUẤT BẢN GIÁO TRÌNH, TÀI LIỆU HỌC TẬP
Năm học 2019 - 2020
</t>
  </si>
  <si>
    <t>Tên giáo trình/tài liệu học tập 
đăng ký biên soạn, xuất bản</t>
  </si>
  <si>
    <t>Hệ ĐT
ĐH/SĐH</t>
  </si>
  <si>
    <r>
      <t xml:space="preserve">Thời gian nộp bản thảo
</t>
    </r>
    <r>
      <rPr>
        <i/>
        <sz val="12"/>
        <rFont val="Times New Roman"/>
        <family val="1"/>
      </rPr>
      <t>Trước 30/4/2020</t>
    </r>
  </si>
  <si>
    <t xml:space="preserve"> Đại cương Quản lý giáo dục</t>
  </si>
  <si>
    <t>Đại học</t>
  </si>
  <si>
    <t>EDU30010</t>
  </si>
  <si>
    <t>Đã tổ chức nghiệm thu, 
dự kiến xuất bản tháng 9/2019</t>
  </si>
  <si>
    <t>Quản lý trường Mầm non</t>
  </si>
  <si>
    <t>EDU30076</t>
  </si>
  <si>
    <t>20/4/2020</t>
  </si>
  <si>
    <t>Đánh giá trong Giáo dục
tiểu học</t>
  </si>
  <si>
    <t>Đánh giá trong Giáo dục 
tiểu học</t>
  </si>
  <si>
    <t>Sau đại học</t>
  </si>
  <si>
    <t>Giáo dục hòa nhập trẻ 
khuyết tật trường mầm non</t>
  </si>
  <si>
    <t>Tâm lý học quản lý</t>
  </si>
  <si>
    <t>EDU30025</t>
  </si>
  <si>
    <t>Thực hành tổ chức hoạt động trải nghiệm cho học sinh tiểu học</t>
  </si>
  <si>
    <t>Tổ chức hoạt động trải nghiệm sáng tạo</t>
  </si>
  <si>
    <t>EDU30045</t>
  </si>
  <si>
    <t>Nghệ An, ngày     tháng     năm 2019</t>
  </si>
  <si>
    <t xml:space="preserve">                                                                                                                                                                                            TRƯỞNG ĐƠN VỊ</t>
  </si>
  <si>
    <t xml:space="preserve">     ĐƠN VỊ: Khoa Giáo dục</t>
  </si>
  <si>
    <t>Tâm lí học K60</t>
  </si>
  <si>
    <t>Tâm lí học đại cương K60</t>
  </si>
  <si>
    <t>Tâm lí học giáo dục trẻ em K59</t>
  </si>
  <si>
    <t>Tâm lý học thể dục thể thao K58</t>
  </si>
  <si>
    <t>GD hòa nhập HS khuyết tật K57</t>
  </si>
  <si>
    <t>Phát triển nguồn nhân lực và quản lý nhân sự trong giáo dục K57</t>
  </si>
  <si>
    <t>Nhân cách và lao động của người cán bộ quản lý K59</t>
  </si>
  <si>
    <t>Tâm lí-giáo dục học quân sự K58</t>
  </si>
  <si>
    <t>Giao tiếp sư phạm k59</t>
  </si>
  <si>
    <t>Tâm lý học quản lý K59</t>
  </si>
  <si>
    <t>Chuẩn bị cho trẻ vào lớp 1 K59</t>
  </si>
  <si>
    <t>Giao tiếp sư phạm trong trường mầm non K59</t>
  </si>
  <si>
    <t>Kiến tập sư phạm K58</t>
  </si>
  <si>
    <t>RLNVSPTX ngành GDTH 1 K59</t>
  </si>
  <si>
    <t>Giảng viên Phạm Lê Cường</t>
  </si>
  <si>
    <t>TK</t>
  </si>
  <si>
    <t>Cán bộ giảng dạy: 7, gồm:</t>
  </si>
  <si>
    <t>CBGD đảm nhận ĐM giờ giảng viên trở lên: 7….</t>
  </si>
  <si>
    <t>PCTCD</t>
  </si>
  <si>
    <t>Trưởng khoa (-30%)</t>
  </si>
  <si>
    <t>Phó CTCĐ KHoa (-10%)</t>
  </si>
  <si>
    <t>TLĐT(-15%, +HDCM)</t>
  </si>
  <si>
    <t>CTCD</t>
  </si>
  <si>
    <t>CVHT (-15%)</t>
  </si>
  <si>
    <t>Hướng dẫn luận văn Thạc sĩ (Cao học 26QLGD)</t>
  </si>
  <si>
    <t>Quản lý GDMN (sau TN Trung cấp)</t>
  </si>
  <si>
    <t>Quản lý GDMN ( sau TN Cao đẳng)</t>
  </si>
  <si>
    <t>58,56,59</t>
  </si>
  <si>
    <t>Rèn luyện nghiệp vụ quản lý</t>
  </si>
  <si>
    <t>Thực hành, thực tế chuyên môn</t>
  </si>
  <si>
    <t xml:space="preserve">Thực tập sư phạm ngành GDMN </t>
  </si>
  <si>
    <t>8 trường</t>
  </si>
  <si>
    <t>RLNVSPTX 4</t>
  </si>
  <si>
    <t>THSP ĐH Vinh</t>
  </si>
  <si>
    <t>CTHSVT</t>
  </si>
  <si>
    <t>Chủ tịch HSV Trường(-60%)</t>
  </si>
  <si>
    <t>Tổng số cán bộ của đơn vị: 10, trong đó:</t>
  </si>
  <si>
    <t>Cán bộ giảng dạy: ………10, gồm:</t>
  </si>
  <si>
    <t>CBGD đảm nhận ĐM giờ giảng viên trở lên: 10….</t>
  </si>
  <si>
    <t xml:space="preserve"> Việt ngữ học cơ sở </t>
  </si>
  <si>
    <t xml:space="preserve">Phương pháp phát triển ngôn ngữ </t>
  </si>
  <si>
    <t xml:space="preserve">Rèn luyện NVSPTX 4 </t>
  </si>
  <si>
    <t xml:space="preserve">Bệnh học trẻ em </t>
  </si>
  <si>
    <t xml:space="preserve">Phân tích và PT chương trình GDMN </t>
  </si>
  <si>
    <t xml:space="preserve">Phương pháp hình thành biểu tượng toán </t>
  </si>
  <si>
    <t xml:space="preserve">Thực hành Phương pháp GDMN </t>
  </si>
  <si>
    <t xml:space="preserve">Phương pháp cho trẻ LQMTXQ </t>
  </si>
  <si>
    <t xml:space="preserve">Múa </t>
  </si>
  <si>
    <t xml:space="preserve">Phương pháp giáo dục thể chất cho trẻ MN </t>
  </si>
  <si>
    <t xml:space="preserve">Phương pháp cho trẻ LQTPVH </t>
  </si>
  <si>
    <t xml:space="preserve"> Phương pháp giáo dục âm nhạc cho trẻ MN  </t>
  </si>
  <si>
    <t xml:space="preserve">Văn học thiếu nhi </t>
  </si>
  <si>
    <t>Tự chọn 4</t>
  </si>
  <si>
    <t xml:space="preserve">Âm nhạc </t>
  </si>
  <si>
    <t xml:space="preserve">Âm nhạc và PP DH âm nhạc </t>
  </si>
  <si>
    <t>Cơ sở NNH của việc phát triển NN cho trẻ - Khóa 27</t>
  </si>
  <si>
    <t>Sự tăng trưởng và phát triển của trẻ mầm non - khóa 27</t>
  </si>
  <si>
    <t>Một số vấn đề hiện đại về việc PTNN cho trẻ - K27</t>
  </si>
  <si>
    <t>Chăm sóc, nuôi dưỡng và đảm bảo an toàn cho trẻ MN - K27</t>
  </si>
  <si>
    <t>Sử dụng tác phẩm văn học trong trường MN - K27</t>
  </si>
  <si>
    <t>Phát triển tính tích cực nhận thức cho trẻ thông qua HĐLQVT - K27</t>
  </si>
  <si>
    <t>Phát triển tính tích cực vận động cho trẻ - K27</t>
  </si>
  <si>
    <t>Hướng dẫn luận văn thạc sĩ cao học 26: (22 x35)</t>
  </si>
  <si>
    <t>Tiếng Việt và Phương pháp phát triển NN - K59, 60</t>
  </si>
  <si>
    <t>Dinh dưỡng trẻ em -  60</t>
  </si>
  <si>
    <t>Toán cơ sở - K60</t>
  </si>
  <si>
    <t>Phương pháp hình thành BT toán - K59</t>
  </si>
  <si>
    <t>Âm nhạc và PP DH âm nhạc - Khóa K59</t>
  </si>
  <si>
    <t>Phương pháp cho trẻ LMMTXQ -  K59, K68</t>
  </si>
  <si>
    <t>Phương pháp cho trẻ LMMTXQ - K59, K60</t>
  </si>
  <si>
    <t>Phương pháp giáo duc thể chất cho trẻ - K59, K60</t>
  </si>
  <si>
    <t>Văn học và PP cho trẻ LQTPVH - K59, K60</t>
  </si>
  <si>
    <t>Múa - Khóa K60</t>
  </si>
  <si>
    <t>BTLCD</t>
  </si>
  <si>
    <t>TỔNG HỢP SỐ GIỜ QUY CHUẨN NGÀNH GIÁO DỤC TIỂU HỌC PHẢI ĐẢM NHẬN GIẢNG DẠY NĂM HỌC 2019-2020</t>
  </si>
  <si>
    <t xml:space="preserve"> BT LCĐ (-20%)</t>
  </si>
  <si>
    <t>Công tác đội TNTP HCM và tổ chức HĐ ngoài giờ lên lớp</t>
  </si>
  <si>
    <t>Kỹ thuật và PPDH kỹ thuật ở tiểu học</t>
  </si>
  <si>
    <t xml:space="preserve">Thực hành phương pháp dạy học bộ môn </t>
  </si>
  <si>
    <t>Đạo đức và phương pháp dạy học đạo đức</t>
  </si>
  <si>
    <t>Giáo dục sức khỏe</t>
  </si>
  <si>
    <t xml:space="preserve">Phương pháp dạy học Tiếng Việt </t>
  </si>
  <si>
    <t xml:space="preserve">Tổ chức hoạt động trải nghiệm sáng tạo </t>
  </si>
  <si>
    <t>Từ Hán - Việt</t>
  </si>
  <si>
    <t xml:space="preserve">Âm nhạc và phương pháp dạy học Âm nhạc </t>
  </si>
  <si>
    <t xml:space="preserve">Phương pháp dạy học Toán </t>
  </si>
  <si>
    <t xml:space="preserve">Phương pháp dạy học Tự nhiên - Xã hội </t>
  </si>
  <si>
    <t>Rèn luyện nghiệp vụ sư phạm 2</t>
  </si>
  <si>
    <t>Toán cơ sở</t>
  </si>
  <si>
    <t>Hình học sơ cấp</t>
  </si>
  <si>
    <t>Đại số sơ cấp</t>
  </si>
  <si>
    <t>Rèn luyện nghiệp vụ sư phạm 1</t>
  </si>
  <si>
    <t xml:space="preserve">Văn học </t>
  </si>
  <si>
    <t xml:space="preserve">Cơ sở tự nhiên xã hội </t>
  </si>
  <si>
    <t>Bồi dưỡng HS giỏi Tiếng Việt</t>
  </si>
  <si>
    <t>Hướng dẫn luận văn thạc sĩ cao học 26 (6x35tiết)</t>
  </si>
  <si>
    <t xml:space="preserve">Cơ sở Tự nhiên xã hội </t>
  </si>
  <si>
    <t>Lí luận dạy học các môn chuyên biệt</t>
  </si>
  <si>
    <t>Rèn luyện NVSPTX GDTH 2 (58), 1 (59)</t>
  </si>
  <si>
    <t>58, 59 TH</t>
  </si>
  <si>
    <t>57TH</t>
  </si>
  <si>
    <t>BẢNG TỔNG HỢP CÁC HOẠT ĐỘNG ĐÀO TẠO, THỰC HÀNH - THÍ NGHIỆM ĐỀ NGHỊ CẤP KINH PHÍ NĂM HỌC 2019-2020</t>
  </si>
  <si>
    <t>Trường TH</t>
  </si>
  <si>
    <r>
      <t xml:space="preserve">Ghi chú: </t>
    </r>
    <r>
      <rPr>
        <sz val="11"/>
        <rFont val="Times New Roman"/>
        <family val="1"/>
      </rPr>
      <t>Các nội dung hoạt động đào tạo đề nghị Nhà trường cấp kinh phí phải căn cứ Quy chế CTNB để lập dự toán thuyết minh chi tiết kèm theo của từng hoạt động, như: kiến tập, thực tập sư phạm hoặc thực tập nghề; Thực hành - Thí nghiệm; đi thực tế của sinh viên; ....Các đơn vị phải lập dự toán chi tiết kèm theo cho từng hoạt động và xếp theo thứ tự ưu tiên về sự cần thiết, bắt buộc phải thực hiện theo chương trình đào tạo</t>
    </r>
  </si>
  <si>
    <t>Nghệ An, ngày       tháng       năm 2019</t>
  </si>
  <si>
    <t>Có 1 giảng viên đi học, cụ thể:</t>
  </si>
  <si>
    <t>NCS không tập trung trong nước (12/2019-12/2022)</t>
  </si>
  <si>
    <t>Có 10 Giảng viên, trong đó:</t>
  </si>
  <si>
    <t>CVHT (-15%, +HĐCM)</t>
  </si>
  <si>
    <t>TỔNG HỢP SỐ GIỜ QUY CHUẨN TỔ TÂM LÝ HỌC PHẢI ĐẢM NHẬN GIẢNG DẠY NĂM HỌC 2019-2020</t>
  </si>
  <si>
    <t>TỔNG HỢP SỐ GIỜ QUY CHUẨN TỔ QUẢN LÝ GIÁO DỤC PHẢI ĐẢM NHẬN GIẢNG DẠY NĂM HỌC 2019-2020</t>
  </si>
  <si>
    <t>TỔNG HỢP SỐ GIỜ QUY CHUẨN NGÀNH GDMN PHẢI ĐẢM NHẬN GIẢNG DẠY NĂM HỌC 2019-2020</t>
  </si>
  <si>
    <t>TỔNG HỢP SỐ GIỜ QUY CHUẨN ĐƠN VỊ PHẢI ĐẢM NHẬN GIẢNG DẠY NĂM HỌC 2019-2020</t>
  </si>
  <si>
    <t>Dự kiến số lượng giảng viên nghỉ hưu: 1</t>
  </si>
  <si>
    <t>Có 05 giảng viên đi học, cụ thể:</t>
  </si>
  <si>
    <t>Phan Thị Quỳnh Trang</t>
  </si>
  <si>
    <t>Học Thạc sĩ không tập trung tại trường ĐHV (9/2018-9-2020)</t>
  </si>
  <si>
    <t>Thạc sĩ không tập trung tại trường ĐHV</t>
  </si>
  <si>
    <t>Cộng toàn khoa có 8 CB, GV đi học, trong đó:</t>
  </si>
  <si>
    <t>Trợ lí đào tạo CQ, Trợ lí đào tạo tại chức</t>
  </si>
  <si>
    <t>Có 3 đi học ThS không tập trung trong nước, 5 đi học TS không tập trung trong nước, và 22 giảng viên dự kiến sẽ đi đào tạo, bồi dưỡng khác</t>
  </si>
  <si>
    <t>Nghệ An, ngày    tháng     năm 2019</t>
  </si>
  <si>
    <t>CÔNG TÁC TỔ CHỨC CÁN BỘ VÀ KẾ HOẠCH HỌC TẬP, BỒI DƯỠNG NĂM HỌC 2019-2020</t>
  </si>
  <si>
    <t>CBGD đảm nhận ĐM giờ khác: ……1…</t>
  </si>
  <si>
    <t>Dự kiến số lượng CB, GV nghỉ hưu 1</t>
  </si>
  <si>
    <t>1. Đào tạo ngoài trường nhân với hệ số 0.65; đối với các khoa, viện tự tổ chức thì nhân hệ số 0.30</t>
  </si>
  <si>
    <t>2. TT GDTX tổng hợp kinh phí của các hội đồng tổ chức thi do Tổ Đào tạo và VP. Đại diện Thanh Hóa trên mục thu của mình</t>
  </si>
  <si>
    <t>NĂM HỌC 2019 - 2020</t>
  </si>
  <si>
    <t>Nghệ An, ngày       tháng     năm 2019</t>
  </si>
  <si>
    <t>CBGD đảm nhận ĐM giờ tập sự (thử việc): 0</t>
  </si>
  <si>
    <t>CBGD đảm nhận ĐM giờ giảng viên trở lên: 36</t>
  </si>
  <si>
    <r>
      <rPr>
        <b/>
        <sz val="12"/>
        <color indexed="8"/>
        <rFont val="Times New Roman"/>
        <family val="1"/>
      </rPr>
      <t>Ghi chú:</t>
    </r>
    <r>
      <rPr>
        <sz val="12"/>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</si>
  <si>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TỔNG HỢP SỐ GIỜ QUY CHUẨN TỔ GIÁO DỤC HỌC PHẢI ĐẢM NHẬN GIẢNG DẠY NĂM HỌC 2019-2020</t>
  </si>
  <si>
    <t>TS. PHAM LÊ CƯỜNG</t>
  </si>
  <si>
    <t>CBGD đảm nhận ĐM giờ giảng viên: …36….</t>
  </si>
  <si>
    <t>Biểu số 1, Hướng dẫn xây dựng KHNH 683/2019</t>
  </si>
  <si>
    <t>TỔNG HỢP CÁC KHOẢN THU NĂM HỌC 2019-2020</t>
  </si>
  <si>
    <t>Biểu số 2, Hướng dẫn xây dựng KHNH 683/2019</t>
  </si>
  <si>
    <t>Kinh phí đề tài khoa học thực hiện trong năm, kinh phí Đề tài cấp Bộ và Nhà nước 2018-2019 (Tạm ứng 50% tổng dự toán)</t>
  </si>
  <si>
    <t>TỔNG HỢP CÁC KHOẢN  CHI NĂM HỌC 2019-2020</t>
  </si>
  <si>
    <t>CHI PHÍ TIỀN LƯƠNG, CÁC KHOẢN TRÍCH THEO LƯƠNG, THU NHẬP TĂNG THÊM VÀ PHÚC LỢI NGÀY LỄ TẾT CỦA CÁC ĐƠN VỊ TÍNH THEO MỨC LƯƠNG CƠ BẢN 1.490.000 ĐỒNG NĂM HỌC 2019-2020 ( THEO DANH SÁCH, HỆ SỐ LƯƠNG THÁNG 7.2019)</t>
  </si>
  <si>
    <t xml:space="preserve">Phòng Thanh tra - Pháp chế </t>
  </si>
  <si>
    <t xml:space="preserve">Trung tâm Bồi dưỡng nghiệp vụ sư phạm </t>
  </si>
  <si>
    <t xml:space="preserve">Văn phòng Đại diện tỉnh Thanh Hóa </t>
  </si>
  <si>
    <t>Hướng dẫn xây dựng KHNH 683/2019</t>
  </si>
  <si>
    <t>Các khoản hỗ trợ đi học tiến sỹ, đào tạo ngắn hạn</t>
  </si>
  <si>
    <t>Hướng dẫn số 683/2019 và QCCTNB, điều 29-tr45</t>
  </si>
  <si>
    <t>Hỗ trợ hoạt động phong trào sinh viên (K57 - K58-K59-K60) 100.000/1SV/Khóa học(8 học kì)</t>
  </si>
  <si>
    <t>Chi Đề tài NCKH Cấp bộ (30% cho 1 năm)</t>
  </si>
  <si>
    <t>10% tổng thu tại trường, HD 683/2019</t>
  </si>
  <si>
    <t>EDU20027</t>
  </si>
  <si>
    <t>20/4/2021</t>
  </si>
  <si>
    <t>Tài liệu giáo trình ( 32 TC x 4 trieu/1TC) = (3 Giáo trình 2018)</t>
  </si>
  <si>
    <t>TỔNG HỢP THU CHI NĂM HỌC 2019-2020</t>
  </si>
  <si>
    <t>Năm trăm linh bốn triệu, sáu trăm ba mươi ngàn đồng</t>
  </si>
  <si>
    <t>Bồi dưỡng CBQL giáo dục và bồi dưỡng cấp chứng chỉ NVSP</t>
  </si>
  <si>
    <t>Bồi dưỡng giáo viên phổ thông cốt cán và đại trà theo chương trình Etep</t>
  </si>
  <si>
    <t>Khoa tổ chức</t>
  </si>
  <si>
    <t>Trường tổ chức</t>
  </si>
  <si>
    <t>Bồi dưỡng CBQL giáo dục và cấp CCNVSP các cấp</t>
  </si>
  <si>
    <t>Bồi dưỡng giáo viên cốt cán và đại trà theo chương trình ETEP</t>
  </si>
  <si>
    <t>Bồi dưỡng theo tiêu chuẩn chức danh nhà giáo (1000HV do khoa tổ chức và 1000HV do trường tổ chức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</si>
</sst>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3" formatCode="_(* #,##0.00_);_(* \(#,##0.00\);_(* &quot;-&quot;??_);_(@_)"/>
    <numFmt numFmtId="164" formatCode="_(* #,##0_);_(* \(#,##0\);_(* &quot;-&quot;??_);_(@_)"/>
    <numFmt numFmtId="165" formatCode="0.000000"/>
    <numFmt numFmtId="166" formatCode="0.0"/>
    <numFmt numFmtId="167" formatCode="_-* #,##0\ _₫_-;\-* #,##0\ _₫_-;_-* &quot;-&quot;??\ _₫_-;_-@_-"/>
  </numFmts>
  <fonts count="61" x14ac:knownFonts="1">
    <font>
      <sz val="10"/>
      <name val="Arial"/>
    </font>
    <font>
      <sz val="10"/>
      <name val="Arial"/>
    </font>
    <font>
      <b/>
      <sz val="10"/>
      <name val="Arial"/>
      <family val="2"/>
    </font>
    <font>
      <sz val="8"/>
      <name val="Arial"/>
      <family val="2"/>
    </font>
    <font>
      <sz val="10"/>
      <name val="Arial"/>
    </font>
    <font>
      <sz val="10"/>
      <name val="Times New Roman"/>
      <family val="1"/>
    </font>
    <font>
      <b/>
      <sz val="10"/>
      <name val="Times New Roman"/>
      <family val="1"/>
    </font>
    <font>
      <sz val="10"/>
      <color indexed="8"/>
      <name val="Times New Roman"/>
      <family val="1"/>
    </font>
    <font>
      <b/>
      <sz val="10"/>
      <color indexed="8"/>
      <name val="Times New Roman"/>
      <family val="1"/>
    </font>
    <font>
      <sz val="12"/>
      <name val="Times New Roman"/>
      <family val="1"/>
    </font>
    <font>
      <sz val="12"/>
      <color indexed="8"/>
      <name val="Times New Roman"/>
      <family val="1"/>
    </font>
    <font>
      <b/>
      <sz val="12"/>
      <color indexed="8"/>
      <name val="Times New Roman"/>
      <family val="1"/>
    </font>
    <font>
      <sz val="11"/>
      <name val="Times New Roman"/>
      <family val="1"/>
    </font>
    <font>
      <b/>
      <sz val="11"/>
      <name val="Times New Roman"/>
      <family val="1"/>
    </font>
    <font>
      <b/>
      <sz val="12"/>
      <name val="Times New Roman"/>
      <family val="1"/>
    </font>
    <font>
      <b/>
      <sz val="11"/>
      <color indexed="8"/>
      <name val="Times New Roman"/>
      <family val="1"/>
    </font>
    <font>
      <sz val="11"/>
      <color indexed="8"/>
      <name val="Times New Roman"/>
      <family val="1"/>
    </font>
    <font>
      <i/>
      <sz val="12"/>
      <name val="Times New Roman"/>
      <family val="1"/>
    </font>
    <font>
      <sz val="14"/>
      <name val="Times New Roman"/>
      <family val="1"/>
    </font>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i/>
      <sz val="10"/>
      <color theme="1"/>
      <name val="Times New Roman"/>
      <family val="1"/>
    </font>
    <font>
      <b/>
      <sz val="12"/>
      <color theme="1"/>
      <name val="Times New Roman"/>
      <family val="1"/>
    </font>
    <font>
      <sz val="12"/>
      <color theme="1"/>
      <name val="Times New Roman"/>
      <family val="1"/>
    </font>
    <font>
      <b/>
      <sz val="11"/>
      <color theme="1"/>
      <name val="Times New Roman"/>
      <family val="1"/>
    </font>
    <font>
      <sz val="11"/>
      <color theme="1"/>
      <name val="Times New Roman"/>
      <family val="1"/>
    </font>
    <font>
      <sz val="14"/>
      <color theme="1"/>
      <name val="Times New Roman"/>
      <family val="1"/>
    </font>
    <font>
      <b/>
      <sz val="8"/>
      <color theme="1"/>
      <name val="Times New Roman"/>
      <family val="1"/>
    </font>
    <font>
      <i/>
      <sz val="12"/>
      <color theme="1"/>
      <name val="Times New Roman"/>
      <family val="1"/>
    </font>
    <font>
      <sz val="11"/>
      <color rgb="FFFF0000"/>
      <name val="Times New Roman"/>
      <family val="1"/>
    </font>
    <font>
      <sz val="10"/>
      <color rgb="FFFF0000"/>
      <name val="Times New Roman"/>
      <family val="1"/>
    </font>
    <font>
      <b/>
      <i/>
      <sz val="10"/>
      <color theme="1"/>
      <name val="Times New Roman"/>
      <family val="1"/>
    </font>
    <font>
      <sz val="10"/>
      <color rgb="FF000000"/>
      <name val="Times New Roman"/>
      <family val="1"/>
    </font>
    <font>
      <i/>
      <sz val="10"/>
      <name val="Times New Roman"/>
      <family val="1"/>
    </font>
    <font>
      <b/>
      <sz val="10"/>
      <color rgb="FF000000"/>
      <name val="Times New Roman"/>
      <family val="1"/>
    </font>
    <font>
      <u/>
      <sz val="10"/>
      <color theme="10"/>
      <name val="Arial"/>
    </font>
    <font>
      <u/>
      <sz val="10"/>
      <color theme="11"/>
      <name val="Arial"/>
    </font>
    <font>
      <b/>
      <sz val="14"/>
      <color theme="1"/>
      <name val="Times New Roman"/>
    </font>
    <font>
      <sz val="10"/>
      <name val="Arial"/>
      <family val="2"/>
    </font>
    <font>
      <sz val="9"/>
      <color theme="1"/>
      <name val="Times New Roman"/>
      <family val="1"/>
    </font>
    <font>
      <b/>
      <i/>
      <sz val="10"/>
      <name val="Times New Roman"/>
    </font>
    <font>
      <b/>
      <sz val="10"/>
      <color rgb="FFFF0000"/>
      <name val="Times New Roman"/>
      <family val="1"/>
    </font>
    <font>
      <b/>
      <sz val="10"/>
      <color rgb="FFFF0000"/>
      <name val="Arial"/>
      <family val="2"/>
    </font>
    <font>
      <sz val="10"/>
      <color rgb="FFFF0000"/>
      <name val="Arial"/>
      <family val="2"/>
    </font>
    <font>
      <sz val="9"/>
      <color rgb="FFFF0000"/>
      <name val="Times New Roman"/>
      <family val="1"/>
    </font>
    <font>
      <b/>
      <i/>
      <sz val="11"/>
      <name val="Times New Roman"/>
    </font>
    <font>
      <i/>
      <sz val="11"/>
      <name val="Times New Roman"/>
    </font>
    <font>
      <sz val="9"/>
      <name val="Times New Roman"/>
      <family val="1"/>
    </font>
    <font>
      <b/>
      <sz val="11"/>
      <color rgb="FFFF0000"/>
      <name val="Times New Roman"/>
      <family val="1"/>
    </font>
    <font>
      <b/>
      <sz val="13"/>
      <color theme="1"/>
      <name val="Times New Roman"/>
      <family val="1"/>
    </font>
    <font>
      <b/>
      <sz val="9"/>
      <color theme="1"/>
      <name val="Times New Roman"/>
      <family val="1"/>
    </font>
    <font>
      <b/>
      <sz val="9"/>
      <color indexed="81"/>
      <name val="Tahoma"/>
      <family val="2"/>
    </font>
    <font>
      <sz val="9"/>
      <color indexed="81"/>
      <name val="Tahoma"/>
      <family val="2"/>
    </font>
    <font>
      <sz val="10"/>
      <name val="Arial"/>
      <family val="2"/>
    </font>
    <font>
      <sz val="10"/>
      <color indexed="10"/>
      <name val="Times New Roman"/>
      <family val="1"/>
    </font>
    <font>
      <sz val="12"/>
      <name val="Arial"/>
    </font>
    <font>
      <b/>
      <sz val="12"/>
      <name val="Arial"/>
      <family val="2"/>
    </font>
    <font>
      <b/>
      <i/>
      <sz val="12"/>
      <color theme="1"/>
      <name val="Times New Roman"/>
      <family val="1"/>
    </font>
    <font>
      <sz val="12"/>
      <color rgb="FF000000"/>
      <name val="Times New Roman"/>
      <family val="1"/>
    </font>
  </fonts>
  <fills count="10">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rgb="FFCCFFCC"/>
        <bgColor indexed="64"/>
      </patternFill>
    </fill>
    <fill>
      <patternFill patternType="solid">
        <fgColor rgb="FFFFFF00"/>
        <bgColor rgb="FF000000"/>
      </patternFill>
    </fill>
    <fill>
      <patternFill patternType="solid">
        <fgColor rgb="FFFFFFFF"/>
        <bgColor indexed="64"/>
      </patternFill>
    </fill>
  </fills>
  <borders count="103">
    <border>
      <left/>
      <right/>
      <top/>
      <bottom/>
      <diagonal/>
    </border>
    <border>
      <left style="thin">
        <color indexed="8"/>
      </left>
      <right style="thin">
        <color indexed="8"/>
      </right>
      <top/>
      <bottom style="hair">
        <color indexed="8"/>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indexed="8"/>
      </right>
      <top/>
      <bottom style="hair">
        <color indexed="8"/>
      </bottom>
      <diagonal/>
    </border>
    <border>
      <left style="thin">
        <color indexed="8"/>
      </left>
      <right style="double">
        <color auto="1"/>
      </right>
      <top/>
      <bottom style="hair">
        <color indexed="8"/>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left style="double">
        <color auto="1"/>
      </left>
      <right style="thin">
        <color auto="1"/>
      </right>
      <top style="hair">
        <color auto="1"/>
      </top>
      <bottom style="hair">
        <color auto="1"/>
      </bottom>
      <diagonal/>
    </border>
    <border>
      <left style="thin">
        <color auto="1"/>
      </left>
      <right style="double">
        <color auto="1"/>
      </right>
      <top style="hair">
        <color auto="1"/>
      </top>
      <bottom style="hair">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double">
        <color auto="1"/>
      </right>
      <top style="hair">
        <color indexed="8"/>
      </top>
      <bottom style="hair">
        <color indexed="8"/>
      </bottom>
      <diagonal/>
    </border>
    <border>
      <left style="thin">
        <color indexed="8"/>
      </left>
      <right style="thin">
        <color indexed="8"/>
      </right>
      <top style="hair">
        <color indexed="8"/>
      </top>
      <bottom/>
      <diagonal/>
    </border>
    <border>
      <left style="thin">
        <color indexed="8"/>
      </left>
      <right style="double">
        <color auto="1"/>
      </right>
      <top style="hair">
        <color indexed="8"/>
      </top>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indexed="8"/>
      </left>
      <right style="thin">
        <color indexed="8"/>
      </right>
      <top style="thin">
        <color indexed="8"/>
      </top>
      <bottom style="double">
        <color auto="1"/>
      </bottom>
      <diagonal/>
    </border>
    <border>
      <left style="thin">
        <color indexed="8"/>
      </left>
      <right style="double">
        <color auto="1"/>
      </right>
      <top style="thin">
        <color indexed="8"/>
      </top>
      <bottom style="double">
        <color auto="1"/>
      </bottom>
      <diagonal/>
    </border>
    <border>
      <left style="double">
        <color auto="1"/>
      </left>
      <right style="thin">
        <color auto="1"/>
      </right>
      <top style="hair">
        <color auto="1"/>
      </top>
      <bottom/>
      <diagonal/>
    </border>
    <border>
      <left style="thin">
        <color auto="1"/>
      </left>
      <right style="double">
        <color auto="1"/>
      </right>
      <top style="hair">
        <color auto="1"/>
      </top>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double">
        <color auto="1"/>
      </right>
      <top style="hair">
        <color auto="1"/>
      </top>
      <bottom style="thin">
        <color auto="1"/>
      </bottom>
      <diagonal/>
    </border>
    <border>
      <left style="double">
        <color auto="1"/>
      </left>
      <right style="thin">
        <color auto="1"/>
      </right>
      <top/>
      <bottom/>
      <diagonal/>
    </border>
    <border>
      <left style="double">
        <color auto="1"/>
      </left>
      <right/>
      <top/>
      <bottom/>
      <diagonal/>
    </border>
    <border>
      <left style="double">
        <color auto="1"/>
      </left>
      <right style="thin">
        <color indexed="8"/>
      </right>
      <top style="hair">
        <color indexed="8"/>
      </top>
      <bottom/>
      <diagonal/>
    </border>
    <border>
      <left style="thin">
        <color auto="1"/>
      </left>
      <right/>
      <top style="thin">
        <color auto="1"/>
      </top>
      <bottom style="thin">
        <color auto="1"/>
      </bottom>
      <diagonal/>
    </border>
    <border>
      <left style="thin">
        <color indexed="8"/>
      </left>
      <right/>
      <top/>
      <bottom/>
      <diagonal/>
    </border>
    <border>
      <left style="thin">
        <color indexed="8"/>
      </left>
      <right style="thin">
        <color indexed="8"/>
      </right>
      <top/>
      <bottom/>
      <diagonal/>
    </border>
    <border>
      <left/>
      <right/>
      <top style="double">
        <color auto="1"/>
      </top>
      <bottom/>
      <diagonal/>
    </border>
    <border>
      <left style="double">
        <color auto="1"/>
      </left>
      <right style="thin">
        <color indexed="8"/>
      </right>
      <top style="thin">
        <color indexed="8"/>
      </top>
      <bottom style="double">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top/>
      <bottom style="hair">
        <color indexed="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indexed="8"/>
      </right>
      <top/>
      <bottom style="hair">
        <color indexed="8"/>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right style="thin">
        <color auto="1"/>
      </right>
      <top/>
      <bottom style="hair">
        <color indexed="8"/>
      </bottom>
      <diagonal/>
    </border>
    <border>
      <left style="thin">
        <color indexed="8"/>
      </left>
      <right style="thin">
        <color auto="1"/>
      </right>
      <top/>
      <bottom style="hair">
        <color indexed="8"/>
      </bottom>
      <diagonal/>
    </border>
    <border>
      <left style="thin">
        <color indexed="8"/>
      </left>
      <right style="thin">
        <color indexed="8"/>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indexed="8"/>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style="thin">
        <color auto="1"/>
      </right>
      <top style="hair">
        <color indexed="8"/>
      </top>
      <bottom style="hair">
        <color indexed="8"/>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top style="double">
        <color auto="1"/>
      </top>
      <bottom/>
      <diagonal/>
    </border>
    <border>
      <left/>
      <right style="thin">
        <color auto="1"/>
      </right>
      <top style="double">
        <color auto="1"/>
      </top>
      <bottom/>
      <diagonal/>
    </border>
    <border>
      <left style="double">
        <color auto="1"/>
      </left>
      <right style="thin">
        <color auto="1"/>
      </right>
      <top style="thin">
        <color auto="1"/>
      </top>
      <bottom style="hair">
        <color indexed="8"/>
      </bottom>
      <diagonal/>
    </border>
    <border>
      <left style="thin">
        <color auto="1"/>
      </left>
      <right style="thin">
        <color auto="1"/>
      </right>
      <top style="hair">
        <color indexed="8"/>
      </top>
      <bottom style="hair">
        <color indexed="8"/>
      </bottom>
      <diagonal/>
    </border>
    <border>
      <left style="thin">
        <color auto="1"/>
      </left>
      <right style="thin">
        <color auto="1"/>
      </right>
      <top style="thin">
        <color auto="1"/>
      </top>
      <bottom style="hair">
        <color indexed="8"/>
      </bottom>
      <diagonal/>
    </border>
    <border>
      <left style="thin">
        <color auto="1"/>
      </left>
      <right style="double">
        <color auto="1"/>
      </right>
      <top style="thin">
        <color auto="1"/>
      </top>
      <bottom style="hair">
        <color indexed="8"/>
      </bottom>
      <diagonal/>
    </border>
    <border>
      <left style="double">
        <color auto="1"/>
      </left>
      <right style="thin">
        <color auto="1"/>
      </right>
      <top style="hair">
        <color indexed="8"/>
      </top>
      <bottom style="hair">
        <color indexed="8"/>
      </bottom>
      <diagonal/>
    </border>
    <border>
      <left style="thin">
        <color auto="1"/>
      </left>
      <right style="double">
        <color auto="1"/>
      </right>
      <top style="hair">
        <color indexed="8"/>
      </top>
      <bottom style="hair">
        <color indexed="8"/>
      </bottom>
      <diagonal/>
    </border>
    <border>
      <left style="thin">
        <color auto="1"/>
      </left>
      <right/>
      <top style="double">
        <color auto="1"/>
      </top>
      <bottom style="thin">
        <color auto="1"/>
      </bottom>
      <diagonal/>
    </border>
    <border>
      <left style="thin">
        <color auto="1"/>
      </left>
      <right/>
      <top style="thin">
        <color auto="1"/>
      </top>
      <bottom style="hair">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thin">
        <color auto="1"/>
      </right>
      <top/>
      <bottom style="double">
        <color auto="1"/>
      </bottom>
      <diagonal/>
    </border>
    <border>
      <left style="thin">
        <color auto="1"/>
      </left>
      <right/>
      <top/>
      <bottom style="double">
        <color auto="1"/>
      </bottom>
      <diagonal/>
    </border>
    <border>
      <left style="thin">
        <color auto="1"/>
      </left>
      <right style="double">
        <color auto="1"/>
      </right>
      <top/>
      <bottom style="double">
        <color auto="1"/>
      </bottom>
      <diagonal/>
    </border>
    <border>
      <left/>
      <right style="thin">
        <color auto="1"/>
      </right>
      <top style="hair">
        <color auto="1"/>
      </top>
      <bottom style="hair">
        <color auto="1"/>
      </bottom>
      <diagonal/>
    </border>
    <border>
      <left/>
      <right style="medium">
        <color auto="1"/>
      </right>
      <top/>
      <bottom/>
      <diagonal/>
    </border>
    <border>
      <left style="thin">
        <color auto="1"/>
      </left>
      <right style="thin">
        <color auto="1"/>
      </right>
      <top style="thin">
        <color indexed="8"/>
      </top>
      <bottom style="thin">
        <color auto="1"/>
      </bottom>
      <diagonal/>
    </border>
    <border>
      <left style="double">
        <color auto="1"/>
      </left>
      <right style="thin">
        <color auto="1"/>
      </right>
      <top style="thin">
        <color auto="1"/>
      </top>
      <bottom/>
      <diagonal/>
    </border>
    <border>
      <left style="thin">
        <color auto="1"/>
      </left>
      <right/>
      <top/>
      <bottom/>
      <diagonal/>
    </border>
  </borders>
  <cellStyleXfs count="587">
    <xf numFmtId="0" fontId="0" fillId="0" borderId="0"/>
    <xf numFmtId="43" fontId="1" fillId="0" borderId="0" applyFont="0" applyFill="0" applyBorder="0" applyAlignment="0" applyProtection="0"/>
    <xf numFmtId="41" fontId="1" fillId="0" borderId="0" applyFont="0" applyFill="0" applyBorder="0" applyAlignment="0" applyProtection="0"/>
    <xf numFmtId="43" fontId="4" fillId="0" borderId="0" applyFont="0" applyFill="0" applyBorder="0" applyAlignment="0" applyProtection="0"/>
    <xf numFmtId="0" fontId="19" fillId="0" borderId="0"/>
    <xf numFmtId="0" fontId="4" fillId="0" borderId="0"/>
    <xf numFmtId="0" fontId="19"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cellStyleXfs>
  <cellXfs count="1175">
    <xf numFmtId="0" fontId="0" fillId="0" borderId="0" xfId="0"/>
    <xf numFmtId="0" fontId="0" fillId="0" borderId="0" xfId="0" applyAlignment="1">
      <alignment horizontal="center"/>
    </xf>
    <xf numFmtId="0" fontId="0" fillId="0" borderId="0" xfId="0" applyAlignment="1">
      <alignment wrapText="1"/>
    </xf>
    <xf numFmtId="0" fontId="2" fillId="0" borderId="0" xfId="0" applyFont="1" applyAlignment="1">
      <alignment vertical="top"/>
    </xf>
    <xf numFmtId="0" fontId="4" fillId="0" borderId="0" xfId="0" applyFont="1" applyAlignment="1">
      <alignment vertical="top"/>
    </xf>
    <xf numFmtId="0" fontId="5" fillId="0" borderId="0" xfId="0" applyFont="1" applyAlignment="1">
      <alignment horizontal="center"/>
    </xf>
    <xf numFmtId="0" fontId="5" fillId="0" borderId="0" xfId="0" applyFont="1"/>
    <xf numFmtId="0" fontId="5" fillId="0" borderId="0" xfId="0" applyFont="1" applyAlignment="1">
      <alignment wrapText="1"/>
    </xf>
    <xf numFmtId="0" fontId="6" fillId="0" borderId="0" xfId="0" applyFont="1" applyAlignment="1">
      <alignment vertical="top"/>
    </xf>
    <xf numFmtId="0" fontId="5" fillId="0" borderId="0" xfId="0" applyFont="1" applyAlignment="1">
      <alignment vertical="top"/>
    </xf>
    <xf numFmtId="0" fontId="21" fillId="0" borderId="0" xfId="0" applyFont="1" applyAlignment="1">
      <alignment wrapText="1"/>
    </xf>
    <xf numFmtId="0" fontId="21" fillId="0" borderId="0" xfId="0" applyFont="1"/>
    <xf numFmtId="0" fontId="22" fillId="0" borderId="0" xfId="0" applyFont="1" applyAlignment="1">
      <alignment vertical="top"/>
    </xf>
    <xf numFmtId="0" fontId="21" fillId="0" borderId="0" xfId="0" applyFont="1" applyAlignment="1">
      <alignment vertical="top"/>
    </xf>
    <xf numFmtId="0" fontId="21" fillId="0" borderId="0" xfId="0" applyFont="1" applyAlignment="1">
      <alignment horizontal="center"/>
    </xf>
    <xf numFmtId="0" fontId="22" fillId="0" borderId="0" xfId="0" applyFont="1" applyAlignment="1">
      <alignment wrapText="1"/>
    </xf>
    <xf numFmtId="165" fontId="21" fillId="0" borderId="0" xfId="0" applyNumberFormat="1" applyFont="1" applyAlignment="1">
      <alignment wrapText="1"/>
    </xf>
    <xf numFmtId="0" fontId="22" fillId="0" borderId="1" xfId="0" applyFont="1" applyBorder="1" applyAlignment="1">
      <alignment horizontal="center" vertical="top" wrapText="1"/>
    </xf>
    <xf numFmtId="0" fontId="0" fillId="0" borderId="2" xfId="0" applyBorder="1"/>
    <xf numFmtId="0" fontId="0" fillId="0" borderId="0" xfId="0" applyBorder="1"/>
    <xf numFmtId="164" fontId="21" fillId="0" borderId="3" xfId="1" applyNumberFormat="1" applyFont="1" applyBorder="1" applyAlignment="1">
      <alignment horizontal="left" vertical="center" wrapText="1"/>
    </xf>
    <xf numFmtId="164" fontId="22" fillId="0" borderId="4" xfId="1" applyNumberFormat="1" applyFont="1" applyBorder="1" applyAlignment="1">
      <alignment horizontal="center" vertical="center" wrapText="1"/>
    </xf>
    <xf numFmtId="164" fontId="21" fillId="0" borderId="4" xfId="1" applyNumberFormat="1" applyFont="1" applyBorder="1" applyAlignment="1">
      <alignment horizontal="left" vertical="center" wrapText="1"/>
    </xf>
    <xf numFmtId="164" fontId="22" fillId="0" borderId="3" xfId="1" applyNumberFormat="1" applyFont="1" applyBorder="1" applyAlignment="1">
      <alignment horizontal="center" vertical="center" wrapText="1"/>
    </xf>
    <xf numFmtId="0" fontId="21" fillId="0" borderId="0" xfId="0" applyFont="1" applyAlignment="1"/>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5" xfId="0" applyFont="1" applyBorder="1" applyAlignment="1">
      <alignment vertical="center"/>
    </xf>
    <xf numFmtId="0" fontId="25" fillId="0" borderId="4" xfId="0" applyFont="1" applyBorder="1" applyAlignment="1">
      <alignment horizontal="center" vertical="center"/>
    </xf>
    <xf numFmtId="0" fontId="25" fillId="0" borderId="4" xfId="0" applyFont="1" applyBorder="1" applyAlignment="1">
      <alignment vertical="center"/>
    </xf>
    <xf numFmtId="0" fontId="24" fillId="0" borderId="4" xfId="0" applyFont="1" applyBorder="1" applyAlignment="1">
      <alignment horizontal="center" vertical="center"/>
    </xf>
    <xf numFmtId="0" fontId="21" fillId="0" borderId="0" xfId="0" applyFont="1" applyAlignment="1">
      <alignment horizontal="center"/>
    </xf>
    <xf numFmtId="0" fontId="28" fillId="0" borderId="0" xfId="0" applyFont="1" applyAlignment="1">
      <alignment vertical="center"/>
    </xf>
    <xf numFmtId="0" fontId="25" fillId="0" borderId="0" xfId="0" applyFont="1" applyAlignment="1">
      <alignment vertical="center"/>
    </xf>
    <xf numFmtId="0" fontId="25" fillId="0" borderId="5" xfId="0" applyFont="1" applyBorder="1" applyAlignment="1">
      <alignment vertical="center" wrapText="1"/>
    </xf>
    <xf numFmtId="0" fontId="24" fillId="0" borderId="0" xfId="0" applyFont="1" applyAlignment="1">
      <alignment vertical="center"/>
    </xf>
    <xf numFmtId="0" fontId="24" fillId="0" borderId="3" xfId="0" applyFont="1" applyBorder="1" applyAlignment="1">
      <alignment vertical="center"/>
    </xf>
    <xf numFmtId="0" fontId="24" fillId="0" borderId="0" xfId="0" applyFont="1" applyAlignment="1">
      <alignment horizontal="center" vertical="center"/>
    </xf>
    <xf numFmtId="0" fontId="24" fillId="0" borderId="4" xfId="0" applyFont="1" applyBorder="1" applyAlignment="1">
      <alignment vertical="center"/>
    </xf>
    <xf numFmtId="0" fontId="24" fillId="0" borderId="5" xfId="0" applyFont="1" applyBorder="1" applyAlignment="1">
      <alignment vertical="center" wrapText="1"/>
    </xf>
    <xf numFmtId="0" fontId="25" fillId="0" borderId="4" xfId="0" applyFont="1" applyBorder="1" applyAlignment="1">
      <alignment vertical="center" wrapText="1"/>
    </xf>
    <xf numFmtId="0" fontId="0" fillId="0" borderId="0" xfId="0" applyAlignment="1">
      <alignment vertical="top"/>
    </xf>
    <xf numFmtId="0" fontId="25" fillId="0" borderId="4" xfId="0" applyFont="1" applyBorder="1" applyAlignment="1">
      <alignment horizontal="center" vertical="center" wrapText="1"/>
    </xf>
    <xf numFmtId="0" fontId="14" fillId="0" borderId="0" xfId="0" applyFont="1" applyAlignment="1">
      <alignment horizontal="right" vertical="center"/>
    </xf>
    <xf numFmtId="0" fontId="18" fillId="0" borderId="0" xfId="0" applyFont="1" applyAlignment="1">
      <alignment vertical="center"/>
    </xf>
    <xf numFmtId="0" fontId="14" fillId="0" borderId="0" xfId="0" applyFont="1" applyAlignment="1">
      <alignment horizontal="center" vertical="center"/>
    </xf>
    <xf numFmtId="0" fontId="14" fillId="0" borderId="3" xfId="0" applyFont="1" applyBorder="1" applyAlignment="1">
      <alignment vertical="center"/>
    </xf>
    <xf numFmtId="0" fontId="14" fillId="0" borderId="0" xfId="0" applyFont="1" applyAlignment="1">
      <alignment vertical="center"/>
    </xf>
    <xf numFmtId="0" fontId="9" fillId="0" borderId="6" xfId="0" applyFont="1" applyBorder="1" applyAlignment="1">
      <alignment vertical="center"/>
    </xf>
    <xf numFmtId="0" fontId="9" fillId="0" borderId="0" xfId="0" applyFont="1" applyAlignment="1">
      <alignment vertical="center"/>
    </xf>
    <xf numFmtId="0" fontId="9" fillId="0" borderId="4" xfId="0" applyFont="1" applyBorder="1" applyAlignment="1">
      <alignment vertical="center"/>
    </xf>
    <xf numFmtId="0" fontId="9" fillId="0" borderId="7" xfId="0" applyFont="1" applyBorder="1" applyAlignment="1">
      <alignment vertical="center"/>
    </xf>
    <xf numFmtId="0" fontId="9" fillId="0" borderId="5" xfId="0" applyFont="1" applyBorder="1" applyAlignment="1">
      <alignment vertical="center" wrapText="1"/>
    </xf>
    <xf numFmtId="0" fontId="21" fillId="0" borderId="0" xfId="0" applyFont="1" applyAlignment="1">
      <alignment horizontal="center"/>
    </xf>
    <xf numFmtId="0" fontId="22" fillId="0" borderId="0" xfId="0" applyFont="1" applyAlignment="1">
      <alignment horizontal="center" vertical="center"/>
    </xf>
    <xf numFmtId="164" fontId="22" fillId="0" borderId="8" xfId="1" applyNumberFormat="1" applyFont="1" applyBorder="1" applyAlignment="1">
      <alignment horizontal="center" vertical="center" wrapText="1"/>
    </xf>
    <xf numFmtId="0" fontId="24" fillId="0" borderId="0" xfId="0" applyFont="1" applyAlignment="1">
      <alignment horizontal="center" vertical="center"/>
    </xf>
    <xf numFmtId="164" fontId="22" fillId="0" borderId="9" xfId="1" quotePrefix="1" applyNumberFormat="1" applyFont="1" applyBorder="1" applyAlignment="1">
      <alignment horizontal="center" vertical="center" wrapText="1"/>
    </xf>
    <xf numFmtId="0" fontId="23" fillId="0" borderId="0" xfId="0" applyFont="1" applyBorder="1" applyAlignment="1"/>
    <xf numFmtId="164" fontId="22" fillId="0" borderId="10" xfId="1" applyNumberFormat="1" applyFont="1" applyBorder="1" applyAlignment="1">
      <alignment horizontal="center" vertical="center" wrapText="1"/>
    </xf>
    <xf numFmtId="164" fontId="22" fillId="0" borderId="11" xfId="1" applyNumberFormat="1" applyFont="1" applyBorder="1" applyAlignment="1">
      <alignment horizontal="center" vertical="center" wrapText="1"/>
    </xf>
    <xf numFmtId="164" fontId="22" fillId="0" borderId="12" xfId="1" applyNumberFormat="1" applyFont="1" applyBorder="1" applyAlignment="1">
      <alignment horizontal="center" vertical="center" wrapText="1"/>
    </xf>
    <xf numFmtId="164" fontId="22" fillId="0" borderId="13" xfId="1" quotePrefix="1" applyNumberFormat="1" applyFont="1" applyBorder="1" applyAlignment="1">
      <alignment horizontal="center" vertical="center" wrapText="1"/>
    </xf>
    <xf numFmtId="164" fontId="22" fillId="0" borderId="14" xfId="1" quotePrefix="1" applyNumberFormat="1" applyFont="1" applyBorder="1" applyAlignment="1">
      <alignment horizontal="center" vertical="center" wrapText="1"/>
    </xf>
    <xf numFmtId="0" fontId="22" fillId="0" borderId="15" xfId="0" applyFont="1" applyBorder="1" applyAlignment="1">
      <alignment horizontal="right" vertical="top" wrapText="1"/>
    </xf>
    <xf numFmtId="0" fontId="22" fillId="0" borderId="16" xfId="0" applyFont="1" applyBorder="1" applyAlignment="1">
      <alignment vertical="top"/>
    </xf>
    <xf numFmtId="0" fontId="21" fillId="0" borderId="0" xfId="0" applyFont="1" applyFill="1" applyAlignment="1">
      <alignment wrapText="1"/>
    </xf>
    <xf numFmtId="0" fontId="22" fillId="0" borderId="0" xfId="0" applyFont="1" applyFill="1" applyAlignment="1">
      <alignment wrapText="1"/>
    </xf>
    <xf numFmtId="49" fontId="22" fillId="0" borderId="17" xfId="1" quotePrefix="1" applyNumberFormat="1" applyFont="1" applyFill="1" applyBorder="1" applyAlignment="1">
      <alignment horizontal="center" vertical="center" wrapText="1"/>
    </xf>
    <xf numFmtId="49" fontId="22" fillId="0" borderId="17" xfId="1" applyNumberFormat="1" applyFont="1" applyFill="1" applyBorder="1" applyAlignment="1">
      <alignment horizontal="center" vertical="center" wrapText="1"/>
    </xf>
    <xf numFmtId="49" fontId="29" fillId="0" borderId="17" xfId="1" quotePrefix="1" applyNumberFormat="1" applyFont="1" applyFill="1" applyBorder="1" applyAlignment="1">
      <alignment horizontal="center" vertical="center" wrapText="1"/>
    </xf>
    <xf numFmtId="0" fontId="2" fillId="0" borderId="0" xfId="0" applyFont="1" applyFill="1" applyAlignment="1">
      <alignment vertical="top"/>
    </xf>
    <xf numFmtId="0" fontId="21" fillId="0" borderId="0" xfId="0" applyFont="1" applyFill="1" applyAlignment="1">
      <alignment horizontal="center"/>
    </xf>
    <xf numFmtId="0" fontId="23" fillId="0" borderId="0" xfId="0" applyFont="1" applyFill="1" applyBorder="1" applyAlignment="1"/>
    <xf numFmtId="0" fontId="23" fillId="0" borderId="0" xfId="0" applyFont="1" applyFill="1" applyBorder="1" applyAlignment="1">
      <alignment horizontal="center"/>
    </xf>
    <xf numFmtId="49" fontId="22" fillId="0" borderId="18" xfId="1" quotePrefix="1" applyNumberFormat="1" applyFont="1" applyFill="1" applyBorder="1" applyAlignment="1">
      <alignment horizontal="center" vertical="center" wrapText="1"/>
    </xf>
    <xf numFmtId="49" fontId="22" fillId="0" borderId="19" xfId="1" applyNumberFormat="1" applyFont="1" applyFill="1" applyBorder="1" applyAlignment="1">
      <alignment horizontal="center" vertical="center" wrapText="1"/>
    </xf>
    <xf numFmtId="0" fontId="21" fillId="0" borderId="26" xfId="0" applyFont="1" applyBorder="1" applyAlignment="1">
      <alignment horizontal="right" vertical="center" wrapText="1"/>
    </xf>
    <xf numFmtId="0" fontId="21" fillId="0" borderId="27" xfId="0" applyFont="1" applyBorder="1" applyAlignment="1">
      <alignment horizontal="left" vertical="center" wrapText="1"/>
    </xf>
    <xf numFmtId="0" fontId="21" fillId="0" borderId="27" xfId="0" applyFont="1" applyBorder="1" applyAlignment="1">
      <alignment horizontal="center" vertical="center" wrapText="1"/>
    </xf>
    <xf numFmtId="0" fontId="21" fillId="0" borderId="28" xfId="0" applyFont="1" applyBorder="1" applyAlignment="1">
      <alignment vertical="center"/>
    </xf>
    <xf numFmtId="0" fontId="6" fillId="0" borderId="26" xfId="0" applyFont="1" applyBorder="1" applyAlignment="1">
      <alignment horizontal="right" vertical="center" wrapText="1"/>
    </xf>
    <xf numFmtId="0" fontId="5" fillId="0" borderId="26" xfId="0" applyFont="1" applyBorder="1" applyAlignment="1">
      <alignment horizontal="right" vertical="center" wrapText="1"/>
    </xf>
    <xf numFmtId="0" fontId="22" fillId="0" borderId="26" xfId="0" applyFont="1" applyBorder="1" applyAlignment="1">
      <alignment horizontal="right" vertical="center" wrapText="1"/>
    </xf>
    <xf numFmtId="0" fontId="21" fillId="0" borderId="29" xfId="0" applyFont="1" applyBorder="1" applyAlignment="1">
      <alignment horizontal="center" vertical="center" wrapText="1"/>
    </xf>
    <xf numFmtId="0" fontId="21" fillId="0" borderId="30" xfId="0" applyFont="1" applyBorder="1" applyAlignment="1">
      <alignment vertical="center"/>
    </xf>
    <xf numFmtId="0" fontId="22" fillId="0" borderId="32" xfId="0" applyFont="1" applyBorder="1" applyAlignment="1">
      <alignment horizontal="justify" vertical="center" wrapText="1"/>
    </xf>
    <xf numFmtId="0" fontId="21" fillId="0" borderId="32" xfId="0" applyFont="1" applyBorder="1" applyAlignment="1">
      <alignment horizontal="center" vertical="center" wrapText="1"/>
    </xf>
    <xf numFmtId="0" fontId="21" fillId="0" borderId="33" xfId="0" applyFont="1" applyBorder="1" applyAlignment="1">
      <alignment vertical="center"/>
    </xf>
    <xf numFmtId="0" fontId="21"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164" fontId="22" fillId="0" borderId="20" xfId="1" applyNumberFormat="1" applyFont="1" applyBorder="1" applyAlignment="1">
      <alignment horizontal="center" vertical="center" wrapText="1"/>
    </xf>
    <xf numFmtId="164" fontId="22" fillId="0" borderId="21" xfId="1" applyNumberFormat="1" applyFont="1" applyBorder="1" applyAlignment="1">
      <alignment horizontal="center" vertical="center" wrapText="1"/>
    </xf>
    <xf numFmtId="164" fontId="22" fillId="0" borderId="22" xfId="1" applyNumberFormat="1" applyFont="1" applyBorder="1" applyAlignment="1">
      <alignment horizontal="center" vertical="center" wrapText="1"/>
    </xf>
    <xf numFmtId="164" fontId="22" fillId="0" borderId="23" xfId="1" applyNumberFormat="1" applyFont="1" applyBorder="1" applyAlignment="1">
      <alignment horizontal="center" vertical="center" wrapText="1"/>
    </xf>
    <xf numFmtId="0" fontId="22" fillId="0" borderId="15" xfId="0" applyFont="1" applyBorder="1" applyAlignment="1">
      <alignment horizontal="center" vertical="center" wrapText="1"/>
    </xf>
    <xf numFmtId="0" fontId="22"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xf>
    <xf numFmtId="0" fontId="22" fillId="0" borderId="16" xfId="0" applyFont="1" applyBorder="1" applyAlignment="1">
      <alignment vertical="center"/>
    </xf>
    <xf numFmtId="0" fontId="21" fillId="0" borderId="15" xfId="0" applyFont="1" applyBorder="1" applyAlignment="1">
      <alignment horizontal="center" vertical="center" wrapText="1"/>
    </xf>
    <xf numFmtId="0" fontId="21" fillId="0" borderId="1" xfId="0" applyFont="1" applyBorder="1" applyAlignment="1">
      <alignment horizontal="justify" vertical="center" wrapText="1"/>
    </xf>
    <xf numFmtId="0" fontId="21" fillId="0" borderId="1" xfId="0" applyFont="1" applyBorder="1" applyAlignment="1">
      <alignment horizontal="center" vertical="center" wrapText="1"/>
    </xf>
    <xf numFmtId="0" fontId="21" fillId="0" borderId="1" xfId="0" applyFont="1" applyBorder="1" applyAlignment="1">
      <alignment vertical="center"/>
    </xf>
    <xf numFmtId="0" fontId="21" fillId="0" borderId="16" xfId="0" applyFont="1" applyBorder="1" applyAlignment="1">
      <alignment vertical="center"/>
    </xf>
    <xf numFmtId="0" fontId="21" fillId="0" borderId="34" xfId="0" applyFont="1" applyBorder="1" applyAlignment="1">
      <alignment horizontal="center" vertical="center" wrapText="1"/>
    </xf>
    <xf numFmtId="0" fontId="21" fillId="0" borderId="35" xfId="0" applyFont="1" applyBorder="1" applyAlignment="1">
      <alignment vertical="center"/>
    </xf>
    <xf numFmtId="0" fontId="22" fillId="0" borderId="0" xfId="0" applyFont="1" applyAlignment="1"/>
    <xf numFmtId="0" fontId="21" fillId="0" borderId="0" xfId="0" applyFont="1" applyAlignment="1">
      <alignment vertical="center" wrapText="1"/>
    </xf>
    <xf numFmtId="0" fontId="22" fillId="0" borderId="0" xfId="0" applyFont="1" applyAlignment="1">
      <alignment vertical="center" wrapText="1"/>
    </xf>
    <xf numFmtId="0" fontId="22" fillId="0" borderId="27" xfId="0" applyFont="1" applyBorder="1" applyAlignment="1">
      <alignment horizontal="center" vertical="center" wrapText="1"/>
    </xf>
    <xf numFmtId="0" fontId="23" fillId="0" borderId="0" xfId="0" applyFont="1" applyBorder="1" applyAlignment="1">
      <alignment horizontal="center" vertical="center"/>
    </xf>
    <xf numFmtId="0" fontId="21"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6" fillId="0" borderId="0" xfId="0" applyFont="1" applyAlignment="1">
      <alignment vertical="center"/>
    </xf>
    <xf numFmtId="0" fontId="2" fillId="0" borderId="0" xfId="0" applyFont="1" applyAlignment="1">
      <alignment vertical="center"/>
    </xf>
    <xf numFmtId="0" fontId="5" fillId="0" borderId="0" xfId="0" applyFont="1" applyAlignment="1">
      <alignment vertical="center" wrapText="1"/>
    </xf>
    <xf numFmtId="0" fontId="0" fillId="0" borderId="0" xfId="0" applyAlignment="1">
      <alignment vertical="center" wrapText="1"/>
    </xf>
    <xf numFmtId="0" fontId="0" fillId="0" borderId="0" xfId="0" applyBorder="1" applyAlignment="1">
      <alignment vertical="center"/>
    </xf>
    <xf numFmtId="0" fontId="5" fillId="0" borderId="0" xfId="0" applyFont="1" applyBorder="1" applyAlignment="1">
      <alignment vertical="center"/>
    </xf>
    <xf numFmtId="0" fontId="25" fillId="0" borderId="22" xfId="0" applyFont="1" applyBorder="1" applyAlignment="1">
      <alignment horizontal="center" vertical="center"/>
    </xf>
    <xf numFmtId="0" fontId="24" fillId="0" borderId="22" xfId="0" applyFont="1" applyBorder="1" applyAlignment="1">
      <alignment horizontal="center" vertical="center"/>
    </xf>
    <xf numFmtId="0" fontId="24" fillId="0" borderId="0" xfId="0" applyFont="1" applyAlignment="1">
      <alignment vertical="center" wrapText="1"/>
    </xf>
    <xf numFmtId="0" fontId="0" fillId="0" borderId="2" xfId="0" applyBorder="1" applyAlignment="1">
      <alignment vertical="center"/>
    </xf>
    <xf numFmtId="0" fontId="23" fillId="0" borderId="0" xfId="0" applyFont="1" applyAlignment="1">
      <alignment horizontal="center" vertical="center"/>
    </xf>
    <xf numFmtId="0" fontId="23" fillId="0" borderId="0" xfId="0" applyFont="1" applyBorder="1" applyAlignment="1">
      <alignment vertical="center"/>
    </xf>
    <xf numFmtId="0" fontId="9" fillId="0" borderId="0" xfId="0" applyFont="1" applyAlignment="1">
      <alignment horizontal="left"/>
    </xf>
    <xf numFmtId="0" fontId="30" fillId="0" borderId="0" xfId="0" applyFont="1" applyAlignment="1">
      <alignment vertical="center"/>
    </xf>
    <xf numFmtId="3" fontId="25" fillId="0" borderId="0" xfId="4" applyNumberFormat="1" applyFont="1" applyFill="1"/>
    <xf numFmtId="0" fontId="25" fillId="0" borderId="0" xfId="4" applyFont="1" applyFill="1"/>
    <xf numFmtId="0" fontId="24" fillId="0" borderId="0" xfId="4" applyFont="1" applyFill="1"/>
    <xf numFmtId="0" fontId="19" fillId="0" borderId="0" xfId="4" applyFill="1"/>
    <xf numFmtId="0" fontId="19" fillId="0" borderId="0" xfId="4" applyFill="1" applyAlignment="1">
      <alignment horizontal="center"/>
    </xf>
    <xf numFmtId="3" fontId="19" fillId="0" borderId="0" xfId="4" applyNumberFormat="1" applyFill="1"/>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20" xfId="0" applyFont="1" applyBorder="1" applyAlignment="1">
      <alignment vertical="center"/>
    </xf>
    <xf numFmtId="0" fontId="14" fillId="0" borderId="21" xfId="0" applyFont="1" applyBorder="1" applyAlignment="1">
      <alignment vertical="center"/>
    </xf>
    <xf numFmtId="0" fontId="9" fillId="0" borderId="42" xfId="0" applyFont="1" applyBorder="1" applyAlignment="1">
      <alignment horizontal="center" vertical="center"/>
    </xf>
    <xf numFmtId="0" fontId="9" fillId="0" borderId="43" xfId="0" applyFont="1" applyBorder="1" applyAlignment="1">
      <alignment vertical="center"/>
    </xf>
    <xf numFmtId="0" fontId="9" fillId="0" borderId="22" xfId="0" applyFont="1" applyBorder="1" applyAlignment="1">
      <alignment horizontal="center" vertical="center"/>
    </xf>
    <xf numFmtId="0" fontId="9" fillId="0" borderId="23" xfId="0" applyFont="1" applyBorder="1" applyAlignment="1">
      <alignment vertical="center"/>
    </xf>
    <xf numFmtId="0" fontId="9" fillId="0" borderId="22" xfId="0" quotePrefix="1" applyFont="1" applyBorder="1" applyAlignment="1">
      <alignment horizontal="center" vertical="center"/>
    </xf>
    <xf numFmtId="0" fontId="17" fillId="0" borderId="22" xfId="0" quotePrefix="1" applyFont="1" applyBorder="1" applyAlignment="1">
      <alignment horizontal="center" vertical="center"/>
    </xf>
    <xf numFmtId="0" fontId="9" fillId="0" borderId="44" xfId="0" applyFont="1" applyBorder="1" applyAlignment="1">
      <alignment vertical="center"/>
    </xf>
    <xf numFmtId="0" fontId="9" fillId="0" borderId="36" xfId="0" quotePrefix="1" applyFont="1" applyBorder="1" applyAlignment="1">
      <alignment horizontal="center" vertical="center"/>
    </xf>
    <xf numFmtId="0" fontId="9" fillId="0" borderId="37" xfId="0" applyFont="1" applyBorder="1" applyAlignment="1">
      <alignment vertical="center"/>
    </xf>
    <xf numFmtId="0" fontId="9" fillId="0" borderId="25" xfId="0" applyFont="1" applyBorder="1" applyAlignment="1">
      <alignment vertical="center"/>
    </xf>
    <xf numFmtId="0" fontId="14" fillId="0" borderId="42" xfId="0" applyFont="1" applyBorder="1" applyAlignment="1">
      <alignment horizontal="center" vertical="center"/>
    </xf>
    <xf numFmtId="0" fontId="14" fillId="0" borderId="43" xfId="0" applyFont="1" applyBorder="1" applyAlignment="1">
      <alignment vertical="center"/>
    </xf>
    <xf numFmtId="0" fontId="25" fillId="0" borderId="23" xfId="0" applyFont="1" applyBorder="1" applyAlignment="1">
      <alignment vertical="center"/>
    </xf>
    <xf numFmtId="0" fontId="30" fillId="0" borderId="22" xfId="0" applyFont="1" applyBorder="1" applyAlignment="1">
      <alignment horizontal="center" vertical="center"/>
    </xf>
    <xf numFmtId="0" fontId="25" fillId="0" borderId="37" xfId="0" applyFont="1" applyBorder="1" applyAlignment="1">
      <alignment vertical="center"/>
    </xf>
    <xf numFmtId="0" fontId="24" fillId="0" borderId="36" xfId="0" quotePrefix="1" applyFont="1" applyBorder="1" applyAlignment="1">
      <alignment horizontal="center" vertical="center"/>
    </xf>
    <xf numFmtId="0" fontId="25" fillId="0" borderId="36" xfId="0" quotePrefix="1" applyFont="1" applyBorder="1" applyAlignment="1">
      <alignment horizontal="center" vertical="center"/>
    </xf>
    <xf numFmtId="0" fontId="25" fillId="0" borderId="41" xfId="0" applyFont="1" applyBorder="1" applyAlignment="1">
      <alignment horizontal="center" vertical="center"/>
    </xf>
    <xf numFmtId="0" fontId="25" fillId="0" borderId="25" xfId="0" applyFont="1" applyBorder="1" applyAlignment="1">
      <alignment vertical="center"/>
    </xf>
    <xf numFmtId="0" fontId="25" fillId="0" borderId="0" xfId="0" applyFont="1" applyBorder="1" applyAlignment="1">
      <alignment vertical="center"/>
    </xf>
    <xf numFmtId="0" fontId="25" fillId="0" borderId="22" xfId="0" quotePrefix="1" applyFont="1" applyBorder="1" applyAlignment="1">
      <alignment horizontal="center" vertical="center"/>
    </xf>
    <xf numFmtId="0" fontId="24" fillId="0" borderId="5" xfId="0" applyFont="1" applyBorder="1" applyAlignment="1">
      <alignment vertical="center"/>
    </xf>
    <xf numFmtId="0" fontId="25" fillId="4" borderId="4" xfId="0" applyFont="1" applyFill="1" applyBorder="1" applyAlignment="1">
      <alignment vertical="center"/>
    </xf>
    <xf numFmtId="0" fontId="24" fillId="0" borderId="4" xfId="0" applyFont="1" applyBorder="1" applyAlignment="1">
      <alignment vertical="center" wrapText="1"/>
    </xf>
    <xf numFmtId="0" fontId="24" fillId="0" borderId="0" xfId="0" applyFont="1" applyBorder="1" applyAlignment="1">
      <alignment vertical="center"/>
    </xf>
    <xf numFmtId="0" fontId="14" fillId="0" borderId="8" xfId="0" applyFont="1" applyBorder="1" applyAlignment="1">
      <alignment vertical="center"/>
    </xf>
    <xf numFmtId="0" fontId="25" fillId="0" borderId="6" xfId="0" applyFont="1" applyBorder="1" applyAlignment="1">
      <alignment vertical="center"/>
    </xf>
    <xf numFmtId="0" fontId="9" fillId="0" borderId="4" xfId="0" applyFont="1" applyBorder="1" applyAlignment="1">
      <alignment horizontal="left" vertical="center" wrapText="1"/>
    </xf>
    <xf numFmtId="0" fontId="21" fillId="0" borderId="0" xfId="0" applyFont="1" applyAlignment="1">
      <alignment horizontal="center"/>
    </xf>
    <xf numFmtId="0" fontId="21" fillId="4" borderId="0" xfId="0" applyFont="1" applyFill="1" applyAlignment="1">
      <alignment horizontal="center"/>
    </xf>
    <xf numFmtId="0" fontId="21" fillId="4" borderId="0" xfId="0" applyFont="1" applyFill="1" applyAlignment="1">
      <alignment wrapText="1"/>
    </xf>
    <xf numFmtId="0" fontId="21" fillId="4" borderId="0" xfId="0" applyFont="1" applyFill="1"/>
    <xf numFmtId="164" fontId="22" fillId="0" borderId="46" xfId="1" applyNumberFormat="1" applyFont="1" applyBorder="1" applyAlignment="1">
      <alignment horizontal="center" vertical="center" wrapText="1"/>
    </xf>
    <xf numFmtId="0" fontId="22" fillId="0" borderId="27" xfId="0" applyFont="1" applyBorder="1" applyAlignment="1">
      <alignment horizontal="left" vertical="center" wrapText="1"/>
    </xf>
    <xf numFmtId="0" fontId="22" fillId="0" borderId="47" xfId="0" applyFont="1" applyBorder="1" applyAlignment="1">
      <alignment horizontal="right" vertical="center" wrapText="1"/>
    </xf>
    <xf numFmtId="0" fontId="21" fillId="0" borderId="7" xfId="0" applyFont="1" applyBorder="1" applyAlignment="1">
      <alignment horizontal="center" vertical="center" wrapText="1"/>
    </xf>
    <xf numFmtId="0" fontId="21" fillId="0" borderId="7" xfId="0" applyFont="1" applyBorder="1" applyAlignment="1">
      <alignment vertical="center"/>
    </xf>
    <xf numFmtId="0" fontId="21" fillId="0" borderId="44" xfId="0" applyFont="1" applyBorder="1" applyAlignment="1">
      <alignment vertical="center"/>
    </xf>
    <xf numFmtId="164" fontId="22" fillId="0" borderId="3" xfId="1" quotePrefix="1" applyNumberFormat="1" applyFont="1" applyBorder="1" applyAlignment="1">
      <alignment horizontal="center" vertical="center" wrapText="1"/>
    </xf>
    <xf numFmtId="164" fontId="22" fillId="0" borderId="21" xfId="1" quotePrefix="1" applyNumberFormat="1" applyFont="1" applyBorder="1" applyAlignment="1">
      <alignment horizontal="center" vertical="center" wrapText="1"/>
    </xf>
    <xf numFmtId="0" fontId="24" fillId="0" borderId="0" xfId="0" applyFont="1" applyAlignment="1">
      <alignment horizontal="right"/>
    </xf>
    <xf numFmtId="0" fontId="24" fillId="0" borderId="0" xfId="4" applyFont="1" applyFill="1" applyAlignment="1">
      <alignment horizontal="right"/>
    </xf>
    <xf numFmtId="0" fontId="22" fillId="0" borderId="1"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6" fillId="0" borderId="48" xfId="6" applyFont="1" applyFill="1" applyBorder="1" applyAlignment="1">
      <alignment horizontal="center" vertical="center" wrapText="1"/>
    </xf>
    <xf numFmtId="164" fontId="22" fillId="0" borderId="3" xfId="1" applyNumberFormat="1" applyFont="1" applyBorder="1" applyAlignment="1">
      <alignment horizontal="left" vertical="center" wrapText="1"/>
    </xf>
    <xf numFmtId="0" fontId="21" fillId="0" borderId="27" xfId="0" applyFont="1" applyBorder="1" applyAlignment="1">
      <alignment horizontal="center" vertical="center"/>
    </xf>
    <xf numFmtId="0" fontId="22" fillId="0" borderId="0" xfId="0" applyFont="1" applyAlignment="1">
      <alignment horizontal="center"/>
    </xf>
    <xf numFmtId="0" fontId="21" fillId="0" borderId="0" xfId="0" applyFont="1" applyAlignment="1">
      <alignment horizontal="center"/>
    </xf>
    <xf numFmtId="0" fontId="12" fillId="0" borderId="0" xfId="0" applyFont="1" applyAlignment="1">
      <alignment horizontal="center"/>
    </xf>
    <xf numFmtId="0" fontId="33" fillId="0" borderId="34" xfId="0" applyFont="1" applyBorder="1" applyAlignment="1">
      <alignment horizontal="center" vertical="center" wrapText="1"/>
    </xf>
    <xf numFmtId="164" fontId="22" fillId="0" borderId="39" xfId="1" applyNumberFormat="1" applyFont="1" applyBorder="1" applyAlignment="1">
      <alignment horizontal="center" vertical="center" wrapText="1"/>
    </xf>
    <xf numFmtId="164" fontId="22" fillId="0" borderId="8" xfId="1" applyNumberFormat="1" applyFont="1" applyBorder="1" applyAlignment="1">
      <alignment horizontal="center" vertical="center" wrapText="1"/>
    </xf>
    <xf numFmtId="0" fontId="7" fillId="0" borderId="17" xfId="0" applyFont="1" applyBorder="1" applyAlignment="1">
      <alignment horizontal="left" vertical="top" wrapText="1"/>
    </xf>
    <xf numFmtId="0" fontId="7" fillId="0" borderId="17" xfId="0" applyFont="1" applyBorder="1" applyAlignment="1">
      <alignment horizontal="justify" vertical="top" wrapText="1"/>
    </xf>
    <xf numFmtId="0" fontId="7" fillId="0" borderId="17" xfId="0" applyFont="1" applyBorder="1" applyAlignment="1">
      <alignment horizontal="center" vertical="top" wrapText="1"/>
    </xf>
    <xf numFmtId="0" fontId="7" fillId="0" borderId="17" xfId="0" applyFont="1" applyBorder="1" applyAlignment="1">
      <alignment vertical="top"/>
    </xf>
    <xf numFmtId="0" fontId="7" fillId="0" borderId="17" xfId="0" applyFont="1" applyBorder="1" applyAlignment="1">
      <alignment horizontal="left" vertical="top"/>
    </xf>
    <xf numFmtId="0" fontId="5" fillId="0" borderId="17" xfId="0" applyFont="1" applyBorder="1" applyAlignment="1">
      <alignment horizontal="left" vertical="top"/>
    </xf>
    <xf numFmtId="0" fontId="5" fillId="0" borderId="17" xfId="0" applyFont="1" applyBorder="1" applyAlignment="1">
      <alignment vertical="top"/>
    </xf>
    <xf numFmtId="0" fontId="5" fillId="0" borderId="17" xfId="0" applyFont="1" applyBorder="1" applyAlignment="1">
      <alignment horizontal="center" vertical="top"/>
    </xf>
    <xf numFmtId="0" fontId="5" fillId="0" borderId="17" xfId="0" applyFont="1" applyBorder="1" applyAlignment="1">
      <alignment horizontal="justify" vertical="top" wrapText="1"/>
    </xf>
    <xf numFmtId="0" fontId="5" fillId="0" borderId="17" xfId="0" applyFont="1" applyBorder="1" applyAlignment="1">
      <alignment horizontal="center" vertical="top" wrapText="1"/>
    </xf>
    <xf numFmtId="0" fontId="5" fillId="0" borderId="0" xfId="0" applyFont="1" applyAlignment="1">
      <alignment horizontal="center" vertical="top"/>
    </xf>
    <xf numFmtId="0" fontId="22" fillId="0" borderId="34" xfId="0" applyFont="1" applyBorder="1" applyAlignment="1">
      <alignment vertical="center"/>
    </xf>
    <xf numFmtId="0" fontId="7" fillId="2" borderId="17" xfId="0" applyFont="1" applyFill="1" applyBorder="1" applyAlignment="1">
      <alignment horizontal="justify" vertical="top" wrapText="1"/>
    </xf>
    <xf numFmtId="0" fontId="7" fillId="3" borderId="17" xfId="0" applyFont="1" applyFill="1" applyBorder="1" applyAlignment="1">
      <alignment horizontal="justify" vertical="top" wrapText="1"/>
    </xf>
    <xf numFmtId="0" fontId="5" fillId="2" borderId="17" xfId="0" applyFont="1" applyFill="1" applyBorder="1" applyAlignment="1">
      <alignment horizontal="left" vertical="top"/>
    </xf>
    <xf numFmtId="0" fontId="5" fillId="3" borderId="17" xfId="0" applyFont="1" applyFill="1" applyBorder="1" applyAlignment="1">
      <alignment horizontal="left" vertical="top"/>
    </xf>
    <xf numFmtId="0" fontId="5" fillId="0" borderId="0" xfId="0" applyFont="1" applyAlignment="1">
      <alignment horizontal="center" vertical="center" wrapText="1"/>
    </xf>
    <xf numFmtId="0" fontId="21" fillId="0" borderId="0" xfId="0" applyFont="1" applyFill="1" applyAlignment="1">
      <alignment horizontal="center" wrapText="1"/>
    </xf>
    <xf numFmtId="0" fontId="5" fillId="0" borderId="0" xfId="0" applyFont="1" applyFill="1" applyAlignment="1">
      <alignment horizontal="center" wrapText="1"/>
    </xf>
    <xf numFmtId="0" fontId="39" fillId="0" borderId="24" xfId="0" applyFont="1" applyBorder="1" applyAlignment="1">
      <alignment vertical="center"/>
    </xf>
    <xf numFmtId="41" fontId="18" fillId="0" borderId="0" xfId="2" applyFont="1" applyAlignment="1">
      <alignment vertical="center"/>
    </xf>
    <xf numFmtId="41" fontId="14" fillId="0" borderId="11" xfId="2" applyFont="1" applyBorder="1" applyAlignment="1">
      <alignment horizontal="center" vertical="center" wrapText="1"/>
    </xf>
    <xf numFmtId="41" fontId="14" fillId="0" borderId="3" xfId="2" applyFont="1" applyBorder="1" applyAlignment="1">
      <alignment vertical="center"/>
    </xf>
    <xf numFmtId="41" fontId="14" fillId="0" borderId="6" xfId="2" applyFont="1" applyBorder="1" applyAlignment="1">
      <alignment vertical="center"/>
    </xf>
    <xf numFmtId="41" fontId="25" fillId="0" borderId="4" xfId="2" applyFont="1" applyBorder="1" applyAlignment="1">
      <alignment vertical="center"/>
    </xf>
    <xf numFmtId="41" fontId="25" fillId="0" borderId="5" xfId="2" applyFont="1" applyBorder="1" applyAlignment="1">
      <alignment vertical="center"/>
    </xf>
    <xf numFmtId="41" fontId="28" fillId="0" borderId="0" xfId="2" applyFont="1" applyAlignment="1">
      <alignment vertical="center"/>
    </xf>
    <xf numFmtId="41" fontId="25" fillId="0" borderId="0" xfId="2" applyFont="1" applyAlignment="1">
      <alignment vertical="center"/>
    </xf>
    <xf numFmtId="41" fontId="24" fillId="0" borderId="3" xfId="2" applyFont="1" applyBorder="1" applyAlignment="1">
      <alignment vertical="center"/>
    </xf>
    <xf numFmtId="41" fontId="9" fillId="0" borderId="6" xfId="2" applyFont="1" applyBorder="1" applyAlignment="1">
      <alignment vertical="center"/>
    </xf>
    <xf numFmtId="41" fontId="9" fillId="0" borderId="4" xfId="2" applyFont="1" applyBorder="1" applyAlignment="1">
      <alignment vertical="center"/>
    </xf>
    <xf numFmtId="41" fontId="9" fillId="0" borderId="7" xfId="2" applyFont="1" applyBorder="1" applyAlignment="1">
      <alignment vertical="center"/>
    </xf>
    <xf numFmtId="41" fontId="9" fillId="0" borderId="5" xfId="2" applyFont="1" applyBorder="1" applyAlignment="1">
      <alignment vertical="center"/>
    </xf>
    <xf numFmtId="41" fontId="24" fillId="0" borderId="5" xfId="2" applyFont="1" applyBorder="1" applyAlignment="1">
      <alignment vertical="center"/>
    </xf>
    <xf numFmtId="164" fontId="24" fillId="0" borderId="4" xfId="1" applyNumberFormat="1" applyFont="1" applyBorder="1" applyAlignment="1">
      <alignment vertical="center"/>
    </xf>
    <xf numFmtId="164" fontId="25" fillId="0" borderId="4" xfId="1" applyNumberFormat="1" applyFont="1" applyBorder="1" applyAlignment="1">
      <alignment vertical="center"/>
    </xf>
    <xf numFmtId="164" fontId="25" fillId="0" borderId="5" xfId="1" applyNumberFormat="1" applyFont="1" applyBorder="1" applyAlignment="1">
      <alignment vertical="center"/>
    </xf>
    <xf numFmtId="164" fontId="24" fillId="0" borderId="4" xfId="0" applyNumberFormat="1" applyFont="1" applyBorder="1" applyAlignment="1">
      <alignment vertical="center"/>
    </xf>
    <xf numFmtId="0" fontId="21" fillId="4" borderId="0" xfId="0" applyFont="1" applyFill="1" applyAlignment="1"/>
    <xf numFmtId="0" fontId="22" fillId="4" borderId="0" xfId="0" applyFont="1" applyFill="1" applyAlignment="1"/>
    <xf numFmtId="164" fontId="22" fillId="0" borderId="55" xfId="1" applyNumberFormat="1" applyFont="1" applyFill="1" applyBorder="1" applyAlignment="1">
      <alignment horizontal="center" vertical="top" wrapText="1"/>
    </xf>
    <xf numFmtId="0" fontId="40" fillId="0" borderId="0" xfId="0" applyFont="1" applyFill="1"/>
    <xf numFmtId="0" fontId="30" fillId="0" borderId="0" xfId="0" applyFont="1" applyBorder="1" applyAlignment="1">
      <alignment horizontal="right" vertical="center" wrapText="1"/>
    </xf>
    <xf numFmtId="49" fontId="22" fillId="0" borderId="55" xfId="1" quotePrefix="1" applyNumberFormat="1" applyFont="1" applyFill="1" applyBorder="1" applyAlignment="1">
      <alignment vertical="center" wrapText="1"/>
    </xf>
    <xf numFmtId="49" fontId="22" fillId="0" borderId="55" xfId="1" quotePrefix="1" applyNumberFormat="1" applyFont="1" applyFill="1" applyBorder="1" applyAlignment="1">
      <alignment horizontal="center" vertical="center" wrapText="1"/>
    </xf>
    <xf numFmtId="49" fontId="22" fillId="0" borderId="55" xfId="1" applyNumberFormat="1" applyFont="1" applyFill="1" applyBorder="1" applyAlignment="1">
      <alignment horizontal="center" vertical="center" wrapText="1"/>
    </xf>
    <xf numFmtId="49" fontId="22" fillId="0" borderId="60" xfId="1" applyNumberFormat="1" applyFont="1" applyFill="1" applyBorder="1" applyAlignment="1">
      <alignment horizontal="center" vertical="center" wrapText="1"/>
    </xf>
    <xf numFmtId="164" fontId="41" fillId="0" borderId="3" xfId="1" applyNumberFormat="1" applyFont="1" applyBorder="1" applyAlignment="1">
      <alignment horizontal="left" vertical="center" wrapText="1"/>
    </xf>
    <xf numFmtId="164" fontId="41" fillId="0" borderId="4" xfId="1" applyNumberFormat="1" applyFont="1" applyBorder="1" applyAlignment="1">
      <alignment horizontal="left" vertical="center" wrapText="1"/>
    </xf>
    <xf numFmtId="0" fontId="5" fillId="3" borderId="17" xfId="0" applyFont="1" applyFill="1" applyBorder="1" applyAlignment="1">
      <alignment horizontal="left" vertical="top" wrapText="1"/>
    </xf>
    <xf numFmtId="0" fontId="5" fillId="0" borderId="17" xfId="0" applyFont="1" applyBorder="1" applyAlignment="1">
      <alignment horizontal="left" vertical="top" wrapText="1"/>
    </xf>
    <xf numFmtId="0" fontId="25" fillId="0" borderId="23" xfId="0" applyFont="1" applyBorder="1" applyAlignment="1">
      <alignment vertical="center" wrapText="1"/>
    </xf>
    <xf numFmtId="41" fontId="24" fillId="0" borderId="24" xfId="2" applyFont="1" applyBorder="1" applyAlignment="1">
      <alignment vertical="center"/>
    </xf>
    <xf numFmtId="164" fontId="22" fillId="0" borderId="55" xfId="1" applyNumberFormat="1" applyFont="1" applyFill="1" applyBorder="1" applyAlignment="1">
      <alignment vertical="center" wrapText="1"/>
    </xf>
    <xf numFmtId="164" fontId="22" fillId="0" borderId="55" xfId="1" applyNumberFormat="1" applyFont="1" applyFill="1" applyBorder="1" applyAlignment="1">
      <alignment horizontal="center" vertical="center" wrapText="1"/>
    </xf>
    <xf numFmtId="0" fontId="5" fillId="0" borderId="55" xfId="0" applyFont="1" applyFill="1" applyBorder="1" applyAlignment="1">
      <alignment horizontal="center" vertical="top" wrapText="1"/>
    </xf>
    <xf numFmtId="0" fontId="5" fillId="0" borderId="55" xfId="0" applyFont="1" applyFill="1" applyBorder="1" applyAlignment="1">
      <alignment horizontal="center" vertical="center" wrapText="1"/>
    </xf>
    <xf numFmtId="0" fontId="5" fillId="0" borderId="55" xfId="0" applyFont="1" applyBorder="1" applyAlignment="1">
      <alignment horizontal="center" vertical="center" wrapText="1"/>
    </xf>
    <xf numFmtId="0" fontId="22" fillId="0" borderId="32" xfId="0" applyNumberFormat="1" applyFont="1" applyBorder="1" applyAlignment="1">
      <alignment horizontal="center" vertical="center" wrapText="1"/>
    </xf>
    <xf numFmtId="0" fontId="5" fillId="0" borderId="27" xfId="0" applyFont="1" applyBorder="1" applyAlignment="1">
      <alignment horizontal="center" vertical="center" wrapText="1"/>
    </xf>
    <xf numFmtId="0" fontId="6" fillId="0" borderId="55" xfId="0" applyFont="1" applyBorder="1" applyAlignment="1">
      <alignment horizontal="center" vertical="center"/>
    </xf>
    <xf numFmtId="0" fontId="6" fillId="0" borderId="55" xfId="0" applyFont="1" applyBorder="1" applyAlignment="1">
      <alignment horizontal="left" vertical="center"/>
    </xf>
    <xf numFmtId="0" fontId="5" fillId="0" borderId="55" xfId="0" applyFont="1" applyBorder="1" applyAlignment="1">
      <alignment horizontal="center" vertical="center"/>
    </xf>
    <xf numFmtId="0" fontId="21" fillId="0" borderId="55" xfId="0" applyFont="1" applyBorder="1" applyAlignment="1">
      <alignment horizontal="justify" vertical="center" wrapText="1"/>
    </xf>
    <xf numFmtId="0" fontId="21" fillId="0" borderId="55" xfId="0" applyFont="1" applyBorder="1" applyAlignment="1">
      <alignment horizontal="center" vertical="center" wrapText="1"/>
    </xf>
    <xf numFmtId="0" fontId="8" fillId="0" borderId="55" xfId="0" applyFont="1" applyBorder="1" applyAlignment="1">
      <alignment horizontal="justify" vertical="top" wrapText="1"/>
    </xf>
    <xf numFmtId="0" fontId="7" fillId="0" borderId="55" xfId="0" applyFont="1" applyBorder="1" applyAlignment="1">
      <alignment horizontal="center" vertical="top" wrapText="1"/>
    </xf>
    <xf numFmtId="0" fontId="5" fillId="0" borderId="55" xfId="0" applyFont="1" applyFill="1" applyBorder="1" applyAlignment="1">
      <alignment horizontal="justify" vertical="top" wrapText="1"/>
    </xf>
    <xf numFmtId="0" fontId="6" fillId="0" borderId="55" xfId="0" applyFont="1" applyFill="1" applyBorder="1" applyAlignment="1">
      <alignment horizontal="right" vertical="top" wrapText="1"/>
    </xf>
    <xf numFmtId="0" fontId="6" fillId="0" borderId="55" xfId="0" applyFont="1" applyFill="1" applyBorder="1" applyAlignment="1">
      <alignment horizontal="justify" vertical="top" wrapText="1"/>
    </xf>
    <xf numFmtId="0" fontId="6" fillId="0" borderId="55" xfId="0" applyFont="1" applyFill="1" applyBorder="1" applyAlignment="1">
      <alignment horizontal="center" vertical="center" wrapText="1"/>
    </xf>
    <xf numFmtId="0" fontId="6" fillId="0" borderId="55" xfId="0" applyFont="1" applyFill="1" applyBorder="1" applyAlignment="1">
      <alignment horizontal="center" vertical="top" wrapText="1"/>
    </xf>
    <xf numFmtId="0" fontId="5" fillId="0" borderId="55" xfId="0" applyFont="1" applyFill="1" applyBorder="1" applyAlignment="1">
      <alignment horizontal="justify" vertical="center" wrapText="1"/>
    </xf>
    <xf numFmtId="0" fontId="12" fillId="0" borderId="55" xfId="0" applyFont="1" applyBorder="1" applyAlignment="1">
      <alignment horizontal="justify"/>
    </xf>
    <xf numFmtId="0" fontId="8" fillId="0" borderId="55" xfId="0" applyFont="1" applyBorder="1" applyAlignment="1">
      <alignment horizontal="center" vertical="top" wrapText="1"/>
    </xf>
    <xf numFmtId="164" fontId="22" fillId="0" borderId="55" xfId="1" applyNumberFormat="1" applyFont="1" applyBorder="1" applyAlignment="1">
      <alignment horizontal="center" vertical="center" wrapText="1"/>
    </xf>
    <xf numFmtId="164" fontId="7" fillId="0" borderId="55" xfId="3" applyNumberFormat="1" applyFont="1" applyBorder="1" applyAlignment="1">
      <alignment horizontal="left" vertical="center" wrapText="1"/>
    </xf>
    <xf numFmtId="164" fontId="21" fillId="0" borderId="55" xfId="1" applyNumberFormat="1" applyFont="1" applyBorder="1" applyAlignment="1">
      <alignment horizontal="left" vertical="center" wrapText="1"/>
    </xf>
    <xf numFmtId="0" fontId="21" fillId="0" borderId="55" xfId="0" applyFont="1" applyBorder="1" applyAlignment="1">
      <alignment vertical="center" wrapText="1"/>
    </xf>
    <xf numFmtId="164" fontId="22" fillId="0" borderId="55" xfId="1" applyNumberFormat="1" applyFont="1" applyBorder="1" applyAlignment="1">
      <alignment horizontal="left" vertical="center" wrapText="1"/>
    </xf>
    <xf numFmtId="164" fontId="21" fillId="0" borderId="55" xfId="1" applyNumberFormat="1" applyFont="1" applyBorder="1" applyAlignment="1">
      <alignment horizontal="center" vertical="center" wrapText="1"/>
    </xf>
    <xf numFmtId="0" fontId="8" fillId="0" borderId="55" xfId="0" applyFont="1" applyBorder="1" applyAlignment="1">
      <alignment vertical="top"/>
    </xf>
    <xf numFmtId="0" fontId="7" fillId="0" borderId="55" xfId="0" applyFont="1" applyBorder="1" applyAlignment="1">
      <alignment horizontal="justify" vertical="top" wrapText="1"/>
    </xf>
    <xf numFmtId="0" fontId="7" fillId="0" borderId="55" xfId="0" applyFont="1" applyBorder="1" applyAlignment="1">
      <alignment vertical="top"/>
    </xf>
    <xf numFmtId="0" fontId="7" fillId="0" borderId="55" xfId="0" applyFont="1" applyBorder="1" applyAlignment="1">
      <alignment vertical="top" wrapText="1"/>
    </xf>
    <xf numFmtId="0" fontId="6" fillId="0" borderId="55" xfId="0" applyFont="1" applyBorder="1" applyAlignment="1">
      <alignment horizontal="center" vertical="top"/>
    </xf>
    <xf numFmtId="0" fontId="26" fillId="0" borderId="0" xfId="0" applyFont="1" applyAlignment="1"/>
    <xf numFmtId="0" fontId="25" fillId="0" borderId="5" xfId="0" applyFont="1" applyBorder="1" applyAlignment="1">
      <alignment horizontal="left" vertical="center" wrapText="1"/>
    </xf>
    <xf numFmtId="41" fontId="0" fillId="0" borderId="0" xfId="2" applyFont="1" applyAlignment="1">
      <alignment vertical="center"/>
    </xf>
    <xf numFmtId="0" fontId="22" fillId="0" borderId="0" xfId="0" applyFont="1" applyAlignment="1">
      <alignment horizontal="center" vertical="center" wrapText="1"/>
    </xf>
    <xf numFmtId="3" fontId="25" fillId="0" borderId="5" xfId="0" applyNumberFormat="1" applyFont="1" applyBorder="1" applyAlignment="1">
      <alignment horizontal="center" vertical="center"/>
    </xf>
    <xf numFmtId="1" fontId="21" fillId="0" borderId="61" xfId="0" applyNumberFormat="1" applyFont="1" applyFill="1" applyBorder="1" applyAlignment="1">
      <alignment vertical="top" wrapText="1"/>
    </xf>
    <xf numFmtId="0" fontId="14" fillId="0" borderId="41" xfId="0" quotePrefix="1" applyFont="1" applyBorder="1" applyAlignment="1">
      <alignment horizontal="center" vertical="center"/>
    </xf>
    <xf numFmtId="0" fontId="30" fillId="0" borderId="36" xfId="0" applyFont="1" applyBorder="1" applyAlignment="1">
      <alignment horizontal="center" vertical="center"/>
    </xf>
    <xf numFmtId="0" fontId="22" fillId="0" borderId="0" xfId="0" applyFont="1" applyFill="1" applyAlignment="1">
      <alignment horizontal="center" wrapText="1"/>
    </xf>
    <xf numFmtId="0" fontId="22" fillId="0" borderId="0" xfId="0" applyFont="1" applyFill="1" applyAlignment="1">
      <alignment horizontal="center"/>
    </xf>
    <xf numFmtId="164" fontId="22" fillId="0" borderId="61" xfId="1" applyNumberFormat="1" applyFont="1" applyFill="1" applyBorder="1" applyAlignment="1">
      <alignment vertical="center" wrapText="1"/>
    </xf>
    <xf numFmtId="164" fontId="22" fillId="0" borderId="61" xfId="1" applyNumberFormat="1" applyFont="1" applyFill="1" applyBorder="1" applyAlignment="1">
      <alignment horizontal="center" vertical="center" wrapText="1"/>
    </xf>
    <xf numFmtId="0" fontId="22" fillId="0" borderId="61" xfId="0" applyFont="1" applyFill="1" applyBorder="1" applyAlignment="1">
      <alignment vertical="top" wrapText="1"/>
    </xf>
    <xf numFmtId="0" fontId="22" fillId="0" borderId="61" xfId="0" applyFont="1" applyFill="1" applyBorder="1" applyAlignment="1">
      <alignment horizontal="left" vertical="top" wrapText="1"/>
    </xf>
    <xf numFmtId="0" fontId="22" fillId="0" borderId="61" xfId="0" applyFont="1" applyFill="1" applyBorder="1" applyAlignment="1">
      <alignment horizontal="center" vertical="center" wrapText="1"/>
    </xf>
    <xf numFmtId="0" fontId="22" fillId="0" borderId="61" xfId="0" applyFont="1" applyFill="1" applyBorder="1" applyAlignment="1">
      <alignment horizontal="center" vertical="top" wrapText="1"/>
    </xf>
    <xf numFmtId="0" fontId="22" fillId="0" borderId="61" xfId="0" applyFont="1" applyFill="1" applyBorder="1" applyAlignment="1">
      <alignment vertical="top"/>
    </xf>
    <xf numFmtId="0" fontId="21" fillId="0" borderId="61" xfId="0" applyFont="1" applyFill="1" applyBorder="1" applyAlignment="1">
      <alignment horizontal="center" vertical="center" wrapText="1"/>
    </xf>
    <xf numFmtId="0" fontId="2" fillId="0" borderId="61" xfId="0" applyFont="1" applyFill="1" applyBorder="1" applyAlignment="1">
      <alignment vertical="top"/>
    </xf>
    <xf numFmtId="0" fontId="21" fillId="0" borderId="61" xfId="0" applyFont="1" applyFill="1" applyBorder="1" applyAlignment="1">
      <alignment horizontal="center" vertical="center"/>
    </xf>
    <xf numFmtId="0" fontId="21" fillId="0" borderId="61" xfId="0" applyFont="1" applyFill="1" applyBorder="1" applyAlignment="1">
      <alignment horizontal="center" vertical="top" wrapText="1"/>
    </xf>
    <xf numFmtId="0" fontId="21" fillId="0" borderId="61" xfId="0" applyFont="1" applyFill="1" applyBorder="1" applyAlignment="1">
      <alignment vertical="top"/>
    </xf>
    <xf numFmtId="0" fontId="5" fillId="0" borderId="61" xfId="0" applyFont="1" applyFill="1" applyBorder="1" applyAlignment="1">
      <alignment vertical="top"/>
    </xf>
    <xf numFmtId="0" fontId="5" fillId="0" borderId="61" xfId="0" applyFont="1" applyFill="1" applyBorder="1" applyAlignment="1">
      <alignment horizontal="center" vertical="top"/>
    </xf>
    <xf numFmtId="0" fontId="5" fillId="0" borderId="61" xfId="0" applyFont="1" applyBorder="1" applyAlignment="1">
      <alignment horizontal="center" vertical="top"/>
    </xf>
    <xf numFmtId="1" fontId="22" fillId="0" borderId="61" xfId="0" applyNumberFormat="1" applyFont="1" applyFill="1" applyBorder="1" applyAlignment="1">
      <alignment vertical="top" wrapText="1"/>
    </xf>
    <xf numFmtId="0" fontId="32" fillId="0" borderId="61" xfId="0" applyFont="1" applyFill="1" applyBorder="1" applyAlignment="1">
      <alignment horizontal="center" vertical="center" wrapText="1"/>
    </xf>
    <xf numFmtId="0" fontId="21" fillId="0" borderId="61" xfId="0" applyFont="1" applyFill="1" applyBorder="1" applyAlignment="1">
      <alignment horizontal="left" vertical="top" wrapText="1"/>
    </xf>
    <xf numFmtId="0" fontId="34" fillId="0" borderId="61" xfId="0" applyFont="1" applyBorder="1" applyAlignment="1">
      <alignment horizontal="center" vertical="center" wrapText="1"/>
    </xf>
    <xf numFmtId="0" fontId="22" fillId="5" borderId="61" xfId="0" applyFont="1" applyFill="1" applyBorder="1" applyAlignment="1">
      <alignment horizontal="center" vertical="center" wrapText="1"/>
    </xf>
    <xf numFmtId="0" fontId="21" fillId="5" borderId="61" xfId="0" applyFont="1" applyFill="1" applyBorder="1" applyAlignment="1">
      <alignment horizontal="center" vertical="top" wrapText="1"/>
    </xf>
    <xf numFmtId="0" fontId="22" fillId="0" borderId="61" xfId="0" applyFont="1" applyBorder="1" applyAlignment="1">
      <alignment vertical="center"/>
    </xf>
    <xf numFmtId="166" fontId="22" fillId="5" borderId="61" xfId="0" applyNumberFormat="1" applyFont="1" applyFill="1" applyBorder="1" applyAlignment="1">
      <alignment horizontal="center" vertical="top" wrapText="1"/>
    </xf>
    <xf numFmtId="0" fontId="22" fillId="5" borderId="61" xfId="0" applyFont="1" applyFill="1" applyBorder="1" applyAlignment="1">
      <alignment horizontal="center" vertical="top" wrapText="1"/>
    </xf>
    <xf numFmtId="0" fontId="21" fillId="5" borderId="61" xfId="0" applyFont="1" applyFill="1" applyBorder="1" applyAlignment="1">
      <alignment vertical="top"/>
    </xf>
    <xf numFmtId="164" fontId="36" fillId="0" borderId="61" xfId="0" applyNumberFormat="1" applyFont="1" applyBorder="1" applyAlignment="1">
      <alignment vertical="center" wrapText="1"/>
    </xf>
    <xf numFmtId="0" fontId="36" fillId="0" borderId="61" xfId="0" applyFont="1" applyBorder="1" applyAlignment="1">
      <alignment vertical="top" wrapText="1"/>
    </xf>
    <xf numFmtId="0" fontId="36" fillId="0" borderId="61" xfId="0" applyFont="1" applyBorder="1" applyAlignment="1">
      <alignment horizontal="left" vertical="top" wrapText="1"/>
    </xf>
    <xf numFmtId="0" fontId="5" fillId="0" borderId="61" xfId="0" applyFont="1" applyFill="1" applyBorder="1" applyAlignment="1">
      <alignment horizontal="center" vertical="center"/>
    </xf>
    <xf numFmtId="0" fontId="5" fillId="0" borderId="61" xfId="0" applyFont="1" applyFill="1" applyBorder="1" applyAlignment="1">
      <alignment horizontal="center" vertical="top" wrapText="1"/>
    </xf>
    <xf numFmtId="0" fontId="5" fillId="0" borderId="61" xfId="0" applyFont="1" applyFill="1" applyBorder="1" applyAlignment="1">
      <alignment horizontal="center" vertical="center" wrapText="1"/>
    </xf>
    <xf numFmtId="166" fontId="5" fillId="0" borderId="61" xfId="0" applyNumberFormat="1" applyFont="1" applyBorder="1" applyAlignment="1">
      <alignment vertical="top" wrapText="1"/>
    </xf>
    <xf numFmtId="0" fontId="5" fillId="0" borderId="61" xfId="0" applyFont="1" applyBorder="1" applyAlignment="1">
      <alignment horizontal="center" vertical="center" wrapText="1"/>
    </xf>
    <xf numFmtId="166" fontId="5" fillId="0" borderId="61" xfId="0" applyNumberFormat="1" applyFont="1" applyBorder="1" applyAlignment="1">
      <alignment horizontal="left" vertical="top" wrapText="1"/>
    </xf>
    <xf numFmtId="1" fontId="5" fillId="0" borderId="61" xfId="0" applyNumberFormat="1" applyFont="1" applyBorder="1" applyAlignment="1">
      <alignment vertical="top" wrapText="1"/>
    </xf>
    <xf numFmtId="0" fontId="34" fillId="0" borderId="61" xfId="0" applyFont="1" applyBorder="1" applyAlignment="1">
      <alignment horizontal="center" vertical="top" wrapText="1"/>
    </xf>
    <xf numFmtId="0" fontId="36" fillId="0" borderId="61" xfId="0" applyFont="1" applyBorder="1" applyAlignment="1">
      <alignment horizontal="center" vertical="center" wrapText="1"/>
    </xf>
    <xf numFmtId="0" fontId="5" fillId="0" borderId="61" xfId="0" applyFont="1" applyBorder="1" applyAlignment="1">
      <alignment horizontal="left" vertical="top" wrapText="1"/>
    </xf>
    <xf numFmtId="166" fontId="5" fillId="0" borderId="61" xfId="0" applyNumberFormat="1" applyFont="1" applyBorder="1" applyAlignment="1">
      <alignment horizontal="center" vertical="top" wrapText="1"/>
    </xf>
    <xf numFmtId="0" fontId="6" fillId="0" borderId="61" xfId="0" applyFont="1" applyBorder="1" applyAlignment="1">
      <alignment horizontal="center" vertical="center" wrapText="1"/>
    </xf>
    <xf numFmtId="1" fontId="32" fillId="5" borderId="61" xfId="0" applyNumberFormat="1" applyFont="1" applyFill="1" applyBorder="1" applyAlignment="1">
      <alignment vertical="top" wrapText="1"/>
    </xf>
    <xf numFmtId="166" fontId="6" fillId="5" borderId="61" xfId="0" applyNumberFormat="1" applyFont="1" applyFill="1" applyBorder="1" applyAlignment="1">
      <alignment horizontal="center" vertical="top" wrapText="1"/>
    </xf>
    <xf numFmtId="0" fontId="6" fillId="5" borderId="61" xfId="0" applyFont="1" applyFill="1" applyBorder="1" applyAlignment="1">
      <alignment horizontal="center" vertical="center" wrapText="1"/>
    </xf>
    <xf numFmtId="1" fontId="32" fillId="0" borderId="61" xfId="0" applyNumberFormat="1" applyFont="1" applyBorder="1" applyAlignment="1">
      <alignment vertical="top" wrapText="1"/>
    </xf>
    <xf numFmtId="166" fontId="32" fillId="0" borderId="61" xfId="0" applyNumberFormat="1" applyFont="1" applyBorder="1" applyAlignment="1">
      <alignment vertical="top" wrapText="1"/>
    </xf>
    <xf numFmtId="0" fontId="32" fillId="0" borderId="61" xfId="0" applyFont="1" applyBorder="1" applyAlignment="1">
      <alignment horizontal="center" vertical="center" wrapText="1"/>
    </xf>
    <xf numFmtId="0" fontId="32" fillId="0" borderId="61" xfId="0" applyFont="1" applyBorder="1" applyAlignment="1">
      <alignment horizontal="center" vertical="top" wrapText="1"/>
    </xf>
    <xf numFmtId="164" fontId="22" fillId="0" borderId="61" xfId="3" applyNumberFormat="1" applyFont="1" applyFill="1" applyBorder="1" applyAlignment="1">
      <alignment vertical="center" wrapText="1"/>
    </xf>
    <xf numFmtId="164" fontId="8" fillId="0" borderId="61" xfId="3" applyNumberFormat="1" applyFont="1" applyFill="1" applyBorder="1" applyAlignment="1">
      <alignment horizontal="center" vertical="center" wrapText="1"/>
    </xf>
    <xf numFmtId="164" fontId="8" fillId="0" borderId="61" xfId="3" applyNumberFormat="1" applyFont="1" applyFill="1" applyBorder="1" applyAlignment="1">
      <alignment vertical="center" wrapText="1"/>
    </xf>
    <xf numFmtId="0" fontId="8" fillId="0" borderId="61" xfId="0" applyFont="1" applyFill="1" applyBorder="1" applyAlignment="1">
      <alignment vertical="top" wrapText="1"/>
    </xf>
    <xf numFmtId="0" fontId="8" fillId="0" borderId="61" xfId="0" applyFont="1" applyFill="1" applyBorder="1" applyAlignment="1">
      <alignment horizontal="left" vertical="top" wrapText="1"/>
    </xf>
    <xf numFmtId="0" fontId="8" fillId="0" borderId="61" xfId="0" applyFont="1" applyFill="1" applyBorder="1" applyAlignment="1">
      <alignment horizontal="center" vertical="center" wrapText="1"/>
    </xf>
    <xf numFmtId="0" fontId="7" fillId="0" borderId="61" xfId="0" applyFont="1" applyFill="1" applyBorder="1" applyAlignment="1">
      <alignment horizontal="right" vertical="center"/>
    </xf>
    <xf numFmtId="0" fontId="7" fillId="0" borderId="61" xfId="0" applyFont="1" applyFill="1" applyBorder="1" applyAlignment="1">
      <alignment vertical="center" wrapText="1"/>
    </xf>
    <xf numFmtId="0" fontId="7" fillId="0" borderId="61" xfId="0" applyFont="1" applyFill="1" applyBorder="1" applyAlignment="1">
      <alignment horizontal="right" vertical="center" wrapText="1"/>
    </xf>
    <xf numFmtId="0" fontId="7" fillId="0" borderId="61" xfId="0" applyFont="1" applyFill="1" applyBorder="1" applyAlignment="1">
      <alignment horizontal="center" vertical="center" wrapText="1"/>
    </xf>
    <xf numFmtId="0" fontId="7" fillId="0" borderId="61" xfId="0" applyFont="1" applyFill="1" applyBorder="1" applyAlignment="1">
      <alignment horizontal="center" vertical="top" wrapText="1"/>
    </xf>
    <xf numFmtId="0" fontId="7" fillId="0" borderId="61" xfId="0" applyFont="1" applyFill="1" applyBorder="1" applyAlignment="1">
      <alignment vertical="top"/>
    </xf>
    <xf numFmtId="0" fontId="8" fillId="0" borderId="61" xfId="0" applyFont="1" applyFill="1" applyBorder="1" applyAlignment="1">
      <alignment horizontal="center" vertical="top" wrapText="1"/>
    </xf>
    <xf numFmtId="0" fontId="7" fillId="0" borderId="61" xfId="0" applyFont="1" applyFill="1" applyBorder="1" applyAlignment="1">
      <alignment horizontal="center" vertical="center"/>
    </xf>
    <xf numFmtId="0" fontId="2" fillId="0" borderId="61" xfId="0" applyFont="1" applyFill="1" applyBorder="1" applyAlignment="1">
      <alignment horizontal="center" vertical="top"/>
    </xf>
    <xf numFmtId="0" fontId="6" fillId="5" borderId="61" xfId="0" applyFont="1" applyFill="1" applyBorder="1" applyAlignment="1">
      <alignment horizontal="center" vertical="top" wrapText="1"/>
    </xf>
    <xf numFmtId="0" fontId="21" fillId="0" borderId="61" xfId="0" applyFont="1" applyFill="1" applyBorder="1" applyAlignment="1">
      <alignment horizontal="justify" vertical="center" wrapText="1"/>
    </xf>
    <xf numFmtId="0" fontId="21" fillId="0" borderId="61" xfId="0" applyFont="1" applyFill="1" applyBorder="1" applyAlignment="1">
      <alignment horizontal="center"/>
    </xf>
    <xf numFmtId="0" fontId="21" fillId="0" borderId="61" xfId="0" applyFont="1" applyFill="1" applyBorder="1" applyAlignment="1">
      <alignment wrapText="1"/>
    </xf>
    <xf numFmtId="0" fontId="22" fillId="0" borderId="61" xfId="0" applyFont="1" applyFill="1" applyBorder="1" applyAlignment="1">
      <alignment wrapText="1"/>
    </xf>
    <xf numFmtId="0" fontId="7" fillId="0" borderId="61" xfId="0" applyFont="1" applyFill="1" applyBorder="1" applyAlignment="1">
      <alignment wrapText="1"/>
    </xf>
    <xf numFmtId="165" fontId="21" fillId="0" borderId="61" xfId="0" applyNumberFormat="1" applyFont="1" applyFill="1" applyBorder="1" applyAlignment="1">
      <alignment wrapText="1"/>
    </xf>
    <xf numFmtId="0" fontId="21" fillId="0" borderId="61" xfId="0" quotePrefix="1" applyFont="1" applyFill="1" applyBorder="1" applyAlignment="1"/>
    <xf numFmtId="0" fontId="21" fillId="0" borderId="61" xfId="0" quotePrefix="1" applyFont="1" applyFill="1" applyBorder="1" applyAlignment="1">
      <alignment horizontal="left"/>
    </xf>
    <xf numFmtId="166" fontId="22" fillId="0" borderId="61" xfId="0" applyNumberFormat="1" applyFont="1" applyFill="1" applyBorder="1" applyAlignment="1">
      <alignment horizontal="center" vertical="center" wrapText="1"/>
    </xf>
    <xf numFmtId="0" fontId="22" fillId="0" borderId="61" xfId="0" applyFont="1" applyFill="1" applyBorder="1" applyAlignment="1">
      <alignment horizontal="justify" vertical="center" wrapText="1"/>
    </xf>
    <xf numFmtId="0" fontId="22" fillId="5" borderId="61" xfId="0" applyFont="1" applyFill="1" applyBorder="1" applyAlignment="1">
      <alignment horizontal="justify" vertical="center" wrapText="1"/>
    </xf>
    <xf numFmtId="166" fontId="22" fillId="5" borderId="61" xfId="0" applyNumberFormat="1" applyFont="1" applyFill="1" applyBorder="1" applyAlignment="1">
      <alignment horizontal="justify" vertical="center" wrapText="1"/>
    </xf>
    <xf numFmtId="164" fontId="21" fillId="0" borderId="55" xfId="1" applyNumberFormat="1" applyFont="1" applyFill="1" applyBorder="1" applyAlignment="1">
      <alignment horizontal="center" vertical="center" wrapText="1"/>
    </xf>
    <xf numFmtId="164" fontId="21" fillId="0" borderId="61" xfId="1" applyNumberFormat="1" applyFont="1" applyFill="1" applyBorder="1" applyAlignment="1">
      <alignment horizontal="center" vertical="center" wrapText="1"/>
    </xf>
    <xf numFmtId="0" fontId="21" fillId="5" borderId="61" xfId="0" applyFont="1" applyFill="1" applyBorder="1" applyAlignment="1">
      <alignment horizontal="center" vertical="center" wrapText="1"/>
    </xf>
    <xf numFmtId="0" fontId="5" fillId="5" borderId="61" xfId="0" applyFont="1" applyFill="1" applyBorder="1" applyAlignment="1">
      <alignment horizontal="center" vertical="center" wrapText="1"/>
    </xf>
    <xf numFmtId="164" fontId="7" fillId="0" borderId="61" xfId="3" applyNumberFormat="1" applyFont="1" applyFill="1" applyBorder="1" applyAlignment="1">
      <alignment horizontal="center" vertical="center" wrapText="1"/>
    </xf>
    <xf numFmtId="0" fontId="40" fillId="0" borderId="0" xfId="0" applyFont="1" applyFill="1" applyAlignment="1">
      <alignment horizontal="center" wrapText="1"/>
    </xf>
    <xf numFmtId="0" fontId="22" fillId="0" borderId="0" xfId="0" applyFont="1" applyFill="1" applyAlignment="1">
      <alignment horizontal="right" wrapText="1"/>
    </xf>
    <xf numFmtId="49" fontId="40" fillId="0" borderId="0" xfId="0" applyNumberFormat="1" applyFont="1" applyFill="1" applyAlignment="1">
      <alignment horizontal="center"/>
    </xf>
    <xf numFmtId="0" fontId="40" fillId="0" borderId="61" xfId="0" applyFont="1" applyFill="1" applyBorder="1" applyAlignment="1">
      <alignment horizontal="center" vertical="top"/>
    </xf>
    <xf numFmtId="164" fontId="43" fillId="0" borderId="61" xfId="3" applyNumberFormat="1" applyFont="1" applyFill="1" applyBorder="1" applyAlignment="1">
      <alignment vertical="center" wrapText="1"/>
    </xf>
    <xf numFmtId="0" fontId="40" fillId="0" borderId="0" xfId="0" applyFont="1" applyFill="1" applyAlignment="1">
      <alignment vertical="top"/>
    </xf>
    <xf numFmtId="0" fontId="40" fillId="0" borderId="61" xfId="0" applyFont="1" applyFill="1" applyBorder="1"/>
    <xf numFmtId="0" fontId="40" fillId="0" borderId="61" xfId="0" applyFont="1" applyFill="1" applyBorder="1" applyAlignment="1">
      <alignment horizontal="center" wrapText="1"/>
    </xf>
    <xf numFmtId="0" fontId="40" fillId="0" borderId="0" xfId="0" applyFont="1" applyFill="1" applyAlignment="1">
      <alignment horizontal="center"/>
    </xf>
    <xf numFmtId="0" fontId="40" fillId="0" borderId="0" xfId="0" applyFont="1" applyFill="1" applyAlignment="1">
      <alignment wrapText="1"/>
    </xf>
    <xf numFmtId="0" fontId="42" fillId="0" borderId="0" xfId="0" applyFont="1" applyBorder="1" applyAlignment="1">
      <alignment vertical="center"/>
    </xf>
    <xf numFmtId="0" fontId="5" fillId="0" borderId="75" xfId="0" applyFont="1" applyBorder="1" applyAlignment="1">
      <alignment vertical="top" wrapText="1"/>
    </xf>
    <xf numFmtId="0" fontId="5" fillId="0" borderId="75" xfId="0" applyFont="1" applyBorder="1" applyAlignment="1">
      <alignment horizontal="center" vertical="center" wrapText="1"/>
    </xf>
    <xf numFmtId="0" fontId="35" fillId="0" borderId="0" xfId="0" applyFont="1" applyBorder="1" applyAlignment="1">
      <alignment vertical="center"/>
    </xf>
    <xf numFmtId="0" fontId="5" fillId="0" borderId="0" xfId="0" applyFont="1" applyBorder="1" applyAlignment="1">
      <alignment horizontal="center" vertical="center"/>
    </xf>
    <xf numFmtId="0" fontId="24" fillId="0" borderId="75" xfId="0" applyFont="1" applyBorder="1" applyAlignment="1">
      <alignment horizontal="center" vertical="center"/>
    </xf>
    <xf numFmtId="0" fontId="24" fillId="0" borderId="75" xfId="0" applyFont="1" applyBorder="1" applyAlignment="1">
      <alignment horizontal="center" vertical="center" wrapText="1"/>
    </xf>
    <xf numFmtId="0" fontId="25" fillId="0" borderId="4" xfId="0" quotePrefix="1" applyFont="1" applyBorder="1" applyAlignment="1">
      <alignment horizontal="center" vertical="center"/>
    </xf>
    <xf numFmtId="0" fontId="25" fillId="0" borderId="7" xfId="0" quotePrefix="1" applyFont="1" applyBorder="1" applyAlignment="1">
      <alignment horizontal="center" vertical="center"/>
    </xf>
    <xf numFmtId="0" fontId="24" fillId="0" borderId="7" xfId="0" applyFont="1" applyBorder="1" applyAlignment="1">
      <alignment vertical="center"/>
    </xf>
    <xf numFmtId="164" fontId="24" fillId="0" borderId="7" xfId="0" applyNumberFormat="1" applyFont="1" applyBorder="1" applyAlignment="1">
      <alignment vertical="center"/>
    </xf>
    <xf numFmtId="0" fontId="25" fillId="0" borderId="7" xfId="0" applyFont="1" applyBorder="1" applyAlignment="1">
      <alignment vertical="center"/>
    </xf>
    <xf numFmtId="0" fontId="24" fillId="0" borderId="9" xfId="0" applyFont="1" applyBorder="1" applyAlignment="1">
      <alignment horizontal="left" vertical="center" wrapText="1"/>
    </xf>
    <xf numFmtId="41" fontId="24" fillId="0" borderId="75" xfId="2" applyFont="1" applyBorder="1" applyAlignment="1">
      <alignment horizontal="center" vertical="center" wrapText="1"/>
    </xf>
    <xf numFmtId="0" fontId="25" fillId="0" borderId="5" xfId="0" quotePrefix="1" applyFont="1" applyBorder="1" applyAlignment="1">
      <alignment horizontal="center" vertical="center"/>
    </xf>
    <xf numFmtId="0" fontId="25" fillId="0" borderId="65" xfId="0" applyFont="1" applyBorder="1" applyAlignment="1">
      <alignment vertical="center" wrapText="1"/>
    </xf>
    <xf numFmtId="0" fontId="11" fillId="0" borderId="61" xfId="0" applyFont="1" applyBorder="1" applyAlignment="1">
      <alignment vertical="center"/>
    </xf>
    <xf numFmtId="0" fontId="25" fillId="0" borderId="7" xfId="0" applyFont="1" applyBorder="1" applyAlignment="1">
      <alignment horizontal="center" vertical="center"/>
    </xf>
    <xf numFmtId="164" fontId="24" fillId="0" borderId="7" xfId="1" applyNumberFormat="1" applyFont="1" applyBorder="1" applyAlignment="1">
      <alignment vertical="center"/>
    </xf>
    <xf numFmtId="0" fontId="21" fillId="0" borderId="61" xfId="0" applyFont="1" applyFill="1" applyBorder="1" applyAlignment="1">
      <alignment horizontal="center" vertical="center" wrapText="1"/>
    </xf>
    <xf numFmtId="0" fontId="8" fillId="0" borderId="17" xfId="0" applyFont="1" applyBorder="1" applyAlignment="1">
      <alignment horizontal="center" vertical="top" wrapText="1"/>
    </xf>
    <xf numFmtId="0" fontId="6" fillId="0" borderId="17" xfId="0" applyFont="1" applyBorder="1" applyAlignment="1">
      <alignment horizontal="center" vertical="top"/>
    </xf>
    <xf numFmtId="0" fontId="25" fillId="0" borderId="4" xfId="0" applyFont="1" applyFill="1" applyBorder="1" applyAlignment="1">
      <alignment horizontal="center" vertical="center" wrapText="1"/>
    </xf>
    <xf numFmtId="164" fontId="25" fillId="0" borderId="4" xfId="1" applyNumberFormat="1" applyFont="1" applyFill="1" applyBorder="1" applyAlignment="1">
      <alignment horizontal="center" vertical="center" wrapText="1"/>
    </xf>
    <xf numFmtId="0" fontId="25" fillId="0" borderId="4" xfId="0" applyFont="1" applyFill="1" applyBorder="1" applyAlignment="1">
      <alignment horizontal="center" vertical="center"/>
    </xf>
    <xf numFmtId="0" fontId="25" fillId="0" borderId="0" xfId="0" applyFont="1" applyFill="1" applyBorder="1" applyAlignment="1">
      <alignment vertical="center"/>
    </xf>
    <xf numFmtId="0" fontId="24" fillId="0" borderId="75" xfId="4" applyFont="1" applyFill="1" applyBorder="1" applyAlignment="1">
      <alignment horizontal="center" vertical="center" wrapText="1"/>
    </xf>
    <xf numFmtId="3" fontId="24" fillId="0" borderId="75" xfId="4" applyNumberFormat="1" applyFont="1" applyFill="1" applyBorder="1" applyAlignment="1">
      <alignment horizontal="center" vertical="center" wrapText="1"/>
    </xf>
    <xf numFmtId="0" fontId="19" fillId="0" borderId="75" xfId="4" applyFill="1" applyBorder="1" applyAlignment="1">
      <alignment horizontal="center"/>
    </xf>
    <xf numFmtId="3" fontId="25" fillId="0" borderId="75" xfId="4" applyNumberFormat="1" applyFont="1" applyFill="1" applyBorder="1"/>
    <xf numFmtId="3" fontId="21" fillId="0" borderId="75" xfId="4" applyNumberFormat="1" applyFont="1" applyFill="1" applyBorder="1"/>
    <xf numFmtId="3" fontId="24" fillId="0" borderId="75" xfId="4" applyNumberFormat="1" applyFont="1" applyFill="1" applyBorder="1"/>
    <xf numFmtId="0" fontId="22" fillId="0" borderId="0" xfId="0" applyFont="1" applyFill="1" applyAlignment="1">
      <alignment horizontal="center" wrapText="1"/>
    </xf>
    <xf numFmtId="0" fontId="21" fillId="0" borderId="0" xfId="0" applyFont="1" applyFill="1" applyAlignment="1">
      <alignment horizontal="center"/>
    </xf>
    <xf numFmtId="0" fontId="22" fillId="0" borderId="0" xfId="0" applyFont="1" applyFill="1" applyAlignment="1">
      <alignment horizontal="center"/>
    </xf>
    <xf numFmtId="0" fontId="21" fillId="0" borderId="61"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vertical="center"/>
    </xf>
    <xf numFmtId="0" fontId="12" fillId="0" borderId="75" xfId="0" applyFont="1" applyBorder="1" applyAlignment="1">
      <alignment horizontal="justify" vertical="top" wrapText="1"/>
    </xf>
    <xf numFmtId="0" fontId="12" fillId="0" borderId="75" xfId="0" applyFont="1" applyBorder="1" applyAlignment="1">
      <alignment vertical="top" wrapText="1"/>
    </xf>
    <xf numFmtId="41" fontId="12" fillId="0" borderId="75" xfId="2" applyFont="1" applyBorder="1" applyAlignment="1">
      <alignment vertical="top" wrapText="1"/>
    </xf>
    <xf numFmtId="166" fontId="32" fillId="0" borderId="75" xfId="0" applyNumberFormat="1" applyFont="1" applyFill="1" applyBorder="1" applyAlignment="1">
      <alignment vertical="top" wrapText="1"/>
    </xf>
    <xf numFmtId="0" fontId="32" fillId="0" borderId="75" xfId="0" applyFont="1" applyFill="1" applyBorder="1" applyAlignment="1">
      <alignment horizontal="left" vertical="top" wrapText="1"/>
    </xf>
    <xf numFmtId="0" fontId="32" fillId="0" borderId="75" xfId="0" applyFont="1" applyFill="1" applyBorder="1" applyAlignment="1">
      <alignment horizontal="center" vertical="center"/>
    </xf>
    <xf numFmtId="0" fontId="32" fillId="0" borderId="75" xfId="0" applyFont="1" applyFill="1" applyBorder="1" applyAlignment="1">
      <alignment horizontal="center" vertical="center" wrapText="1"/>
    </xf>
    <xf numFmtId="166" fontId="32" fillId="0" borderId="75" xfId="0" applyNumberFormat="1" applyFont="1" applyFill="1" applyBorder="1" applyAlignment="1">
      <alignment horizontal="left" vertical="top" wrapText="1"/>
    </xf>
    <xf numFmtId="1" fontId="32" fillId="0" borderId="75" xfId="0" applyNumberFormat="1" applyFont="1" applyBorder="1" applyAlignment="1">
      <alignment vertical="top" wrapText="1"/>
    </xf>
    <xf numFmtId="166" fontId="32" fillId="0" borderId="75" xfId="0" applyNumberFormat="1" applyFont="1" applyBorder="1" applyAlignment="1">
      <alignment vertical="top" wrapText="1"/>
    </xf>
    <xf numFmtId="0" fontId="32" fillId="0" borderId="75" xfId="0" applyFont="1" applyBorder="1" applyAlignment="1">
      <alignment horizontal="center" vertical="center" wrapText="1"/>
    </xf>
    <xf numFmtId="164" fontId="43" fillId="0" borderId="75" xfId="0" applyNumberFormat="1" applyFont="1" applyBorder="1" applyAlignment="1">
      <alignment vertical="center" wrapText="1"/>
    </xf>
    <xf numFmtId="0" fontId="43" fillId="0" borderId="75" xfId="0" applyFont="1" applyBorder="1" applyAlignment="1">
      <alignment vertical="top" wrapText="1"/>
    </xf>
    <xf numFmtId="0" fontId="43" fillId="0" borderId="75" xfId="0" applyFont="1" applyBorder="1" applyAlignment="1">
      <alignment horizontal="left" vertical="top" wrapText="1"/>
    </xf>
    <xf numFmtId="0" fontId="32" fillId="0" borderId="75" xfId="0" applyFont="1" applyBorder="1" applyAlignment="1">
      <alignment vertical="top" wrapText="1"/>
    </xf>
    <xf numFmtId="166" fontId="32" fillId="0" borderId="75" xfId="0" applyNumberFormat="1" applyFont="1" applyBorder="1" applyAlignment="1">
      <alignment horizontal="left" vertical="top" wrapText="1"/>
    </xf>
    <xf numFmtId="1" fontId="43" fillId="0" borderId="75" xfId="0" applyNumberFormat="1" applyFont="1" applyBorder="1" applyAlignment="1">
      <alignment vertical="top" wrapText="1"/>
    </xf>
    <xf numFmtId="166" fontId="43" fillId="0" borderId="75" xfId="0" applyNumberFormat="1" applyFont="1" applyBorder="1" applyAlignment="1">
      <alignment vertical="top" wrapText="1"/>
    </xf>
    <xf numFmtId="166" fontId="43" fillId="0" borderId="75" xfId="0" applyNumberFormat="1" applyFont="1" applyBorder="1" applyAlignment="1">
      <alignment horizontal="center" vertical="top" wrapText="1"/>
    </xf>
    <xf numFmtId="0" fontId="32" fillId="0" borderId="75" xfId="0" applyFont="1" applyBorder="1" applyAlignment="1">
      <alignment horizontal="left" vertical="top" wrapText="1"/>
    </xf>
    <xf numFmtId="164" fontId="43" fillId="0" borderId="75" xfId="1" applyNumberFormat="1" applyFont="1" applyFill="1" applyBorder="1" applyAlignment="1">
      <alignment horizontal="center" vertical="center" wrapText="1"/>
    </xf>
    <xf numFmtId="0" fontId="5" fillId="0" borderId="50" xfId="0" applyFont="1" applyBorder="1" applyAlignment="1">
      <alignment horizontal="justify" vertical="center" wrapText="1"/>
    </xf>
    <xf numFmtId="0" fontId="43" fillId="0" borderId="75" xfId="0" applyFont="1" applyBorder="1" applyAlignment="1">
      <alignment horizontal="center" vertical="center" wrapText="1"/>
    </xf>
    <xf numFmtId="0" fontId="32" fillId="0" borderId="75" xfId="0" applyFont="1" applyFill="1" applyBorder="1" applyAlignment="1">
      <alignment vertical="top" wrapText="1"/>
    </xf>
    <xf numFmtId="0" fontId="22" fillId="5" borderId="75" xfId="0" applyFont="1" applyFill="1" applyBorder="1" applyAlignment="1">
      <alignment horizontal="center" vertical="center" wrapText="1"/>
    </xf>
    <xf numFmtId="0" fontId="21" fillId="5" borderId="75" xfId="0" applyFont="1" applyFill="1" applyBorder="1" applyAlignment="1">
      <alignment horizontal="center" vertical="center" wrapText="1"/>
    </xf>
    <xf numFmtId="0" fontId="21" fillId="5" borderId="75" xfId="0" applyFont="1" applyFill="1" applyBorder="1" applyAlignment="1">
      <alignment horizontal="center" vertical="top" wrapText="1"/>
    </xf>
    <xf numFmtId="0" fontId="22" fillId="0" borderId="75" xfId="0" applyFont="1" applyBorder="1" applyAlignment="1">
      <alignment vertical="center"/>
    </xf>
    <xf numFmtId="166" fontId="22" fillId="5" borderId="75" xfId="0" applyNumberFormat="1" applyFont="1" applyFill="1" applyBorder="1" applyAlignment="1">
      <alignment horizontal="center" vertical="top" wrapText="1"/>
    </xf>
    <xf numFmtId="0" fontId="22" fillId="5" borderId="75" xfId="0" applyFont="1" applyFill="1" applyBorder="1" applyAlignment="1">
      <alignment horizontal="center" vertical="top" wrapText="1"/>
    </xf>
    <xf numFmtId="0" fontId="21" fillId="5" borderId="75" xfId="0" applyFont="1" applyFill="1" applyBorder="1" applyAlignment="1">
      <alignment vertical="top"/>
    </xf>
    <xf numFmtId="0" fontId="32" fillId="0" borderId="75" xfId="0" applyFont="1" applyFill="1" applyBorder="1" applyAlignment="1">
      <alignment vertical="center" wrapText="1"/>
    </xf>
    <xf numFmtId="0" fontId="32" fillId="0" borderId="75" xfId="0" applyNumberFormat="1" applyFont="1" applyFill="1" applyBorder="1" applyAlignment="1">
      <alignment horizontal="center" vertical="center"/>
    </xf>
    <xf numFmtId="0" fontId="31" fillId="0" borderId="9" xfId="0" applyNumberFormat="1" applyFont="1" applyFill="1" applyBorder="1" applyAlignment="1" applyProtection="1">
      <alignment wrapText="1"/>
    </xf>
    <xf numFmtId="0" fontId="31" fillId="4" borderId="9" xfId="0" applyNumberFormat="1" applyFont="1" applyFill="1" applyBorder="1" applyAlignment="1" applyProtection="1">
      <alignment wrapText="1"/>
    </xf>
    <xf numFmtId="0" fontId="32" fillId="0" borderId="75" xfId="0" applyFont="1" applyFill="1" applyBorder="1" applyAlignment="1">
      <alignment vertical="top"/>
    </xf>
    <xf numFmtId="0" fontId="45" fillId="0" borderId="75" xfId="0" applyFont="1" applyFill="1" applyBorder="1" applyAlignment="1">
      <alignment horizontal="center" vertical="top"/>
    </xf>
    <xf numFmtId="0" fontId="32" fillId="0" borderId="75" xfId="0" applyFont="1" applyFill="1" applyBorder="1" applyAlignment="1">
      <alignment horizontal="center" vertical="top"/>
    </xf>
    <xf numFmtId="0" fontId="32" fillId="4" borderId="75" xfId="0" applyFont="1" applyFill="1" applyBorder="1" applyAlignment="1">
      <alignment vertical="center" wrapText="1"/>
    </xf>
    <xf numFmtId="0" fontId="32" fillId="0" borderId="75" xfId="4" applyFont="1" applyFill="1" applyBorder="1" applyAlignment="1">
      <alignment horizontal="left" vertical="justify"/>
    </xf>
    <xf numFmtId="0" fontId="46" fillId="0" borderId="75" xfId="4" applyFont="1" applyFill="1" applyBorder="1" applyAlignment="1">
      <alignment horizontal="center" vertical="center" wrapText="1"/>
    </xf>
    <xf numFmtId="0" fontId="32" fillId="0" borderId="75" xfId="4" applyFont="1" applyFill="1" applyBorder="1" applyAlignment="1">
      <alignment vertical="center" wrapText="1"/>
    </xf>
    <xf numFmtId="0" fontId="32" fillId="0" borderId="75" xfId="4" applyNumberFormat="1" applyFont="1" applyFill="1" applyBorder="1" applyAlignment="1">
      <alignment horizontal="left" wrapText="1"/>
    </xf>
    <xf numFmtId="0" fontId="32" fillId="0" borderId="75" xfId="4" applyFont="1" applyFill="1" applyBorder="1" applyAlignment="1">
      <alignment horizontal="left" vertical="center" wrapText="1"/>
    </xf>
    <xf numFmtId="0" fontId="32" fillId="0" borderId="75" xfId="0" applyFont="1" applyBorder="1" applyAlignment="1">
      <alignment horizontal="left" vertical="top"/>
    </xf>
    <xf numFmtId="0" fontId="32" fillId="0" borderId="75" xfId="0" applyFont="1" applyBorder="1" applyAlignment="1">
      <alignment horizontal="center" vertical="top"/>
    </xf>
    <xf numFmtId="1" fontId="43" fillId="0" borderId="75" xfId="0" applyNumberFormat="1" applyFont="1" applyFill="1" applyBorder="1" applyAlignment="1">
      <alignment vertical="top" wrapText="1"/>
    </xf>
    <xf numFmtId="166" fontId="43" fillId="0" borderId="75" xfId="0" applyNumberFormat="1" applyFont="1" applyFill="1" applyBorder="1" applyAlignment="1">
      <alignment vertical="top" wrapText="1"/>
    </xf>
    <xf numFmtId="1" fontId="32" fillId="0" borderId="75" xfId="0" applyNumberFormat="1" applyFont="1" applyFill="1" applyBorder="1" applyAlignment="1">
      <alignment vertical="top" wrapText="1"/>
    </xf>
    <xf numFmtId="166" fontId="43" fillId="0" borderId="75" xfId="0" applyNumberFormat="1" applyFont="1" applyFill="1" applyBorder="1" applyAlignment="1">
      <alignment horizontal="center" vertical="top" wrapText="1"/>
    </xf>
    <xf numFmtId="0" fontId="43" fillId="0" borderId="75" xfId="0" applyFont="1" applyFill="1" applyBorder="1" applyAlignment="1">
      <alignment horizontal="center" vertical="center" wrapText="1"/>
    </xf>
    <xf numFmtId="164" fontId="43" fillId="0" borderId="75" xfId="1" applyNumberFormat="1" applyFont="1" applyFill="1" applyBorder="1" applyAlignment="1">
      <alignment vertical="center" wrapText="1"/>
    </xf>
    <xf numFmtId="0" fontId="43" fillId="0" borderId="75" xfId="0" applyFont="1" applyFill="1" applyBorder="1" applyAlignment="1">
      <alignment vertical="top" wrapText="1"/>
    </xf>
    <xf numFmtId="0" fontId="43" fillId="0" borderId="75" xfId="0" applyFont="1" applyFill="1" applyBorder="1" applyAlignment="1">
      <alignment horizontal="left" vertical="top" wrapText="1"/>
    </xf>
    <xf numFmtId="0" fontId="44" fillId="0" borderId="75" xfId="0" applyFont="1" applyFill="1" applyBorder="1" applyAlignment="1">
      <alignment vertical="top"/>
    </xf>
    <xf numFmtId="164" fontId="43" fillId="5" borderId="75" xfId="1" applyNumberFormat="1" applyFont="1" applyFill="1" applyBorder="1" applyAlignment="1">
      <alignment vertical="center" wrapText="1"/>
    </xf>
    <xf numFmtId="0" fontId="43" fillId="5" borderId="75" xfId="0" applyFont="1" applyFill="1" applyBorder="1" applyAlignment="1">
      <alignment horizontal="center" vertical="center" wrapText="1"/>
    </xf>
    <xf numFmtId="0" fontId="32" fillId="0" borderId="75" xfId="0" applyFont="1" applyFill="1" applyBorder="1" applyAlignment="1">
      <alignment horizontal="center" vertical="top" wrapText="1"/>
    </xf>
    <xf numFmtId="0" fontId="12" fillId="0" borderId="75" xfId="0" applyFont="1" applyBorder="1" applyAlignment="1">
      <alignment horizontal="center" vertical="top" wrapText="1"/>
    </xf>
    <xf numFmtId="0" fontId="13" fillId="0" borderId="75" xfId="0" applyFont="1" applyBorder="1" applyAlignment="1">
      <alignment vertical="top"/>
    </xf>
    <xf numFmtId="0" fontId="32" fillId="2" borderId="75" xfId="0" applyFont="1" applyFill="1" applyBorder="1" applyAlignment="1">
      <alignment horizontal="left" vertical="top"/>
    </xf>
    <xf numFmtId="0" fontId="45" fillId="0" borderId="75" xfId="0" applyFont="1" applyFill="1" applyBorder="1" applyAlignment="1">
      <alignment horizontal="center" vertical="center"/>
    </xf>
    <xf numFmtId="0" fontId="32" fillId="0" borderId="75" xfId="0" applyFont="1" applyBorder="1" applyAlignment="1">
      <alignment vertical="top"/>
    </xf>
    <xf numFmtId="0" fontId="43" fillId="0" borderId="75" xfId="0" applyFont="1" applyFill="1" applyBorder="1" applyAlignment="1">
      <alignment horizontal="center" vertical="top"/>
    </xf>
    <xf numFmtId="1" fontId="32" fillId="5" borderId="75" xfId="0" applyNumberFormat="1" applyFont="1" applyFill="1" applyBorder="1" applyAlignment="1">
      <alignment vertical="top" wrapText="1"/>
    </xf>
    <xf numFmtId="166" fontId="32" fillId="5" borderId="75" xfId="0" applyNumberFormat="1" applyFont="1" applyFill="1" applyBorder="1" applyAlignment="1">
      <alignment vertical="top" wrapText="1"/>
    </xf>
    <xf numFmtId="0" fontId="32" fillId="5" borderId="75" xfId="0" applyFont="1" applyFill="1" applyBorder="1" applyAlignment="1">
      <alignment horizontal="center" vertical="center" wrapText="1"/>
    </xf>
    <xf numFmtId="1" fontId="32" fillId="0" borderId="75" xfId="0" applyNumberFormat="1" applyFont="1" applyFill="1" applyBorder="1" applyAlignment="1">
      <alignment horizontal="center" vertical="top" wrapText="1"/>
    </xf>
    <xf numFmtId="166" fontId="32" fillId="6" borderId="75" xfId="0" applyNumberFormat="1" applyFont="1" applyFill="1" applyBorder="1" applyAlignment="1">
      <alignment horizontal="left" vertical="top" wrapText="1"/>
    </xf>
    <xf numFmtId="166" fontId="43" fillId="5" borderId="75" xfId="0" applyNumberFormat="1" applyFont="1" applyFill="1" applyBorder="1" applyAlignment="1">
      <alignment horizontal="center" vertical="top" wrapText="1"/>
    </xf>
    <xf numFmtId="1" fontId="32" fillId="4" borderId="75" xfId="0" applyNumberFormat="1" applyFont="1" applyFill="1" applyBorder="1" applyAlignment="1">
      <alignment vertical="top" wrapText="1"/>
    </xf>
    <xf numFmtId="0" fontId="32" fillId="4" borderId="75" xfId="0" applyFont="1" applyFill="1" applyBorder="1" applyAlignment="1">
      <alignment horizontal="center" vertical="center" wrapText="1"/>
    </xf>
    <xf numFmtId="0" fontId="36" fillId="6" borderId="53" xfId="0" applyFont="1" applyFill="1" applyBorder="1" applyAlignment="1">
      <alignment horizontal="center" vertical="center" wrapText="1"/>
    </xf>
    <xf numFmtId="0" fontId="36" fillId="6" borderId="53" xfId="0" applyFont="1" applyFill="1" applyBorder="1" applyAlignment="1">
      <alignment horizontal="center"/>
    </xf>
    <xf numFmtId="0" fontId="36" fillId="6" borderId="53" xfId="0" applyFont="1" applyFill="1" applyBorder="1" applyAlignment="1">
      <alignment wrapText="1"/>
    </xf>
    <xf numFmtId="0" fontId="22" fillId="4" borderId="75" xfId="0" applyFont="1" applyFill="1" applyBorder="1" applyAlignment="1">
      <alignment wrapText="1"/>
    </xf>
    <xf numFmtId="0" fontId="40" fillId="4" borderId="0" xfId="0" applyFont="1" applyFill="1"/>
    <xf numFmtId="166" fontId="43" fillId="4" borderId="75" xfId="0" applyNumberFormat="1" applyFont="1" applyFill="1" applyBorder="1" applyAlignment="1">
      <alignment horizontal="center" vertical="top" wrapText="1"/>
    </xf>
    <xf numFmtId="0" fontId="43" fillId="4" borderId="75" xfId="0" applyFont="1" applyFill="1" applyBorder="1" applyAlignment="1">
      <alignment horizontal="center" vertical="center" wrapText="1"/>
    </xf>
    <xf numFmtId="0" fontId="36" fillId="6" borderId="79" xfId="0" applyFont="1" applyFill="1" applyBorder="1" applyAlignment="1">
      <alignment horizontal="center" vertical="center" wrapText="1"/>
    </xf>
    <xf numFmtId="0" fontId="36" fillId="6" borderId="79" xfId="0" applyFont="1" applyFill="1" applyBorder="1" applyAlignment="1">
      <alignment horizontal="center"/>
    </xf>
    <xf numFmtId="0" fontId="36" fillId="6" borderId="79" xfId="0" applyFont="1" applyFill="1" applyBorder="1" applyAlignment="1">
      <alignment wrapText="1"/>
    </xf>
    <xf numFmtId="1" fontId="34" fillId="4" borderId="9" xfId="0" applyNumberFormat="1" applyFont="1" applyFill="1" applyBorder="1" applyAlignment="1">
      <alignment vertical="top" wrapText="1"/>
    </xf>
    <xf numFmtId="166" fontId="36" fillId="6" borderId="79" xfId="0" applyNumberFormat="1" applyFont="1" applyFill="1" applyBorder="1" applyAlignment="1">
      <alignment horizontal="center" vertical="top" wrapText="1"/>
    </xf>
    <xf numFmtId="0" fontId="34" fillId="6" borderId="79" xfId="0" applyFont="1" applyFill="1" applyBorder="1" applyAlignment="1">
      <alignment horizontal="center" vertical="center" wrapText="1"/>
    </xf>
    <xf numFmtId="0" fontId="21" fillId="4" borderId="61" xfId="0" applyFont="1" applyFill="1" applyBorder="1" applyAlignment="1">
      <alignment horizontal="center" vertical="center" wrapText="1"/>
    </xf>
    <xf numFmtId="0" fontId="22" fillId="4" borderId="61" xfId="0" applyFont="1" applyFill="1" applyBorder="1" applyAlignment="1">
      <alignment horizontal="center" vertical="center" wrapText="1"/>
    </xf>
    <xf numFmtId="0" fontId="22" fillId="4" borderId="61" xfId="0" applyFont="1" applyFill="1" applyBorder="1" applyAlignment="1">
      <alignment horizontal="center"/>
    </xf>
    <xf numFmtId="0" fontId="22" fillId="4" borderId="61" xfId="0" applyFont="1" applyFill="1" applyBorder="1" applyAlignment="1">
      <alignment wrapText="1"/>
    </xf>
    <xf numFmtId="0" fontId="21" fillId="4" borderId="75" xfId="0" applyFont="1" applyFill="1" applyBorder="1" applyAlignment="1">
      <alignment horizontal="center" vertical="center" wrapText="1"/>
    </xf>
    <xf numFmtId="0" fontId="22" fillId="4" borderId="75" xfId="0" applyFont="1" applyFill="1" applyBorder="1" applyAlignment="1">
      <alignment horizontal="center" vertical="center" wrapText="1"/>
    </xf>
    <xf numFmtId="0" fontId="22" fillId="4" borderId="75" xfId="0" applyFont="1" applyFill="1" applyBorder="1" applyAlignment="1">
      <alignment horizontal="center"/>
    </xf>
    <xf numFmtId="0" fontId="32" fillId="0" borderId="75" xfId="0" applyFont="1" applyFill="1" applyBorder="1" applyAlignment="1">
      <alignment horizontal="right" vertical="center"/>
    </xf>
    <xf numFmtId="0" fontId="32" fillId="0" borderId="75" xfId="0" applyNumberFormat="1" applyFont="1" applyFill="1" applyBorder="1" applyAlignment="1">
      <alignment horizontal="center" vertical="center" wrapText="1"/>
    </xf>
    <xf numFmtId="0" fontId="32" fillId="0" borderId="75" xfId="0" applyFont="1" applyFill="1" applyBorder="1" applyAlignment="1">
      <alignment horizontal="right" vertical="center" wrapText="1"/>
    </xf>
    <xf numFmtId="164" fontId="43" fillId="0" borderId="75" xfId="3" applyNumberFormat="1" applyFont="1" applyFill="1" applyBorder="1" applyAlignment="1">
      <alignment vertical="center" wrapText="1"/>
    </xf>
    <xf numFmtId="166" fontId="32" fillId="0" borderId="75" xfId="0" applyNumberFormat="1" applyFont="1" applyBorder="1" applyAlignment="1">
      <alignment horizontal="center" vertical="top" wrapText="1"/>
    </xf>
    <xf numFmtId="0" fontId="6" fillId="0" borderId="75" xfId="0" applyFont="1" applyBorder="1" applyAlignment="1">
      <alignment horizontal="right" vertical="top" wrapText="1"/>
    </xf>
    <xf numFmtId="0" fontId="6" fillId="0" borderId="75" xfId="0" applyFont="1" applyBorder="1" applyAlignment="1">
      <alignment horizontal="justify" vertical="top" wrapText="1"/>
    </xf>
    <xf numFmtId="0" fontId="6" fillId="0" borderId="75" xfId="0" applyFont="1" applyBorder="1" applyAlignment="1">
      <alignment horizontal="center" vertical="center" wrapText="1"/>
    </xf>
    <xf numFmtId="0" fontId="5" fillId="0" borderId="75" xfId="0" applyFont="1" applyBorder="1" applyAlignment="1">
      <alignment horizontal="center" vertical="top" wrapText="1"/>
    </xf>
    <xf numFmtId="0" fontId="5" fillId="0" borderId="75" xfId="0" applyFont="1" applyBorder="1" applyAlignment="1">
      <alignment horizontal="center" vertical="center"/>
    </xf>
    <xf numFmtId="0" fontId="5" fillId="0" borderId="75" xfId="0" applyFont="1" applyBorder="1" applyAlignment="1">
      <alignment horizontal="right" vertical="center" wrapText="1" shrinkToFit="1"/>
    </xf>
    <xf numFmtId="0" fontId="5" fillId="0" borderId="75" xfId="0" applyFont="1" applyBorder="1" applyAlignment="1">
      <alignment horizontal="justify" vertical="center" wrapText="1" shrinkToFit="1"/>
    </xf>
    <xf numFmtId="0" fontId="5" fillId="0" borderId="75" xfId="0" applyFont="1" applyBorder="1" applyAlignment="1">
      <alignment horizontal="center" vertical="center" wrapText="1" shrinkToFit="1"/>
    </xf>
    <xf numFmtId="0" fontId="5" fillId="0" borderId="75" xfId="0" applyFont="1" applyBorder="1" applyAlignment="1">
      <alignment horizontal="justify" vertical="center" wrapText="1"/>
    </xf>
    <xf numFmtId="0" fontId="5" fillId="0" borderId="75" xfId="0" applyFont="1" applyFill="1" applyBorder="1" applyAlignment="1">
      <alignment vertical="top" wrapText="1"/>
    </xf>
    <xf numFmtId="0" fontId="5" fillId="0" borderId="75" xfId="0" applyFont="1" applyFill="1" applyBorder="1" applyAlignment="1">
      <alignment horizontal="center" vertical="top" wrapText="1"/>
    </xf>
    <xf numFmtId="0" fontId="5" fillId="0" borderId="75" xfId="0" applyFont="1" applyFill="1" applyBorder="1" applyAlignment="1">
      <alignment vertical="center"/>
    </xf>
    <xf numFmtId="0" fontId="5" fillId="0" borderId="75" xfId="0" applyFont="1" applyFill="1" applyBorder="1" applyAlignment="1">
      <alignment horizontal="justify" vertical="center" wrapText="1"/>
    </xf>
    <xf numFmtId="0" fontId="6" fillId="0" borderId="55" xfId="0" applyFont="1" applyBorder="1" applyAlignment="1">
      <alignment horizontal="right" vertical="top" wrapText="1"/>
    </xf>
    <xf numFmtId="0" fontId="6" fillId="0" borderId="55" xfId="0" applyFont="1" applyBorder="1" applyAlignment="1">
      <alignment horizontal="justify" vertical="top" wrapText="1"/>
    </xf>
    <xf numFmtId="0" fontId="6" fillId="0" borderId="55" xfId="0" applyFont="1" applyBorder="1" applyAlignment="1">
      <alignment horizontal="center" vertical="top" wrapText="1"/>
    </xf>
    <xf numFmtId="0" fontId="6" fillId="0" borderId="55" xfId="0" applyFont="1" applyBorder="1" applyAlignment="1">
      <alignment horizontal="center" vertical="center" wrapText="1"/>
    </xf>
    <xf numFmtId="0" fontId="5" fillId="0" borderId="55" xfId="0" applyFont="1" applyBorder="1" applyAlignment="1">
      <alignment horizontal="center" vertical="top" wrapText="1"/>
    </xf>
    <xf numFmtId="0" fontId="5" fillId="0" borderId="55" xfId="0" applyFont="1" applyBorder="1" applyAlignment="1">
      <alignment horizontal="right" vertical="center" wrapText="1"/>
    </xf>
    <xf numFmtId="0" fontId="5" fillId="0" borderId="55" xfId="0" applyFont="1" applyBorder="1" applyAlignment="1">
      <alignment horizontal="justify" vertical="center" wrapText="1"/>
    </xf>
    <xf numFmtId="0" fontId="6" fillId="0" borderId="55" xfId="0" applyFont="1" applyBorder="1" applyAlignment="1">
      <alignment horizontal="right" vertical="center" wrapText="1"/>
    </xf>
    <xf numFmtId="0" fontId="6" fillId="0" borderId="55" xfId="0" applyFont="1" applyBorder="1" applyAlignment="1">
      <alignment horizontal="justify" vertical="center" wrapText="1"/>
    </xf>
    <xf numFmtId="0" fontId="5" fillId="0" borderId="75" xfId="0" applyFont="1" applyBorder="1" applyAlignment="1">
      <alignment vertical="center" wrapText="1"/>
    </xf>
    <xf numFmtId="0" fontId="6" fillId="5" borderId="75" xfId="0" applyFont="1" applyFill="1" applyBorder="1" applyAlignment="1">
      <alignment horizontal="center" vertical="center" wrapText="1"/>
    </xf>
    <xf numFmtId="0" fontId="5" fillId="5" borderId="75" xfId="0" applyFont="1" applyFill="1" applyBorder="1" applyAlignment="1">
      <alignment horizontal="center" vertical="center" wrapText="1"/>
    </xf>
    <xf numFmtId="0" fontId="2" fillId="0" borderId="75" xfId="0" applyFont="1" applyFill="1" applyBorder="1" applyAlignment="1">
      <alignment horizontal="center" vertical="top"/>
    </xf>
    <xf numFmtId="0" fontId="6" fillId="5" borderId="75" xfId="0" applyFont="1" applyFill="1" applyBorder="1" applyAlignment="1">
      <alignment horizontal="center" vertical="top" wrapText="1"/>
    </xf>
    <xf numFmtId="166" fontId="32" fillId="5" borderId="75" xfId="0" applyNumberFormat="1" applyFont="1" applyFill="1" applyBorder="1" applyAlignment="1">
      <alignment horizontal="center" vertical="top" wrapText="1"/>
    </xf>
    <xf numFmtId="0" fontId="6" fillId="0" borderId="75" xfId="0" applyFont="1" applyBorder="1" applyAlignment="1">
      <alignment horizontal="center" vertical="top" wrapText="1"/>
    </xf>
    <xf numFmtId="0" fontId="6" fillId="0" borderId="75" xfId="0" applyFont="1" applyBorder="1" applyAlignment="1">
      <alignment vertical="top" wrapText="1"/>
    </xf>
    <xf numFmtId="0" fontId="5" fillId="0" borderId="75" xfId="0" applyFont="1" applyBorder="1" applyAlignment="1">
      <alignment horizontal="justify" vertical="top" wrapText="1"/>
    </xf>
    <xf numFmtId="0" fontId="5" fillId="0" borderId="55" xfId="0" applyFont="1" applyBorder="1" applyAlignment="1">
      <alignment vertical="top" wrapText="1"/>
    </xf>
    <xf numFmtId="0" fontId="0" fillId="0" borderId="55" xfId="0" applyFont="1" applyBorder="1" applyAlignment="1">
      <alignment horizontal="center"/>
    </xf>
    <xf numFmtId="0" fontId="0" fillId="0" borderId="75" xfId="0" applyFont="1" applyBorder="1" applyAlignment="1">
      <alignment wrapText="1"/>
    </xf>
    <xf numFmtId="0" fontId="5" fillId="0" borderId="75" xfId="0" applyFont="1" applyBorder="1" applyAlignment="1">
      <alignment horizontal="center"/>
    </xf>
    <xf numFmtId="0" fontId="5" fillId="0" borderId="75" xfId="0" applyFont="1" applyBorder="1" applyAlignment="1">
      <alignment wrapText="1"/>
    </xf>
    <xf numFmtId="0" fontId="6" fillId="0" borderId="6" xfId="0" applyFont="1" applyBorder="1" applyAlignment="1">
      <alignment vertical="center" wrapText="1"/>
    </xf>
    <xf numFmtId="0" fontId="5" fillId="0" borderId="7" xfId="0" applyFont="1" applyBorder="1" applyAlignment="1">
      <alignment horizontal="center" vertical="center" wrapText="1"/>
    </xf>
    <xf numFmtId="0" fontId="9" fillId="0" borderId="0" xfId="0" applyFont="1" applyAlignment="1">
      <alignment wrapText="1"/>
    </xf>
    <xf numFmtId="0" fontId="9" fillId="0" borderId="0" xfId="0" applyFont="1" applyAlignment="1">
      <alignment horizontal="center" wrapText="1"/>
    </xf>
    <xf numFmtId="0" fontId="14" fillId="0" borderId="0" xfId="0" applyFont="1" applyAlignment="1">
      <alignment horizontal="left"/>
    </xf>
    <xf numFmtId="0" fontId="9" fillId="0" borderId="0" xfId="0" applyFont="1"/>
    <xf numFmtId="0" fontId="35" fillId="0" borderId="0" xfId="0" applyFont="1" applyBorder="1" applyAlignment="1"/>
    <xf numFmtId="0" fontId="35" fillId="0" borderId="0" xfId="0" applyFont="1" applyBorder="1" applyAlignment="1">
      <alignment horizontal="center"/>
    </xf>
    <xf numFmtId="0" fontId="12" fillId="0" borderId="75" xfId="0" applyFont="1" applyBorder="1" applyAlignment="1">
      <alignment vertical="top"/>
    </xf>
    <xf numFmtId="0" fontId="12" fillId="0" borderId="0" xfId="0" applyFont="1" applyAlignment="1">
      <alignment wrapText="1"/>
    </xf>
    <xf numFmtId="0" fontId="5" fillId="0" borderId="0" xfId="0" applyFont="1" applyAlignment="1">
      <alignment horizontal="center" wrapText="1"/>
    </xf>
    <xf numFmtId="0" fontId="2" fillId="4" borderId="0" xfId="0" applyFont="1" applyFill="1" applyAlignment="1">
      <alignment vertical="top"/>
    </xf>
    <xf numFmtId="0" fontId="6" fillId="7" borderId="61" xfId="0" applyFont="1" applyFill="1" applyBorder="1" applyAlignment="1">
      <alignment vertical="top"/>
    </xf>
    <xf numFmtId="166" fontId="22" fillId="0" borderId="34" xfId="0" applyNumberFormat="1" applyFont="1" applyBorder="1" applyAlignment="1">
      <alignment vertical="center"/>
    </xf>
    <xf numFmtId="1" fontId="5" fillId="7" borderId="61" xfId="0" applyNumberFormat="1" applyFont="1" applyFill="1" applyBorder="1" applyAlignment="1">
      <alignment vertical="top" wrapText="1"/>
    </xf>
    <xf numFmtId="166" fontId="5" fillId="7" borderId="61" xfId="0" applyNumberFormat="1" applyFont="1" applyFill="1" applyBorder="1" applyAlignment="1">
      <alignment horizontal="center" vertical="top" wrapText="1"/>
    </xf>
    <xf numFmtId="0" fontId="6" fillId="7" borderId="61" xfId="0" applyFont="1" applyFill="1" applyBorder="1" applyAlignment="1">
      <alignment horizontal="center" vertical="center" wrapText="1"/>
    </xf>
    <xf numFmtId="0" fontId="2" fillId="4" borderId="61" xfId="0" applyFont="1" applyFill="1" applyBorder="1" applyAlignment="1">
      <alignment horizontal="center" vertical="top"/>
    </xf>
    <xf numFmtId="0" fontId="6" fillId="4" borderId="61" xfId="0" applyFont="1" applyFill="1" applyBorder="1" applyAlignment="1">
      <alignment horizontal="center" vertical="top" wrapText="1"/>
    </xf>
    <xf numFmtId="164" fontId="9" fillId="0" borderId="4" xfId="1" applyNumberFormat="1" applyFont="1" applyBorder="1" applyAlignment="1">
      <alignment horizontal="center" vertical="center" wrapText="1"/>
    </xf>
    <xf numFmtId="41" fontId="14" fillId="0" borderId="6" xfId="2" applyNumberFormat="1" applyFont="1" applyBorder="1" applyAlignment="1">
      <alignment vertical="center"/>
    </xf>
    <xf numFmtId="41" fontId="14" fillId="0" borderId="24" xfId="2" applyFont="1" applyBorder="1" applyAlignment="1">
      <alignment vertical="center"/>
    </xf>
    <xf numFmtId="0" fontId="14" fillId="0" borderId="24" xfId="0" applyFont="1" applyBorder="1" applyAlignment="1">
      <alignment vertical="center" wrapText="1"/>
    </xf>
    <xf numFmtId="0" fontId="5" fillId="0" borderId="0" xfId="0" applyFont="1" applyFill="1" applyAlignment="1">
      <alignment horizontal="center"/>
    </xf>
    <xf numFmtId="0" fontId="6" fillId="0" borderId="0" xfId="0" applyFont="1" applyFill="1" applyAlignment="1">
      <alignment wrapText="1"/>
    </xf>
    <xf numFmtId="0" fontId="6" fillId="0" borderId="0" xfId="0" applyFont="1" applyFill="1" applyAlignment="1">
      <alignment horizontal="right" wrapText="1"/>
    </xf>
    <xf numFmtId="0" fontId="0" fillId="0" borderId="0" xfId="0" applyFont="1" applyFill="1"/>
    <xf numFmtId="0" fontId="6" fillId="0" borderId="0" xfId="0" applyFont="1" applyFill="1" applyAlignment="1">
      <alignment horizontal="center"/>
    </xf>
    <xf numFmtId="0" fontId="35" fillId="0" borderId="0" xfId="0" applyFont="1" applyFill="1" applyBorder="1" applyAlignment="1"/>
    <xf numFmtId="0" fontId="35" fillId="0" borderId="0" xfId="0" applyFont="1" applyFill="1" applyBorder="1" applyAlignment="1">
      <alignment horizontal="center"/>
    </xf>
    <xf numFmtId="164" fontId="6" fillId="0" borderId="55" xfId="1" applyNumberFormat="1" applyFont="1" applyFill="1" applyBorder="1" applyAlignment="1">
      <alignment horizontal="center" vertical="top" wrapText="1"/>
    </xf>
    <xf numFmtId="49" fontId="6" fillId="0" borderId="55" xfId="1" quotePrefix="1" applyNumberFormat="1" applyFont="1" applyFill="1" applyBorder="1" applyAlignment="1">
      <alignment vertical="center" wrapText="1"/>
    </xf>
    <xf numFmtId="49" fontId="6" fillId="0" borderId="55" xfId="1" quotePrefix="1" applyNumberFormat="1" applyFont="1" applyFill="1" applyBorder="1" applyAlignment="1">
      <alignment horizontal="center" vertical="center" wrapText="1"/>
    </xf>
    <xf numFmtId="49" fontId="6" fillId="0" borderId="55" xfId="1" applyNumberFormat="1" applyFont="1" applyFill="1" applyBorder="1" applyAlignment="1">
      <alignment horizontal="center" vertical="center" wrapText="1"/>
    </xf>
    <xf numFmtId="49" fontId="6" fillId="0" borderId="60" xfId="1" applyNumberFormat="1" applyFont="1" applyFill="1" applyBorder="1" applyAlignment="1">
      <alignment horizontal="center" vertical="center" wrapText="1"/>
    </xf>
    <xf numFmtId="49" fontId="0" fillId="0" borderId="0" xfId="0" applyNumberFormat="1" applyFont="1" applyFill="1" applyAlignment="1">
      <alignment horizontal="center"/>
    </xf>
    <xf numFmtId="164" fontId="6" fillId="0" borderId="55" xfId="1" applyNumberFormat="1" applyFont="1" applyFill="1" applyBorder="1" applyAlignment="1">
      <alignment vertical="center" wrapText="1"/>
    </xf>
    <xf numFmtId="164" fontId="6" fillId="0" borderId="55" xfId="1" applyNumberFormat="1" applyFont="1" applyFill="1" applyBorder="1" applyAlignment="1">
      <alignment horizontal="center" vertical="center" wrapText="1"/>
    </xf>
    <xf numFmtId="164" fontId="5" fillId="0" borderId="55" xfId="1" applyNumberFormat="1" applyFont="1" applyFill="1" applyBorder="1" applyAlignment="1">
      <alignment horizontal="center" vertical="center" wrapText="1"/>
    </xf>
    <xf numFmtId="164" fontId="6" fillId="0" borderId="61" xfId="1" applyNumberFormat="1" applyFont="1" applyFill="1" applyBorder="1" applyAlignment="1">
      <alignment vertical="center" wrapText="1"/>
    </xf>
    <xf numFmtId="164" fontId="6" fillId="0" borderId="61" xfId="1" applyNumberFormat="1" applyFont="1" applyFill="1" applyBorder="1" applyAlignment="1">
      <alignment horizontal="center" vertical="center" wrapText="1"/>
    </xf>
    <xf numFmtId="164" fontId="5" fillId="0" borderId="61" xfId="1" applyNumberFormat="1" applyFont="1" applyFill="1" applyBorder="1" applyAlignment="1">
      <alignment horizontal="center" vertical="center" wrapText="1"/>
    </xf>
    <xf numFmtId="0" fontId="6" fillId="0" borderId="61" xfId="0" applyFont="1" applyFill="1" applyBorder="1" applyAlignment="1">
      <alignment vertical="top" wrapText="1"/>
    </xf>
    <xf numFmtId="0" fontId="6" fillId="0" borderId="61" xfId="0" applyFont="1" applyFill="1" applyBorder="1" applyAlignment="1">
      <alignment horizontal="left" vertical="top" wrapText="1"/>
    </xf>
    <xf numFmtId="0" fontId="6" fillId="0" borderId="61" xfId="0" applyFont="1" applyFill="1" applyBorder="1" applyAlignment="1">
      <alignment horizontal="center" vertical="center" wrapText="1"/>
    </xf>
    <xf numFmtId="0" fontId="6" fillId="0" borderId="61" xfId="0" applyFont="1" applyFill="1" applyBorder="1" applyAlignment="1">
      <alignment horizontal="center" vertical="top" wrapText="1"/>
    </xf>
    <xf numFmtId="0" fontId="6" fillId="0" borderId="61" xfId="0" applyFont="1" applyFill="1" applyBorder="1" applyAlignment="1">
      <alignment vertical="top"/>
    </xf>
    <xf numFmtId="166" fontId="5" fillId="0" borderId="75" xfId="0" applyNumberFormat="1" applyFont="1" applyFill="1" applyBorder="1" applyAlignment="1">
      <alignment vertical="top" wrapText="1"/>
    </xf>
    <xf numFmtId="0" fontId="5" fillId="0" borderId="75" xfId="0" applyFont="1" applyFill="1" applyBorder="1" applyAlignment="1">
      <alignment vertical="center" wrapText="1"/>
    </xf>
    <xf numFmtId="0" fontId="5" fillId="0" borderId="75" xfId="0" applyFont="1" applyFill="1" applyBorder="1" applyAlignment="1">
      <alignment horizontal="center" vertical="center" wrapText="1"/>
    </xf>
    <xf numFmtId="0" fontId="5" fillId="0" borderId="75" xfId="0" applyNumberFormat="1" applyFont="1" applyFill="1" applyBorder="1" applyAlignment="1">
      <alignment horizontal="center" vertical="center"/>
    </xf>
    <xf numFmtId="0" fontId="12" fillId="0" borderId="9" xfId="0" applyNumberFormat="1" applyFont="1" applyFill="1" applyBorder="1" applyAlignment="1" applyProtection="1">
      <alignment wrapText="1"/>
    </xf>
    <xf numFmtId="0" fontId="5" fillId="0" borderId="75" xfId="0" applyFont="1" applyFill="1" applyBorder="1" applyAlignment="1">
      <alignment horizontal="center" vertical="center"/>
    </xf>
    <xf numFmtId="0" fontId="12" fillId="4" borderId="9" xfId="0" applyNumberFormat="1" applyFont="1" applyFill="1" applyBorder="1" applyAlignment="1" applyProtection="1">
      <alignment wrapText="1"/>
    </xf>
    <xf numFmtId="0" fontId="5" fillId="0" borderId="75" xfId="0" applyFont="1" applyFill="1" applyBorder="1" applyAlignment="1">
      <alignment vertical="top"/>
    </xf>
    <xf numFmtId="0" fontId="0" fillId="0" borderId="75" xfId="0" applyFont="1" applyFill="1" applyBorder="1" applyAlignment="1">
      <alignment horizontal="center" vertical="top"/>
    </xf>
    <xf numFmtId="0" fontId="5" fillId="0" borderId="75" xfId="0" applyFont="1" applyFill="1" applyBorder="1" applyAlignment="1">
      <alignment horizontal="center" vertical="top"/>
    </xf>
    <xf numFmtId="0" fontId="5" fillId="4" borderId="75" xfId="0" applyFont="1" applyFill="1" applyBorder="1" applyAlignment="1">
      <alignment vertical="center" wrapText="1"/>
    </xf>
    <xf numFmtId="0" fontId="5" fillId="0" borderId="75" xfId="4" applyFont="1" applyFill="1" applyBorder="1" applyAlignment="1">
      <alignment horizontal="left" vertical="justify"/>
    </xf>
    <xf numFmtId="0" fontId="49" fillId="0" borderId="75" xfId="4" applyFont="1" applyFill="1" applyBorder="1" applyAlignment="1">
      <alignment horizontal="center" vertical="center" wrapText="1"/>
    </xf>
    <xf numFmtId="0" fontId="5" fillId="0" borderId="75" xfId="4" applyFont="1" applyFill="1" applyBorder="1" applyAlignment="1">
      <alignment vertical="center" wrapText="1"/>
    </xf>
    <xf numFmtId="0" fontId="5" fillId="0" borderId="75" xfId="4" applyNumberFormat="1" applyFont="1" applyFill="1" applyBorder="1" applyAlignment="1">
      <alignment horizontal="left" wrapText="1"/>
    </xf>
    <xf numFmtId="0" fontId="5" fillId="0" borderId="75" xfId="4" applyFont="1" applyFill="1" applyBorder="1" applyAlignment="1">
      <alignment horizontal="left" vertical="center" wrapText="1"/>
    </xf>
    <xf numFmtId="0" fontId="5" fillId="0" borderId="75" xfId="0" applyFont="1" applyBorder="1" applyAlignment="1">
      <alignment horizontal="left" vertical="top"/>
    </xf>
    <xf numFmtId="0" fontId="5" fillId="0" borderId="75" xfId="0" applyFont="1" applyBorder="1" applyAlignment="1">
      <alignment horizontal="center" vertical="top"/>
    </xf>
    <xf numFmtId="1" fontId="6" fillId="0" borderId="75" xfId="0" applyNumberFormat="1" applyFont="1" applyFill="1" applyBorder="1" applyAlignment="1">
      <alignment vertical="top" wrapText="1"/>
    </xf>
    <xf numFmtId="166" fontId="6" fillId="0" borderId="75" xfId="0" applyNumberFormat="1" applyFont="1" applyFill="1" applyBorder="1" applyAlignment="1">
      <alignment vertical="top" wrapText="1"/>
    </xf>
    <xf numFmtId="1" fontId="5" fillId="0" borderId="75" xfId="0" applyNumberFormat="1" applyFont="1" applyFill="1" applyBorder="1" applyAlignment="1">
      <alignment vertical="top" wrapText="1"/>
    </xf>
    <xf numFmtId="1" fontId="5" fillId="7" borderId="75" xfId="0" applyNumberFormat="1" applyFont="1" applyFill="1" applyBorder="1" applyAlignment="1">
      <alignment vertical="top" wrapText="1"/>
    </xf>
    <xf numFmtId="166" fontId="6" fillId="7" borderId="75" xfId="0" applyNumberFormat="1" applyFont="1" applyFill="1" applyBorder="1" applyAlignment="1">
      <alignment horizontal="center" vertical="top" wrapText="1"/>
    </xf>
    <xf numFmtId="0" fontId="6" fillId="7" borderId="75" xfId="0" applyFont="1" applyFill="1" applyBorder="1" applyAlignment="1">
      <alignment horizontal="center" vertical="center" wrapText="1"/>
    </xf>
    <xf numFmtId="0" fontId="5" fillId="7" borderId="61" xfId="0" applyFont="1" applyFill="1" applyBorder="1" applyAlignment="1">
      <alignment horizontal="center" vertical="top" wrapText="1"/>
    </xf>
    <xf numFmtId="0" fontId="5" fillId="7" borderId="61" xfId="0" applyFont="1" applyFill="1" applyBorder="1" applyAlignment="1">
      <alignment vertical="top"/>
    </xf>
    <xf numFmtId="164" fontId="6" fillId="0" borderId="75" xfId="1" applyNumberFormat="1" applyFont="1" applyFill="1" applyBorder="1" applyAlignment="1">
      <alignment vertical="center" wrapText="1"/>
    </xf>
    <xf numFmtId="0" fontId="6" fillId="0" borderId="75" xfId="0" applyFont="1" applyFill="1" applyBorder="1" applyAlignment="1">
      <alignment vertical="top" wrapText="1"/>
    </xf>
    <xf numFmtId="0" fontId="6" fillId="0" borderId="75" xfId="0" applyFont="1" applyFill="1" applyBorder="1" applyAlignment="1">
      <alignment horizontal="left" vertical="top" wrapText="1"/>
    </xf>
    <xf numFmtId="0" fontId="5" fillId="0" borderId="75" xfId="0" applyFont="1" applyFill="1" applyBorder="1" applyAlignment="1">
      <alignment horizontal="left" vertical="top" wrapText="1"/>
    </xf>
    <xf numFmtId="166" fontId="5" fillId="0" borderId="75" xfId="0" applyNumberFormat="1" applyFont="1" applyFill="1" applyBorder="1" applyAlignment="1">
      <alignment horizontal="left" vertical="top" wrapText="1"/>
    </xf>
    <xf numFmtId="1" fontId="6" fillId="0" borderId="75" xfId="0" applyNumberFormat="1" applyFont="1" applyBorder="1" applyAlignment="1">
      <alignment vertical="top" wrapText="1"/>
    </xf>
    <xf numFmtId="166" fontId="6" fillId="0" borderId="75" xfId="0" applyNumberFormat="1" applyFont="1" applyBorder="1" applyAlignment="1">
      <alignment vertical="top" wrapText="1"/>
    </xf>
    <xf numFmtId="166" fontId="5" fillId="0" borderId="75" xfId="0" applyNumberFormat="1" applyFont="1" applyBorder="1" applyAlignment="1">
      <alignment vertical="top" wrapText="1"/>
    </xf>
    <xf numFmtId="166" fontId="5" fillId="7" borderId="75" xfId="0" applyNumberFormat="1" applyFont="1" applyFill="1" applyBorder="1" applyAlignment="1">
      <alignment vertical="top" wrapText="1"/>
    </xf>
    <xf numFmtId="0" fontId="5" fillId="0" borderId="75" xfId="0" applyFont="1" applyBorder="1" applyAlignment="1">
      <alignment horizontal="left" vertical="top" wrapText="1"/>
    </xf>
    <xf numFmtId="1" fontId="5" fillId="4" borderId="75" xfId="0" applyNumberFormat="1" applyFont="1" applyFill="1" applyBorder="1" applyAlignment="1">
      <alignment vertical="top" wrapText="1"/>
    </xf>
    <xf numFmtId="0" fontId="5" fillId="4" borderId="75" xfId="0" applyFont="1" applyFill="1" applyBorder="1" applyAlignment="1">
      <alignment horizontal="left" vertical="top" wrapText="1"/>
    </xf>
    <xf numFmtId="0" fontId="5" fillId="4" borderId="75" xfId="0" applyFont="1" applyFill="1" applyBorder="1" applyAlignment="1">
      <alignment horizontal="center" vertical="center" wrapText="1"/>
    </xf>
    <xf numFmtId="0" fontId="5" fillId="4" borderId="61" xfId="0" applyFont="1" applyFill="1" applyBorder="1" applyAlignment="1">
      <alignment vertical="top"/>
    </xf>
    <xf numFmtId="0" fontId="5" fillId="4" borderId="75" xfId="0" applyFont="1" applyFill="1" applyBorder="1" applyAlignment="1">
      <alignment horizontal="center" vertical="top" wrapText="1"/>
    </xf>
    <xf numFmtId="0" fontId="6" fillId="4" borderId="75" xfId="0" applyFont="1" applyFill="1" applyBorder="1" applyAlignment="1">
      <alignment vertical="center"/>
    </xf>
    <xf numFmtId="166" fontId="6" fillId="4" borderId="75" xfId="0" applyNumberFormat="1" applyFont="1" applyFill="1" applyBorder="1" applyAlignment="1">
      <alignment horizontal="center" vertical="top" wrapText="1"/>
    </xf>
    <xf numFmtId="0" fontId="6" fillId="4" borderId="75" xfId="0" applyFont="1" applyFill="1" applyBorder="1" applyAlignment="1">
      <alignment horizontal="center" vertical="top" wrapText="1"/>
    </xf>
    <xf numFmtId="0" fontId="5" fillId="4" borderId="75" xfId="0" applyFont="1" applyFill="1" applyBorder="1" applyAlignment="1">
      <alignment vertical="top"/>
    </xf>
    <xf numFmtId="0" fontId="2" fillId="7" borderId="75" xfId="0" applyFont="1" applyFill="1" applyBorder="1" applyAlignment="1">
      <alignment vertical="top"/>
    </xf>
    <xf numFmtId="164" fontId="6" fillId="4" borderId="75" xfId="1" applyNumberFormat="1" applyFont="1" applyFill="1" applyBorder="1" applyAlignment="1">
      <alignment vertical="center" wrapText="1"/>
    </xf>
    <xf numFmtId="0" fontId="6" fillId="4" borderId="75" xfId="0" applyFont="1" applyFill="1" applyBorder="1" applyAlignment="1">
      <alignment horizontal="center" vertical="center" wrapText="1"/>
    </xf>
    <xf numFmtId="164" fontId="6" fillId="5" borderId="75" xfId="1" applyNumberFormat="1" applyFont="1" applyFill="1" applyBorder="1" applyAlignment="1">
      <alignment vertical="center" wrapText="1"/>
    </xf>
    <xf numFmtId="0" fontId="5" fillId="5" borderId="61" xfId="0" applyFont="1" applyFill="1" applyBorder="1" applyAlignment="1">
      <alignment horizontal="center" vertical="top" wrapText="1"/>
    </xf>
    <xf numFmtId="0" fontId="6" fillId="5" borderId="61" xfId="0" applyFont="1" applyFill="1" applyBorder="1" applyAlignment="1">
      <alignment vertical="center"/>
    </xf>
    <xf numFmtId="166" fontId="6" fillId="5" borderId="61" xfId="0" applyNumberFormat="1" applyFont="1" applyFill="1" applyBorder="1" applyAlignment="1">
      <alignment horizontal="center" vertical="center" wrapText="1"/>
    </xf>
    <xf numFmtId="164" fontId="6" fillId="0" borderId="61" xfId="0" applyNumberFormat="1" applyFont="1" applyBorder="1" applyAlignment="1">
      <alignment vertical="center" wrapText="1"/>
    </xf>
    <xf numFmtId="0" fontId="6" fillId="0" borderId="61" xfId="0" applyFont="1" applyBorder="1" applyAlignment="1">
      <alignment vertical="top" wrapText="1"/>
    </xf>
    <xf numFmtId="0" fontId="6" fillId="0" borderId="61" xfId="0" applyFont="1" applyBorder="1" applyAlignment="1">
      <alignment horizontal="left" vertical="top" wrapText="1"/>
    </xf>
    <xf numFmtId="0" fontId="6" fillId="0" borderId="75" xfId="0" applyFont="1" applyFill="1" applyBorder="1" applyAlignment="1">
      <alignment horizontal="center" vertical="center" wrapText="1"/>
    </xf>
    <xf numFmtId="1" fontId="5" fillId="0" borderId="75" xfId="0" applyNumberFormat="1" applyFont="1" applyBorder="1" applyAlignment="1">
      <alignment vertical="top" wrapText="1"/>
    </xf>
    <xf numFmtId="0" fontId="0" fillId="0" borderId="0" xfId="0" applyFont="1" applyFill="1" applyAlignment="1">
      <alignment vertical="top"/>
    </xf>
    <xf numFmtId="1" fontId="6" fillId="7" borderId="75" xfId="0" applyNumberFormat="1" applyFont="1" applyFill="1" applyBorder="1" applyAlignment="1">
      <alignment vertical="top" wrapText="1"/>
    </xf>
    <xf numFmtId="164" fontId="6" fillId="7" borderId="75" xfId="1" applyNumberFormat="1" applyFont="1" applyFill="1" applyBorder="1" applyAlignment="1">
      <alignment horizontal="center" vertical="center" wrapText="1"/>
    </xf>
    <xf numFmtId="164" fontId="6" fillId="0" borderId="75" xfId="0" applyNumberFormat="1" applyFont="1" applyBorder="1" applyAlignment="1">
      <alignment vertical="center" wrapText="1"/>
    </xf>
    <xf numFmtId="0" fontId="6" fillId="0" borderId="75" xfId="0" applyFont="1" applyBorder="1" applyAlignment="1">
      <alignment horizontal="left" vertical="top" wrapText="1"/>
    </xf>
    <xf numFmtId="166" fontId="5" fillId="0" borderId="75" xfId="0" applyNumberFormat="1" applyFont="1" applyBorder="1" applyAlignment="1">
      <alignment horizontal="left" vertical="top" wrapText="1"/>
    </xf>
    <xf numFmtId="164" fontId="6" fillId="0" borderId="61" xfId="3" applyNumberFormat="1" applyFont="1" applyFill="1" applyBorder="1" applyAlignment="1">
      <alignment vertical="center" wrapText="1"/>
    </xf>
    <xf numFmtId="164" fontId="6" fillId="0" borderId="61" xfId="3" applyNumberFormat="1" applyFont="1" applyFill="1" applyBorder="1" applyAlignment="1">
      <alignment horizontal="center" vertical="center" wrapText="1"/>
    </xf>
    <xf numFmtId="164" fontId="5" fillId="0" borderId="61" xfId="3" applyNumberFormat="1" applyFont="1" applyFill="1" applyBorder="1" applyAlignment="1">
      <alignment horizontal="center" vertical="center" wrapText="1"/>
    </xf>
    <xf numFmtId="0" fontId="5" fillId="0" borderId="61" xfId="0" applyFont="1" applyBorder="1" applyAlignment="1">
      <alignment horizontal="center" vertical="top" wrapText="1"/>
    </xf>
    <xf numFmtId="0" fontId="5" fillId="0" borderId="75" xfId="0" applyFont="1" applyFill="1" applyBorder="1" applyAlignment="1">
      <alignment horizontal="right" vertical="center"/>
    </xf>
    <xf numFmtId="0" fontId="5" fillId="0" borderId="75" xfId="0" applyNumberFormat="1" applyFont="1" applyFill="1" applyBorder="1" applyAlignment="1">
      <alignment horizontal="center" vertical="center" wrapText="1"/>
    </xf>
    <xf numFmtId="0" fontId="5" fillId="0" borderId="75" xfId="0" applyFont="1" applyFill="1" applyBorder="1" applyAlignment="1">
      <alignment horizontal="right" vertical="center" wrapText="1"/>
    </xf>
    <xf numFmtId="164" fontId="6" fillId="0" borderId="75" xfId="3" applyNumberFormat="1" applyFont="1" applyFill="1" applyBorder="1" applyAlignment="1">
      <alignment vertical="center" wrapText="1"/>
    </xf>
    <xf numFmtId="166" fontId="5" fillId="7" borderId="75" xfId="0" applyNumberFormat="1" applyFont="1" applyFill="1" applyBorder="1" applyAlignment="1">
      <alignment horizontal="center" vertical="top" wrapText="1"/>
    </xf>
    <xf numFmtId="1" fontId="5" fillId="5" borderId="75" xfId="0" applyNumberFormat="1" applyFont="1" applyFill="1" applyBorder="1" applyAlignment="1">
      <alignment vertical="top" wrapText="1"/>
    </xf>
    <xf numFmtId="166" fontId="6" fillId="5" borderId="75" xfId="0" applyNumberFormat="1" applyFont="1" applyFill="1" applyBorder="1" applyAlignment="1">
      <alignment horizontal="center" vertical="top" wrapText="1"/>
    </xf>
    <xf numFmtId="0" fontId="5" fillId="5" borderId="61" xfId="0" applyFont="1" applyFill="1" applyBorder="1" applyAlignment="1">
      <alignment vertical="top"/>
    </xf>
    <xf numFmtId="0" fontId="5" fillId="4" borderId="61" xfId="0" applyFont="1" applyFill="1" applyBorder="1" applyAlignment="1">
      <alignment horizontal="center" vertical="center" wrapText="1"/>
    </xf>
    <xf numFmtId="0" fontId="5" fillId="4" borderId="61" xfId="0" applyFont="1" applyFill="1" applyBorder="1" applyAlignment="1">
      <alignment horizontal="center" vertical="center"/>
    </xf>
    <xf numFmtId="0" fontId="6" fillId="4" borderId="61" xfId="0" applyFont="1" applyFill="1" applyBorder="1" applyAlignment="1">
      <alignment horizontal="center" vertical="center" wrapText="1"/>
    </xf>
    <xf numFmtId="166" fontId="5" fillId="5" borderId="75" xfId="0" applyNumberFormat="1" applyFont="1" applyFill="1" applyBorder="1" applyAlignment="1">
      <alignment horizontal="center" vertical="top" wrapText="1"/>
    </xf>
    <xf numFmtId="0" fontId="5" fillId="5" borderId="75" xfId="0" applyFont="1" applyFill="1" applyBorder="1" applyAlignment="1">
      <alignment vertical="top"/>
    </xf>
    <xf numFmtId="0" fontId="6" fillId="0" borderId="75" xfId="0" applyFont="1" applyFill="1" applyBorder="1" applyAlignment="1">
      <alignment horizontal="center" vertical="top" wrapText="1"/>
    </xf>
    <xf numFmtId="0" fontId="5" fillId="2" borderId="75" xfId="0" applyFont="1" applyFill="1" applyBorder="1" applyAlignment="1">
      <alignment horizontal="left" vertical="top"/>
    </xf>
    <xf numFmtId="0" fontId="0" fillId="0" borderId="75" xfId="0" applyFont="1" applyFill="1" applyBorder="1" applyAlignment="1">
      <alignment horizontal="center" vertical="center"/>
    </xf>
    <xf numFmtId="0" fontId="5" fillId="0" borderId="75" xfId="0" applyFont="1" applyBorder="1" applyAlignment="1">
      <alignment vertical="top"/>
    </xf>
    <xf numFmtId="166" fontId="5" fillId="4" borderId="75" xfId="0" applyNumberFormat="1" applyFont="1" applyFill="1" applyBorder="1" applyAlignment="1">
      <alignment vertical="top" wrapText="1"/>
    </xf>
    <xf numFmtId="1" fontId="5" fillId="4" borderId="61" xfId="0" applyNumberFormat="1" applyFont="1" applyFill="1" applyBorder="1" applyAlignment="1">
      <alignment horizontal="center" vertical="center" wrapText="1"/>
    </xf>
    <xf numFmtId="0" fontId="5" fillId="4" borderId="61" xfId="0" applyFont="1" applyFill="1" applyBorder="1" applyAlignment="1">
      <alignment horizontal="center" vertical="top" wrapText="1"/>
    </xf>
    <xf numFmtId="0" fontId="6" fillId="7" borderId="75" xfId="0" applyFont="1" applyFill="1" applyBorder="1" applyAlignment="1">
      <alignment horizontal="center" vertical="top"/>
    </xf>
    <xf numFmtId="0" fontId="5" fillId="7" borderId="75" xfId="0" applyFont="1" applyFill="1" applyBorder="1" applyAlignment="1">
      <alignment horizontal="center" vertical="center"/>
    </xf>
    <xf numFmtId="0" fontId="5" fillId="0" borderId="61" xfId="0" applyFont="1" applyFill="1" applyBorder="1" applyAlignment="1">
      <alignment horizontal="justify" vertical="center" wrapText="1"/>
    </xf>
    <xf numFmtId="0" fontId="0" fillId="0" borderId="61" xfId="0" applyFont="1" applyFill="1" applyBorder="1" applyAlignment="1">
      <alignment horizontal="center" vertical="top"/>
    </xf>
    <xf numFmtId="0" fontId="5" fillId="0" borderId="61" xfId="0" applyFont="1" applyFill="1" applyBorder="1" applyAlignment="1">
      <alignment horizontal="left" vertical="top" wrapText="1"/>
    </xf>
    <xf numFmtId="0" fontId="5" fillId="0" borderId="75" xfId="0" applyFont="1" applyFill="1" applyBorder="1" applyAlignment="1">
      <alignment horizontal="center"/>
    </xf>
    <xf numFmtId="0" fontId="5" fillId="0" borderId="61" xfId="0" applyFont="1" applyFill="1" applyBorder="1" applyAlignment="1">
      <alignment horizontal="center"/>
    </xf>
    <xf numFmtId="0" fontId="5" fillId="0" borderId="61" xfId="0" applyFont="1" applyFill="1" applyBorder="1" applyAlignment="1">
      <alignment wrapText="1"/>
    </xf>
    <xf numFmtId="0" fontId="6" fillId="0" borderId="61" xfId="0" applyFont="1" applyFill="1" applyBorder="1" applyAlignment="1">
      <alignment wrapText="1"/>
    </xf>
    <xf numFmtId="165" fontId="5" fillId="0" borderId="61" xfId="0" applyNumberFormat="1" applyFont="1" applyFill="1" applyBorder="1" applyAlignment="1">
      <alignment wrapText="1"/>
    </xf>
    <xf numFmtId="0" fontId="0" fillId="0" borderId="75" xfId="0" applyFont="1" applyFill="1" applyBorder="1"/>
    <xf numFmtId="0" fontId="5" fillId="0" borderId="61" xfId="0" quotePrefix="1" applyFont="1" applyFill="1" applyBorder="1" applyAlignment="1"/>
    <xf numFmtId="0" fontId="0" fillId="0" borderId="75" xfId="0" applyFont="1" applyFill="1" applyBorder="1" applyAlignment="1">
      <alignment horizontal="center" wrapText="1"/>
    </xf>
    <xf numFmtId="0" fontId="5" fillId="0" borderId="61" xfId="0" quotePrefix="1" applyFont="1" applyFill="1" applyBorder="1" applyAlignment="1">
      <alignment horizontal="left"/>
    </xf>
    <xf numFmtId="166" fontId="5" fillId="5" borderId="75" xfId="0" applyNumberFormat="1" applyFont="1" applyFill="1" applyBorder="1" applyAlignment="1">
      <alignment vertical="top" wrapText="1"/>
    </xf>
    <xf numFmtId="166" fontId="5" fillId="6" borderId="75" xfId="0" applyNumberFormat="1" applyFont="1" applyFill="1" applyBorder="1" applyAlignment="1">
      <alignment horizontal="left" vertical="top" wrapText="1"/>
    </xf>
    <xf numFmtId="0" fontId="6" fillId="4" borderId="61" xfId="0" applyFont="1" applyFill="1" applyBorder="1" applyAlignment="1">
      <alignment horizontal="center"/>
    </xf>
    <xf numFmtId="0" fontId="6" fillId="4" borderId="61" xfId="0" applyFont="1" applyFill="1" applyBorder="1" applyAlignment="1">
      <alignment wrapText="1"/>
    </xf>
    <xf numFmtId="0" fontId="0" fillId="4" borderId="0" xfId="0" applyFont="1" applyFill="1"/>
    <xf numFmtId="0" fontId="6" fillId="4" borderId="75" xfId="0" applyFont="1" applyFill="1" applyBorder="1" applyAlignment="1">
      <alignment horizontal="center"/>
    </xf>
    <xf numFmtId="0" fontId="6" fillId="4" borderId="75" xfId="0" applyFont="1" applyFill="1" applyBorder="1" applyAlignment="1">
      <alignment wrapText="1"/>
    </xf>
    <xf numFmtId="0" fontId="6" fillId="6" borderId="53" xfId="0" applyFont="1" applyFill="1" applyBorder="1" applyAlignment="1">
      <alignment wrapText="1"/>
    </xf>
    <xf numFmtId="0" fontId="6" fillId="6" borderId="79" xfId="0" applyFont="1" applyFill="1" applyBorder="1" applyAlignment="1">
      <alignment wrapText="1"/>
    </xf>
    <xf numFmtId="0" fontId="6" fillId="8" borderId="79" xfId="0" applyFont="1" applyFill="1" applyBorder="1" applyAlignment="1">
      <alignment wrapText="1"/>
    </xf>
    <xf numFmtId="0" fontId="6" fillId="5" borderId="75" xfId="0" applyFont="1" applyFill="1" applyBorder="1" applyAlignment="1">
      <alignment wrapText="1"/>
    </xf>
    <xf numFmtId="1" fontId="5" fillId="4" borderId="9" xfId="0" applyNumberFormat="1" applyFont="1" applyFill="1" applyBorder="1" applyAlignment="1">
      <alignment vertical="top" wrapText="1"/>
    </xf>
    <xf numFmtId="166" fontId="6" fillId="6" borderId="79" xfId="0" applyNumberFormat="1" applyFont="1" applyFill="1" applyBorder="1" applyAlignment="1">
      <alignment horizontal="center" vertical="top" wrapText="1"/>
    </xf>
    <xf numFmtId="0" fontId="6" fillId="6" borderId="79" xfId="0" applyFont="1" applyFill="1" applyBorder="1" applyAlignment="1">
      <alignment horizontal="center" vertical="center" wrapText="1"/>
    </xf>
    <xf numFmtId="0" fontId="5" fillId="6" borderId="79" xfId="0" applyFont="1" applyFill="1" applyBorder="1" applyAlignment="1">
      <alignment horizontal="center" vertical="center" wrapText="1"/>
    </xf>
    <xf numFmtId="0" fontId="6" fillId="6" borderId="79" xfId="0" applyFont="1" applyFill="1" applyBorder="1" applyAlignment="1">
      <alignment horizontal="center"/>
    </xf>
    <xf numFmtId="1" fontId="6" fillId="0" borderId="61" xfId="0" applyNumberFormat="1" applyFont="1" applyFill="1" applyBorder="1" applyAlignment="1">
      <alignment vertical="top" wrapText="1"/>
    </xf>
    <xf numFmtId="0" fontId="6" fillId="0" borderId="61" xfId="0" applyFont="1" applyFill="1" applyBorder="1" applyAlignment="1">
      <alignment horizontal="justify" vertical="center" wrapText="1"/>
    </xf>
    <xf numFmtId="1" fontId="5" fillId="0" borderId="61" xfId="0" applyNumberFormat="1" applyFont="1" applyFill="1" applyBorder="1" applyAlignment="1">
      <alignment vertical="top" wrapText="1"/>
    </xf>
    <xf numFmtId="0" fontId="0" fillId="0" borderId="0" xfId="0" applyFont="1" applyFill="1" applyAlignment="1">
      <alignment horizontal="center"/>
    </xf>
    <xf numFmtId="0" fontId="6" fillId="0" borderId="0" xfId="0" applyFont="1" applyFill="1" applyAlignment="1">
      <alignment horizontal="center" wrapText="1"/>
    </xf>
    <xf numFmtId="0" fontId="5" fillId="0" borderId="0" xfId="0" applyFont="1" applyFill="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0" fontId="6" fillId="0" borderId="0" xfId="0" applyFont="1" applyFill="1" applyAlignment="1">
      <alignment horizontal="center" wrapText="1"/>
    </xf>
    <xf numFmtId="0" fontId="5" fillId="0" borderId="61" xfId="0" applyFont="1" applyFill="1" applyBorder="1" applyAlignment="1">
      <alignment horizontal="center" vertical="center" wrapText="1"/>
    </xf>
    <xf numFmtId="0" fontId="5" fillId="0" borderId="0" xfId="0" applyFont="1" applyFill="1" applyAlignment="1">
      <alignment horizontal="center"/>
    </xf>
    <xf numFmtId="0" fontId="6" fillId="0" borderId="0" xfId="0" applyFont="1" applyFill="1" applyAlignment="1">
      <alignment horizontal="center"/>
    </xf>
    <xf numFmtId="0" fontId="6" fillId="0" borderId="75" xfId="0" applyFont="1" applyFill="1" applyBorder="1" applyAlignment="1">
      <alignment vertical="top"/>
    </xf>
    <xf numFmtId="0" fontId="50" fillId="0" borderId="9" xfId="0" applyNumberFormat="1" applyFont="1" applyFill="1" applyBorder="1" applyAlignment="1" applyProtection="1">
      <alignment wrapText="1"/>
    </xf>
    <xf numFmtId="0" fontId="43" fillId="0" borderId="9" xfId="0" applyFont="1" applyFill="1" applyBorder="1" applyAlignment="1">
      <alignment vertical="center" wrapText="1"/>
    </xf>
    <xf numFmtId="0" fontId="43" fillId="0" borderId="75" xfId="0" applyFont="1" applyFill="1" applyBorder="1" applyAlignment="1">
      <alignment vertical="center" wrapText="1"/>
    </xf>
    <xf numFmtId="166" fontId="6" fillId="0" borderId="75" xfId="0" applyNumberFormat="1" applyFont="1" applyFill="1" applyBorder="1" applyAlignment="1">
      <alignment horizontal="left" vertical="top" wrapText="1"/>
    </xf>
    <xf numFmtId="0" fontId="5" fillId="0" borderId="0" xfId="0" applyFont="1" applyFill="1" applyBorder="1" applyAlignment="1">
      <alignment horizontal="center" vertical="top" wrapText="1"/>
    </xf>
    <xf numFmtId="0" fontId="6" fillId="4" borderId="75" xfId="0" applyFont="1" applyFill="1" applyBorder="1" applyAlignment="1">
      <alignment horizontal="left" vertical="top" wrapText="1"/>
    </xf>
    <xf numFmtId="166" fontId="6" fillId="0" borderId="75" xfId="0" applyNumberFormat="1" applyFont="1" applyBorder="1" applyAlignment="1">
      <alignment horizontal="left" vertical="top" wrapText="1"/>
    </xf>
    <xf numFmtId="164" fontId="6" fillId="0" borderId="75" xfId="3" applyNumberFormat="1" applyFont="1" applyFill="1" applyBorder="1" applyAlignment="1">
      <alignment horizontal="center" vertical="center" wrapText="1"/>
    </xf>
    <xf numFmtId="164" fontId="5" fillId="0" borderId="75" xfId="3" applyNumberFormat="1" applyFont="1" applyFill="1" applyBorder="1" applyAlignment="1">
      <alignment horizontal="center" vertical="center" wrapText="1"/>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25" fillId="0" borderId="0" xfId="0" applyFont="1" applyBorder="1" applyAlignment="1">
      <alignment vertical="center" wrapText="1"/>
    </xf>
    <xf numFmtId="0" fontId="24" fillId="0" borderId="0" xfId="0" applyFont="1" applyBorder="1" applyAlignment="1">
      <alignment vertical="center" wrapText="1"/>
    </xf>
    <xf numFmtId="0" fontId="51" fillId="0" borderId="0" xfId="0" applyFont="1" applyBorder="1" applyAlignment="1">
      <alignment horizontal="center" vertical="center"/>
    </xf>
    <xf numFmtId="0" fontId="51" fillId="0" borderId="0" xfId="0" applyFont="1" applyBorder="1" applyAlignment="1">
      <alignment vertical="center"/>
    </xf>
    <xf numFmtId="0" fontId="5" fillId="0" borderId="61" xfId="0" applyFont="1" applyFill="1" applyBorder="1" applyAlignment="1">
      <alignment horizontal="center" vertical="center" wrapText="1"/>
    </xf>
    <xf numFmtId="0" fontId="1" fillId="0" borderId="0" xfId="0" applyFont="1" applyAlignment="1">
      <alignment vertical="top"/>
    </xf>
    <xf numFmtId="0" fontId="22" fillId="0" borderId="0" xfId="0" applyFont="1" applyAlignment="1">
      <alignment horizontal="right"/>
    </xf>
    <xf numFmtId="0" fontId="5" fillId="0" borderId="61" xfId="0" applyFont="1" applyFill="1" applyBorder="1" applyAlignment="1">
      <alignment horizontal="center" vertical="center" wrapText="1"/>
    </xf>
    <xf numFmtId="0" fontId="5" fillId="0" borderId="65" xfId="0" applyFont="1" applyBorder="1" applyAlignment="1">
      <alignment horizontal="center" vertical="center" wrapText="1"/>
    </xf>
    <xf numFmtId="0" fontId="6" fillId="0" borderId="65" xfId="0" applyFont="1" applyBorder="1" applyAlignment="1">
      <alignment vertical="center" wrapText="1"/>
    </xf>
    <xf numFmtId="0" fontId="5" fillId="0" borderId="65" xfId="0" applyFont="1" applyBorder="1" applyAlignment="1">
      <alignment vertical="center" wrapText="1"/>
    </xf>
    <xf numFmtId="0" fontId="2" fillId="0" borderId="5" xfId="0" applyFont="1" applyBorder="1" applyAlignment="1">
      <alignment vertical="center"/>
    </xf>
    <xf numFmtId="0" fontId="6" fillId="0" borderId="65" xfId="0" applyFont="1" applyBorder="1" applyAlignment="1">
      <alignment horizontal="center" vertical="center" wrapText="1"/>
    </xf>
    <xf numFmtId="0" fontId="25" fillId="0" borderId="37" xfId="0" applyFont="1" applyBorder="1" applyAlignment="1">
      <alignment vertical="center" wrapText="1"/>
    </xf>
    <xf numFmtId="0" fontId="22" fillId="0" borderId="0" xfId="0" applyFont="1" applyAlignment="1">
      <alignment horizontal="center" vertical="center"/>
    </xf>
    <xf numFmtId="0" fontId="22" fillId="0" borderId="0" xfId="0" applyFont="1" applyFill="1" applyAlignment="1">
      <alignment horizontal="center"/>
    </xf>
    <xf numFmtId="0" fontId="21" fillId="0" borderId="0" xfId="0" applyFont="1" applyAlignment="1">
      <alignment horizontal="center"/>
    </xf>
    <xf numFmtId="164" fontId="22" fillId="0" borderId="11" xfId="1" applyNumberFormat="1" applyFont="1" applyBorder="1" applyAlignment="1">
      <alignment horizontal="center" vertical="center" wrapText="1"/>
    </xf>
    <xf numFmtId="0" fontId="21" fillId="0" borderId="0" xfId="0" applyFont="1" applyFill="1" applyAlignment="1">
      <alignment horizontal="center"/>
    </xf>
    <xf numFmtId="0" fontId="22" fillId="0" borderId="0" xfId="0" applyFont="1" applyAlignment="1">
      <alignment vertical="center"/>
    </xf>
    <xf numFmtId="0" fontId="5" fillId="0" borderId="61" xfId="0" applyFont="1" applyFill="1" applyBorder="1" applyAlignment="1">
      <alignment horizontal="center" vertical="center" wrapText="1"/>
    </xf>
    <xf numFmtId="0" fontId="12" fillId="0" borderId="0" xfId="0" applyFont="1" applyAlignment="1">
      <alignment horizontal="center"/>
    </xf>
    <xf numFmtId="0" fontId="14" fillId="0" borderId="0" xfId="0" applyFont="1" applyAlignment="1">
      <alignment horizontal="right" vertical="center"/>
    </xf>
    <xf numFmtId="0" fontId="22" fillId="0" borderId="1" xfId="0" applyFont="1" applyBorder="1" applyAlignment="1">
      <alignment horizontal="justify" vertical="top" wrapText="1"/>
    </xf>
    <xf numFmtId="0" fontId="22" fillId="0" borderId="27" xfId="0" applyFont="1" applyBorder="1" applyAlignment="1">
      <alignment horizontal="justify" vertical="center" wrapText="1"/>
    </xf>
    <xf numFmtId="0" fontId="6" fillId="0" borderId="27" xfId="0" applyFont="1" applyBorder="1" applyAlignment="1">
      <alignment horizontal="justify" vertical="center" wrapText="1"/>
    </xf>
    <xf numFmtId="0" fontId="22" fillId="0" borderId="29" xfId="0" applyFont="1" applyBorder="1" applyAlignment="1">
      <alignment horizontal="left" vertical="center" wrapText="1"/>
    </xf>
    <xf numFmtId="0" fontId="21" fillId="0" borderId="81" xfId="0" applyFont="1" applyBorder="1" applyAlignment="1">
      <alignment horizontal="left" vertical="center" wrapText="1"/>
    </xf>
    <xf numFmtId="0" fontId="2" fillId="0" borderId="0" xfId="0" applyFont="1" applyAlignment="1">
      <alignment horizontal="center" vertical="top"/>
    </xf>
    <xf numFmtId="0" fontId="5" fillId="0" borderId="27"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22" fillId="0" borderId="49" xfId="0" applyFont="1" applyFill="1" applyBorder="1" applyAlignment="1">
      <alignment horizontal="center" vertical="center" wrapText="1"/>
    </xf>
    <xf numFmtId="164" fontId="22" fillId="0" borderId="39" xfId="1" applyNumberFormat="1" applyFont="1" applyFill="1" applyBorder="1" applyAlignment="1">
      <alignment horizontal="center" vertical="center" wrapText="1"/>
    </xf>
    <xf numFmtId="164" fontId="22" fillId="0" borderId="9" xfId="1" applyNumberFormat="1" applyFont="1" applyFill="1" applyBorder="1" applyAlignment="1">
      <alignment horizontal="center" vertical="center" wrapText="1"/>
    </xf>
    <xf numFmtId="164" fontId="22" fillId="0" borderId="65" xfId="1" applyNumberFormat="1" applyFont="1" applyFill="1" applyBorder="1" applyAlignment="1">
      <alignment horizontal="center" vertical="center" wrapText="1"/>
    </xf>
    <xf numFmtId="49" fontId="22" fillId="0" borderId="75" xfId="1" quotePrefix="1" applyNumberFormat="1" applyFont="1" applyFill="1" applyBorder="1" applyAlignment="1">
      <alignment horizontal="center" vertical="center" wrapText="1"/>
    </xf>
    <xf numFmtId="49" fontId="22" fillId="0" borderId="75" xfId="1" applyNumberFormat="1" applyFont="1" applyFill="1" applyBorder="1" applyAlignment="1">
      <alignment horizontal="center" vertical="center" wrapText="1"/>
    </xf>
    <xf numFmtId="49" fontId="29" fillId="0" borderId="75" xfId="1" applyNumberFormat="1" applyFont="1" applyFill="1" applyBorder="1" applyAlignment="1">
      <alignment horizontal="center" vertical="center" wrapText="1"/>
    </xf>
    <xf numFmtId="0" fontId="21" fillId="0" borderId="0" xfId="0" quotePrefix="1" applyFont="1" applyFill="1" applyAlignment="1">
      <alignment horizontal="left"/>
    </xf>
    <xf numFmtId="165" fontId="21" fillId="0" borderId="0" xfId="0" applyNumberFormat="1" applyFont="1" applyFill="1" applyAlignment="1">
      <alignment wrapText="1"/>
    </xf>
    <xf numFmtId="0" fontId="21" fillId="0" borderId="0" xfId="0" quotePrefix="1" applyFont="1" applyFill="1" applyAlignment="1"/>
    <xf numFmtId="0" fontId="5" fillId="0" borderId="61" xfId="0"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vertical="center"/>
    </xf>
    <xf numFmtId="0" fontId="6" fillId="0" borderId="0" xfId="0" applyFont="1" applyAlignment="1">
      <alignment horizontal="center" vertical="center" wrapText="1"/>
    </xf>
    <xf numFmtId="0" fontId="35" fillId="0" borderId="0" xfId="0" applyFont="1" applyBorder="1" applyAlignment="1">
      <alignment horizontal="center" vertical="center"/>
    </xf>
    <xf numFmtId="164" fontId="6" fillId="0" borderId="38" xfId="1" applyNumberFormat="1" applyFont="1" applyBorder="1" applyAlignment="1">
      <alignment horizontal="center" vertical="center" wrapText="1"/>
    </xf>
    <xf numFmtId="164" fontId="6" fillId="0" borderId="39" xfId="1" applyNumberFormat="1" applyFont="1" applyBorder="1" applyAlignment="1">
      <alignment horizontal="center" vertical="center" wrapText="1"/>
    </xf>
    <xf numFmtId="164" fontId="6" fillId="0" borderId="76" xfId="1" applyNumberFormat="1" applyFont="1" applyBorder="1" applyAlignment="1">
      <alignment horizontal="center" vertical="center" wrapText="1"/>
    </xf>
    <xf numFmtId="0" fontId="5" fillId="0" borderId="0" xfId="0" applyFont="1" applyBorder="1" applyAlignment="1">
      <alignment horizontal="center" vertical="center" wrapText="1"/>
    </xf>
    <xf numFmtId="0" fontId="0" fillId="0" borderId="0" xfId="0" applyFont="1" applyBorder="1" applyAlignment="1">
      <alignment vertical="center"/>
    </xf>
    <xf numFmtId="0" fontId="5" fillId="0" borderId="0" xfId="0" applyFont="1" applyBorder="1" applyAlignment="1">
      <alignment vertical="center" wrapText="1"/>
    </xf>
    <xf numFmtId="0" fontId="35" fillId="0" borderId="0" xfId="0" applyFont="1" applyBorder="1" applyAlignment="1">
      <alignment vertical="center" wrapText="1"/>
    </xf>
    <xf numFmtId="0" fontId="0" fillId="0" borderId="0" xfId="0" applyFont="1" applyBorder="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vertical="center" wrapText="1"/>
    </xf>
    <xf numFmtId="0" fontId="5" fillId="0" borderId="0" xfId="0" applyFont="1" applyBorder="1" applyAlignment="1">
      <alignment horizontal="left" vertical="center" wrapText="1"/>
    </xf>
    <xf numFmtId="0" fontId="6" fillId="0" borderId="0" xfId="0" applyFont="1" applyBorder="1" applyAlignment="1">
      <alignment horizontal="center" vertical="center" wrapText="1"/>
    </xf>
    <xf numFmtId="165" fontId="5" fillId="0" borderId="0" xfId="0" applyNumberFormat="1" applyFont="1" applyBorder="1" applyAlignment="1">
      <alignment vertical="center" wrapText="1"/>
    </xf>
    <xf numFmtId="0" fontId="6" fillId="0" borderId="0" xfId="0" applyFont="1" applyBorder="1" applyAlignment="1">
      <alignment horizontal="center" vertical="center"/>
    </xf>
    <xf numFmtId="0" fontId="0" fillId="0" borderId="0" xfId="0" applyFont="1" applyAlignment="1">
      <alignment horizontal="center" vertical="center"/>
    </xf>
    <xf numFmtId="0" fontId="13" fillId="0" borderId="88" xfId="0" applyFont="1" applyBorder="1" applyAlignment="1">
      <alignment horizontal="center" vertical="top" wrapText="1"/>
    </xf>
    <xf numFmtId="0" fontId="13" fillId="0" borderId="85" xfId="0" applyFont="1" applyBorder="1" applyAlignment="1">
      <alignment horizontal="justify" vertical="top" wrapText="1"/>
    </xf>
    <xf numFmtId="0" fontId="12" fillId="0" borderId="88" xfId="0" applyFont="1" applyBorder="1" applyAlignment="1">
      <alignment horizontal="center" vertical="top" wrapText="1"/>
    </xf>
    <xf numFmtId="0" fontId="5" fillId="0" borderId="0" xfId="0" applyFont="1" applyAlignment="1">
      <alignment horizontal="justify" vertical="center"/>
    </xf>
    <xf numFmtId="0" fontId="12" fillId="0" borderId="85" xfId="0" applyFont="1" applyBorder="1" applyAlignment="1">
      <alignment horizontal="justify" vertical="top" wrapText="1"/>
    </xf>
    <xf numFmtId="0" fontId="12" fillId="0" borderId="88" xfId="5" applyFont="1" applyBorder="1" applyAlignment="1">
      <alignment horizontal="center" vertical="top" wrapText="1"/>
    </xf>
    <xf numFmtId="0" fontId="12" fillId="0" borderId="85" xfId="5" applyFont="1" applyBorder="1" applyAlignment="1">
      <alignment horizontal="justify" vertical="top" wrapText="1"/>
    </xf>
    <xf numFmtId="164" fontId="13" fillId="0" borderId="10" xfId="1" applyNumberFormat="1" applyFont="1" applyBorder="1" applyAlignment="1">
      <alignment horizontal="center" vertical="center" wrapText="1"/>
    </xf>
    <xf numFmtId="164" fontId="13" fillId="0" borderId="11" xfId="1" applyNumberFormat="1" applyFont="1" applyBorder="1" applyAlignment="1">
      <alignment horizontal="center" vertical="center" wrapText="1"/>
    </xf>
    <xf numFmtId="164" fontId="13" fillId="0" borderId="12" xfId="1" applyNumberFormat="1" applyFont="1" applyBorder="1" applyAlignment="1">
      <alignment horizontal="center" vertical="center" wrapText="1"/>
    </xf>
    <xf numFmtId="0" fontId="13" fillId="0" borderId="84" xfId="0" applyFont="1" applyBorder="1" applyAlignment="1">
      <alignment horizontal="center" vertical="top" wrapText="1"/>
    </xf>
    <xf numFmtId="0" fontId="13" fillId="0" borderId="86" xfId="0" applyFont="1" applyBorder="1" applyAlignment="1">
      <alignment horizontal="justify" vertical="top" wrapText="1"/>
    </xf>
    <xf numFmtId="0" fontId="13" fillId="0" borderId="87" xfId="0" applyFont="1" applyBorder="1" applyAlignment="1">
      <alignment vertical="top"/>
    </xf>
    <xf numFmtId="0" fontId="48" fillId="0" borderId="88" xfId="0" applyFont="1" applyBorder="1" applyAlignment="1">
      <alignment horizontal="center" vertical="top" wrapText="1"/>
    </xf>
    <xf numFmtId="0" fontId="48" fillId="0" borderId="85" xfId="0" applyFont="1" applyBorder="1" applyAlignment="1">
      <alignment horizontal="justify" vertical="top" wrapText="1"/>
    </xf>
    <xf numFmtId="0" fontId="47" fillId="0" borderId="89" xfId="0" applyFont="1" applyBorder="1" applyAlignment="1">
      <alignment vertical="top"/>
    </xf>
    <xf numFmtId="9" fontId="13" fillId="0" borderId="75" xfId="0" applyNumberFormat="1" applyFont="1" applyBorder="1" applyAlignment="1">
      <alignment vertical="top"/>
    </xf>
    <xf numFmtId="9" fontId="13" fillId="0" borderId="89" xfId="0" applyNumberFormat="1" applyFont="1" applyBorder="1" applyAlignment="1">
      <alignment vertical="top"/>
    </xf>
    <xf numFmtId="0" fontId="47" fillId="0" borderId="88" xfId="0" applyFont="1" applyBorder="1" applyAlignment="1">
      <alignment horizontal="center" vertical="top" wrapText="1"/>
    </xf>
    <xf numFmtId="0" fontId="47" fillId="0" borderId="85" xfId="0" applyFont="1" applyBorder="1" applyAlignment="1">
      <alignment horizontal="justify" vertical="top" wrapText="1"/>
    </xf>
    <xf numFmtId="0" fontId="48" fillId="0" borderId="89" xfId="0" applyFont="1" applyBorder="1" applyAlignment="1">
      <alignment vertical="top"/>
    </xf>
    <xf numFmtId="0" fontId="12" fillId="0" borderId="89" xfId="0" applyFont="1" applyBorder="1" applyAlignment="1">
      <alignment vertical="top"/>
    </xf>
    <xf numFmtId="0" fontId="12" fillId="0" borderId="89" xfId="5" applyFont="1" applyBorder="1" applyAlignment="1">
      <alignment vertical="top"/>
    </xf>
    <xf numFmtId="0" fontId="13" fillId="0" borderId="31" xfId="0" applyFont="1" applyBorder="1" applyAlignment="1">
      <alignment horizontal="center" vertical="top" wrapText="1"/>
    </xf>
    <xf numFmtId="0" fontId="13" fillId="0" borderId="32" xfId="0" applyFont="1" applyBorder="1" applyAlignment="1">
      <alignment horizontal="justify" vertical="top" wrapText="1"/>
    </xf>
    <xf numFmtId="0" fontId="12" fillId="0" borderId="33" xfId="0" applyFont="1" applyBorder="1" applyAlignment="1">
      <alignment vertical="top"/>
    </xf>
    <xf numFmtId="0" fontId="13" fillId="0" borderId="86" xfId="0" applyFont="1" applyBorder="1" applyAlignment="1">
      <alignment vertical="top" wrapText="1"/>
    </xf>
    <xf numFmtId="0" fontId="47" fillId="0" borderId="85" xfId="0" applyFont="1" applyBorder="1" applyAlignment="1">
      <alignment vertical="top" wrapText="1"/>
    </xf>
    <xf numFmtId="3" fontId="12" fillId="0" borderId="75" xfId="0" applyNumberFormat="1" applyFont="1" applyBorder="1" applyAlignment="1">
      <alignment vertical="top" wrapText="1"/>
    </xf>
    <xf numFmtId="3" fontId="12" fillId="0" borderId="85" xfId="0" applyNumberFormat="1" applyFont="1" applyBorder="1" applyAlignment="1">
      <alignment vertical="top" wrapText="1"/>
    </xf>
    <xf numFmtId="0" fontId="5" fillId="0" borderId="0" xfId="0" applyFont="1" applyAlignment="1"/>
    <xf numFmtId="0" fontId="48" fillId="0" borderId="85" xfId="0" applyFont="1" applyBorder="1" applyAlignment="1">
      <alignment vertical="top" wrapText="1"/>
    </xf>
    <xf numFmtId="0" fontId="12" fillId="0" borderId="85" xfId="0" applyFont="1" applyBorder="1" applyAlignment="1">
      <alignment vertical="top" wrapText="1"/>
    </xf>
    <xf numFmtId="3" fontId="12" fillId="0" borderId="85" xfId="5" applyNumberFormat="1" applyFont="1" applyBorder="1" applyAlignment="1">
      <alignment vertical="top" wrapText="1"/>
    </xf>
    <xf numFmtId="3" fontId="12" fillId="0" borderId="32" xfId="0" applyNumberFormat="1" applyFont="1" applyBorder="1" applyAlignment="1">
      <alignment vertical="top" wrapText="1"/>
    </xf>
    <xf numFmtId="0" fontId="13" fillId="0" borderId="0" xfId="0" applyFont="1" applyAlignment="1">
      <alignment horizontal="center"/>
    </xf>
    <xf numFmtId="0" fontId="14" fillId="0" borderId="0" xfId="0" applyFont="1" applyAlignment="1">
      <alignment horizontal="center" vertical="center" wrapText="1"/>
    </xf>
    <xf numFmtId="0" fontId="14" fillId="0" borderId="11"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12" xfId="0" applyFont="1" applyBorder="1" applyAlignment="1">
      <alignment horizontal="center" vertical="center" wrapText="1"/>
    </xf>
    <xf numFmtId="0" fontId="9" fillId="0" borderId="20" xfId="0" applyFont="1" applyBorder="1" applyAlignment="1">
      <alignment horizontal="center" vertical="center"/>
    </xf>
    <xf numFmtId="0" fontId="9" fillId="0" borderId="3" xfId="0" applyFont="1" applyBorder="1" applyAlignment="1">
      <alignment vertical="center"/>
    </xf>
    <xf numFmtId="0" fontId="9" fillId="0" borderId="3" xfId="0" applyFont="1" applyBorder="1" applyAlignment="1">
      <alignment horizontal="left" vertical="center"/>
    </xf>
    <xf numFmtId="0" fontId="9" fillId="0" borderId="91" xfId="0" applyFont="1" applyBorder="1" applyAlignment="1">
      <alignment vertical="center"/>
    </xf>
    <xf numFmtId="0" fontId="9" fillId="0" borderId="91" xfId="0" applyFont="1" applyBorder="1" applyAlignment="1">
      <alignment horizontal="center" vertical="center"/>
    </xf>
    <xf numFmtId="0" fontId="9" fillId="0" borderId="21" xfId="0" applyFont="1" applyBorder="1" applyAlignment="1">
      <alignment vertical="center" wrapText="1"/>
    </xf>
    <xf numFmtId="0" fontId="9" fillId="0" borderId="6" xfId="0" applyFont="1" applyBorder="1" applyAlignment="1">
      <alignment horizontal="left" vertical="center"/>
    </xf>
    <xf numFmtId="0" fontId="9" fillId="0" borderId="92" xfId="0" applyFont="1" applyBorder="1" applyAlignment="1">
      <alignment vertical="center"/>
    </xf>
    <xf numFmtId="0" fontId="9" fillId="0" borderId="92" xfId="0" applyFont="1" applyBorder="1" applyAlignment="1">
      <alignment horizontal="center" vertical="center"/>
    </xf>
    <xf numFmtId="0" fontId="9" fillId="0" borderId="81" xfId="0" applyFont="1" applyBorder="1" applyAlignment="1">
      <alignment vertical="center"/>
    </xf>
    <xf numFmtId="0" fontId="9" fillId="0" borderId="81" xfId="0" applyFont="1" applyBorder="1" applyAlignment="1">
      <alignment horizontal="left" vertical="center"/>
    </xf>
    <xf numFmtId="0" fontId="9" fillId="0" borderId="93" xfId="0" applyFont="1" applyBorder="1" applyAlignment="1">
      <alignment vertical="center"/>
    </xf>
    <xf numFmtId="0" fontId="9" fillId="0" borderId="93" xfId="0" applyFont="1" applyBorder="1" applyAlignment="1">
      <alignment horizontal="center" vertical="center"/>
    </xf>
    <xf numFmtId="0" fontId="9" fillId="0" borderId="81" xfId="0" applyFont="1" applyBorder="1" applyAlignment="1">
      <alignment vertical="center" wrapText="1"/>
    </xf>
    <xf numFmtId="0" fontId="9" fillId="0" borderId="0" xfId="0" applyFont="1" applyAlignment="1">
      <alignment horizontal="left" vertical="center" wrapText="1"/>
    </xf>
    <xf numFmtId="0" fontId="9" fillId="0" borderId="3" xfId="0" applyFont="1" applyBorder="1" applyAlignment="1">
      <alignment vertical="center" wrapText="1"/>
    </xf>
    <xf numFmtId="0" fontId="14" fillId="0" borderId="91" xfId="0" applyFont="1" applyBorder="1" applyAlignment="1">
      <alignment vertical="center"/>
    </xf>
    <xf numFmtId="0" fontId="9" fillId="0" borderId="94" xfId="0" applyFont="1" applyBorder="1" applyAlignment="1">
      <alignment horizontal="center" vertical="center"/>
    </xf>
    <xf numFmtId="0" fontId="9" fillId="0" borderId="94" xfId="0" applyFont="1" applyBorder="1" applyAlignment="1">
      <alignment vertical="center"/>
    </xf>
    <xf numFmtId="0" fontId="9" fillId="0" borderId="18" xfId="0" applyFont="1" applyBorder="1" applyAlignment="1">
      <alignment horizontal="center" vertical="center"/>
    </xf>
    <xf numFmtId="0" fontId="14" fillId="0" borderId="95" xfId="0" applyFont="1" applyBorder="1" applyAlignment="1">
      <alignment horizontal="center" vertical="center" wrapText="1"/>
    </xf>
    <xf numFmtId="0" fontId="9" fillId="0" borderId="95" xfId="0" applyFont="1" applyBorder="1" applyAlignment="1">
      <alignment vertical="center"/>
    </xf>
    <xf numFmtId="0" fontId="9" fillId="0" borderId="96" xfId="0" applyFont="1" applyBorder="1" applyAlignment="1">
      <alignment vertical="center"/>
    </xf>
    <xf numFmtId="0" fontId="9" fillId="0" borderId="32" xfId="0" applyFont="1" applyBorder="1" applyAlignment="1">
      <alignment vertical="center"/>
    </xf>
    <xf numFmtId="0" fontId="9" fillId="0" borderId="97" xfId="0" applyFont="1" applyBorder="1" applyAlignment="1">
      <alignment vertical="center"/>
    </xf>
    <xf numFmtId="0" fontId="6" fillId="0" borderId="0" xfId="0" applyFont="1" applyAlignment="1">
      <alignment wrapText="1"/>
    </xf>
    <xf numFmtId="0" fontId="21" fillId="0" borderId="81" xfId="0" applyFont="1" applyFill="1" applyBorder="1" applyAlignment="1">
      <alignment horizontal="justify" vertical="center"/>
    </xf>
    <xf numFmtId="0" fontId="21" fillId="0" borderId="5" xfId="0" applyFont="1" applyFill="1" applyBorder="1" applyAlignment="1">
      <alignment vertical="center" wrapText="1"/>
    </xf>
    <xf numFmtId="0" fontId="21" fillId="0" borderId="65" xfId="0" applyFont="1" applyFill="1" applyBorder="1" applyAlignment="1">
      <alignment vertical="center" wrapText="1"/>
    </xf>
    <xf numFmtId="0" fontId="21" fillId="0" borderId="6" xfId="0" applyFont="1" applyFill="1" applyBorder="1" applyAlignment="1">
      <alignment vertical="center" wrapText="1"/>
    </xf>
    <xf numFmtId="166" fontId="21" fillId="0" borderId="22" xfId="0" applyNumberFormat="1" applyFont="1" applyFill="1" applyBorder="1" applyAlignment="1">
      <alignment vertical="top" wrapText="1"/>
    </xf>
    <xf numFmtId="166" fontId="21" fillId="0" borderId="36" xfId="0" applyNumberFormat="1" applyFont="1" applyFill="1" applyBorder="1" applyAlignment="1">
      <alignment vertical="top" wrapText="1"/>
    </xf>
    <xf numFmtId="166" fontId="21" fillId="0" borderId="45" xfId="0" applyNumberFormat="1" applyFont="1" applyFill="1" applyBorder="1" applyAlignment="1">
      <alignment vertical="top" wrapText="1"/>
    </xf>
    <xf numFmtId="166" fontId="21" fillId="0" borderId="42" xfId="0" applyNumberFormat="1" applyFont="1" applyFill="1" applyBorder="1" applyAlignment="1">
      <alignment vertical="top" wrapText="1"/>
    </xf>
    <xf numFmtId="1" fontId="21" fillId="0" borderId="45" xfId="0" applyNumberFormat="1" applyFont="1" applyFill="1" applyBorder="1" applyAlignment="1">
      <alignment vertical="top" wrapText="1"/>
    </xf>
    <xf numFmtId="1" fontId="22" fillId="0" borderId="45" xfId="0" applyNumberFormat="1" applyFont="1" applyFill="1" applyBorder="1" applyAlignment="1">
      <alignment horizontal="center" vertical="top" wrapText="1"/>
    </xf>
    <xf numFmtId="166" fontId="21" fillId="0" borderId="98" xfId="0" applyNumberFormat="1" applyFont="1" applyFill="1" applyBorder="1" applyAlignment="1">
      <alignment vertical="top" wrapText="1"/>
    </xf>
    <xf numFmtId="1" fontId="21" fillId="0" borderId="42" xfId="0" applyNumberFormat="1" applyFont="1" applyFill="1" applyBorder="1" applyAlignment="1">
      <alignment vertical="top" wrapText="1"/>
    </xf>
    <xf numFmtId="164" fontId="6" fillId="7" borderId="61" xfId="3" applyNumberFormat="1" applyFont="1" applyFill="1" applyBorder="1" applyAlignment="1">
      <alignment vertical="center" wrapText="1"/>
    </xf>
    <xf numFmtId="0" fontId="21" fillId="0" borderId="81" xfId="0" applyFont="1" applyFill="1" applyBorder="1" applyAlignment="1">
      <alignment horizontal="left" vertical="center" wrapText="1"/>
    </xf>
    <xf numFmtId="0" fontId="7" fillId="0" borderId="75" xfId="0" applyFont="1" applyBorder="1" applyAlignment="1">
      <alignment horizontal="justify" vertical="top" wrapText="1"/>
    </xf>
    <xf numFmtId="0" fontId="7" fillId="0" borderId="75" xfId="0" applyFont="1" applyBorder="1" applyAlignment="1">
      <alignment horizontal="center" vertical="top" wrapText="1"/>
    </xf>
    <xf numFmtId="0" fontId="7" fillId="0" borderId="75" xfId="0" applyFont="1" applyBorder="1" applyAlignment="1">
      <alignment vertical="top"/>
    </xf>
    <xf numFmtId="0" fontId="24" fillId="0" borderId="0" xfId="0" applyFont="1" applyAlignment="1">
      <alignment horizontal="center" vertical="center"/>
    </xf>
    <xf numFmtId="0" fontId="25" fillId="0" borderId="0" xfId="0" applyFont="1" applyAlignment="1">
      <alignment horizontal="center" vertical="center"/>
    </xf>
    <xf numFmtId="0" fontId="14" fillId="0" borderId="0" xfId="0" applyFont="1" applyAlignment="1">
      <alignment horizontal="right" vertical="center"/>
    </xf>
    <xf numFmtId="0" fontId="25" fillId="0" borderId="0" xfId="4" applyFont="1" applyFill="1" applyAlignment="1">
      <alignment horizontal="center"/>
    </xf>
    <xf numFmtId="1" fontId="5" fillId="0" borderId="61" xfId="0" applyNumberFormat="1" applyFont="1" applyFill="1" applyBorder="1" applyAlignment="1">
      <alignment vertical="top"/>
    </xf>
    <xf numFmtId="0" fontId="5" fillId="0" borderId="75" xfId="0" applyFont="1" applyFill="1" applyBorder="1" applyAlignment="1">
      <alignment horizontal="center" wrapText="1"/>
    </xf>
    <xf numFmtId="164" fontId="6" fillId="7" borderId="61" xfId="1" applyNumberFormat="1" applyFont="1" applyFill="1" applyBorder="1" applyAlignment="1">
      <alignment vertical="center" wrapText="1"/>
    </xf>
    <xf numFmtId="0" fontId="5" fillId="0" borderId="1" xfId="0" applyFont="1" applyBorder="1" applyAlignment="1">
      <alignment horizontal="center" vertical="center" wrapText="1"/>
    </xf>
    <xf numFmtId="0" fontId="32" fillId="0" borderId="50" xfId="0" applyFont="1" applyBorder="1" applyAlignment="1">
      <alignment horizontal="center" vertical="center" wrapText="1"/>
    </xf>
    <xf numFmtId="0" fontId="21" fillId="0" borderId="75" xfId="0" applyFont="1" applyFill="1" applyBorder="1" applyAlignment="1">
      <alignment horizontal="center" vertical="center" wrapText="1"/>
    </xf>
    <xf numFmtId="0" fontId="21" fillId="0" borderId="75" xfId="0" applyFont="1" applyFill="1" applyBorder="1" applyAlignment="1">
      <alignment horizontal="center" vertical="center"/>
    </xf>
    <xf numFmtId="0" fontId="22" fillId="0" borderId="75" xfId="0" applyFont="1" applyFill="1" applyBorder="1" applyAlignment="1">
      <alignment horizontal="center" vertical="center" wrapText="1"/>
    </xf>
    <xf numFmtId="0" fontId="22" fillId="0" borderId="75" xfId="0" applyNumberFormat="1" applyFont="1" applyFill="1" applyBorder="1" applyAlignment="1">
      <alignment horizontal="center" vertical="center"/>
    </xf>
    <xf numFmtId="0" fontId="22" fillId="0" borderId="75" xfId="0" applyFont="1" applyFill="1" applyBorder="1" applyAlignment="1">
      <alignment horizontal="center" vertical="center"/>
    </xf>
    <xf numFmtId="0" fontId="6" fillId="0" borderId="75" xfId="0" applyFont="1" applyFill="1" applyBorder="1" applyAlignment="1">
      <alignment horizontal="center" vertical="top"/>
    </xf>
    <xf numFmtId="166" fontId="34" fillId="0" borderId="75" xfId="0" applyNumberFormat="1" applyFont="1" applyBorder="1" applyAlignment="1">
      <alignment vertical="top" wrapText="1"/>
    </xf>
    <xf numFmtId="0" fontId="34" fillId="0" borderId="75" xfId="0" applyFont="1" applyBorder="1" applyAlignment="1">
      <alignment horizontal="center" vertical="center" wrapText="1"/>
    </xf>
    <xf numFmtId="0" fontId="6" fillId="7" borderId="61" xfId="0" applyFont="1" applyFill="1" applyBorder="1" applyAlignment="1">
      <alignment horizontal="center" vertical="top"/>
    </xf>
    <xf numFmtId="166" fontId="21" fillId="0" borderId="75" xfId="0" applyNumberFormat="1" applyFont="1" applyFill="1" applyBorder="1" applyAlignment="1">
      <alignment horizontal="left" vertical="top" wrapText="1"/>
    </xf>
    <xf numFmtId="0" fontId="7" fillId="0" borderId="75" xfId="0" applyFont="1" applyBorder="1" applyAlignment="1">
      <alignment horizontal="left" vertical="top" wrapText="1"/>
    </xf>
    <xf numFmtId="0" fontId="21" fillId="0" borderId="75" xfId="0" applyFont="1" applyFill="1" applyBorder="1" applyAlignment="1">
      <alignment horizontal="left" vertical="top" wrapText="1"/>
    </xf>
    <xf numFmtId="0" fontId="5" fillId="0" borderId="75" xfId="0" applyFont="1" applyBorder="1" applyAlignment="1">
      <alignment horizontal="center" wrapText="1"/>
    </xf>
    <xf numFmtId="0" fontId="0" fillId="0" borderId="0" xfId="0" applyFont="1"/>
    <xf numFmtId="0" fontId="35" fillId="0" borderId="54" xfId="0" applyFont="1" applyBorder="1" applyAlignment="1">
      <alignment vertical="center"/>
    </xf>
    <xf numFmtId="164" fontId="6" fillId="0" borderId="40" xfId="1" applyNumberFormat="1" applyFont="1" applyBorder="1" applyAlignment="1">
      <alignment horizontal="center" vertical="center" wrapText="1"/>
    </xf>
    <xf numFmtId="0" fontId="0" fillId="0" borderId="0" xfId="0" applyFont="1" applyAlignment="1">
      <alignment vertical="top"/>
    </xf>
    <xf numFmtId="0" fontId="0" fillId="0" borderId="0" xfId="0" applyFont="1" applyAlignment="1">
      <alignment horizontal="center"/>
    </xf>
    <xf numFmtId="0" fontId="0" fillId="0" borderId="0" xfId="0" applyFont="1" applyAlignment="1">
      <alignment wrapText="1"/>
    </xf>
    <xf numFmtId="0" fontId="6" fillId="0" borderId="0" xfId="0" applyFont="1" applyAlignment="1">
      <alignment horizontal="left" vertical="center" wrapText="1"/>
    </xf>
    <xf numFmtId="0" fontId="35" fillId="0" borderId="0" xfId="0" applyFont="1" applyAlignment="1">
      <alignment wrapText="1"/>
    </xf>
    <xf numFmtId="0" fontId="5" fillId="0" borderId="0" xfId="0" applyFont="1" applyAlignment="1">
      <alignment horizontal="left" vertical="center" wrapText="1"/>
    </xf>
    <xf numFmtId="0" fontId="6" fillId="0" borderId="0" xfId="0" applyFont="1" applyAlignment="1">
      <alignment vertical="center" wrapText="1"/>
    </xf>
    <xf numFmtId="0" fontId="35" fillId="0" borderId="54" xfId="0" applyFont="1" applyBorder="1" applyAlignment="1">
      <alignment horizontal="center" vertical="center"/>
    </xf>
    <xf numFmtId="41" fontId="13" fillId="0" borderId="55" xfId="0" applyNumberFormat="1" applyFont="1" applyBorder="1" applyAlignment="1">
      <alignment horizontal="right" vertical="center" wrapText="1"/>
    </xf>
    <xf numFmtId="41" fontId="12" fillId="0" borderId="55" xfId="2" applyFont="1" applyFill="1" applyBorder="1" applyAlignment="1">
      <alignment horizontal="right" vertical="center" wrapText="1"/>
    </xf>
    <xf numFmtId="41" fontId="12" fillId="0" borderId="55" xfId="2" applyFont="1" applyBorder="1" applyAlignment="1">
      <alignment horizontal="right" vertical="center" wrapText="1"/>
    </xf>
    <xf numFmtId="3" fontId="13" fillId="0" borderId="75" xfId="0" applyNumberFormat="1" applyFont="1" applyBorder="1" applyAlignment="1">
      <alignment horizontal="right" vertical="center" wrapText="1"/>
    </xf>
    <xf numFmtId="41" fontId="13" fillId="0" borderId="75" xfId="0" applyNumberFormat="1" applyFont="1" applyBorder="1" applyAlignment="1">
      <alignment horizontal="right" vertical="center" wrapText="1"/>
    </xf>
    <xf numFmtId="41" fontId="12" fillId="0" borderId="75" xfId="2" applyFont="1" applyBorder="1" applyAlignment="1">
      <alignment horizontal="right" vertical="center" wrapText="1" shrinkToFit="1"/>
    </xf>
    <xf numFmtId="3" fontId="12" fillId="0" borderId="75" xfId="0" applyNumberFormat="1" applyFont="1" applyBorder="1" applyAlignment="1">
      <alignment horizontal="right"/>
    </xf>
    <xf numFmtId="167" fontId="12" fillId="4" borderId="75" xfId="1" applyNumberFormat="1" applyFont="1" applyFill="1" applyBorder="1" applyAlignment="1">
      <alignment horizontal="right" vertical="center"/>
    </xf>
    <xf numFmtId="3" fontId="12" fillId="0" borderId="75" xfId="0" applyNumberFormat="1" applyFont="1" applyFill="1" applyBorder="1" applyAlignment="1">
      <alignment horizontal="right" vertical="top" wrapText="1"/>
    </xf>
    <xf numFmtId="164" fontId="12" fillId="0" borderId="75" xfId="3" applyNumberFormat="1" applyFont="1" applyFill="1" applyBorder="1" applyAlignment="1">
      <alignment horizontal="right" vertical="top" wrapText="1"/>
    </xf>
    <xf numFmtId="3" fontId="12" fillId="0" borderId="55" xfId="0" applyNumberFormat="1" applyFont="1" applyFill="1" applyBorder="1" applyAlignment="1">
      <alignment horizontal="right" vertical="center" wrapText="1"/>
    </xf>
    <xf numFmtId="3" fontId="12" fillId="0" borderId="75" xfId="0" applyNumberFormat="1" applyFont="1" applyBorder="1" applyAlignment="1">
      <alignment horizontal="right" vertical="center"/>
    </xf>
    <xf numFmtId="41" fontId="12" fillId="0" borderId="75" xfId="2" applyFont="1" applyBorder="1" applyAlignment="1">
      <alignment horizontal="right" vertical="center" wrapText="1"/>
    </xf>
    <xf numFmtId="3" fontId="12" fillId="0" borderId="55" xfId="0" applyNumberFormat="1" applyFont="1" applyBorder="1" applyAlignment="1">
      <alignment horizontal="right" vertical="center" wrapText="1"/>
    </xf>
    <xf numFmtId="41" fontId="13" fillId="0" borderId="55" xfId="2" applyFont="1" applyBorder="1" applyAlignment="1">
      <alignment horizontal="right" vertical="center" wrapText="1"/>
    </xf>
    <xf numFmtId="0" fontId="12" fillId="0" borderId="55" xfId="0" applyFont="1" applyBorder="1" applyAlignment="1">
      <alignment horizontal="center" vertical="center" wrapText="1"/>
    </xf>
    <xf numFmtId="3" fontId="13" fillId="0" borderId="55" xfId="0" applyNumberFormat="1" applyFont="1" applyBorder="1" applyAlignment="1">
      <alignment horizontal="center" vertical="center" wrapText="1"/>
    </xf>
    <xf numFmtId="0" fontId="21" fillId="0" borderId="47" xfId="0" applyFont="1" applyBorder="1" applyAlignment="1">
      <alignment horizontal="right" vertical="center" wrapText="1"/>
    </xf>
    <xf numFmtId="0" fontId="21" fillId="0" borderId="100" xfId="0" applyFont="1" applyBorder="1" applyAlignment="1">
      <alignment horizontal="right" vertical="center" wrapText="1"/>
    </xf>
    <xf numFmtId="0" fontId="6" fillId="5" borderId="61" xfId="0" applyFont="1" applyFill="1" applyBorder="1" applyAlignment="1">
      <alignment vertical="top"/>
    </xf>
    <xf numFmtId="0" fontId="6" fillId="8" borderId="79" xfId="0" applyFont="1" applyFill="1" applyBorder="1" applyAlignment="1">
      <alignment vertical="center" wrapText="1"/>
    </xf>
    <xf numFmtId="0" fontId="6" fillId="5" borderId="75" xfId="0" applyFont="1" applyFill="1" applyBorder="1" applyAlignment="1">
      <alignment vertical="center" wrapText="1"/>
    </xf>
    <xf numFmtId="164" fontId="6" fillId="7" borderId="55" xfId="1" applyNumberFormat="1" applyFont="1" applyFill="1" applyBorder="1" applyAlignment="1">
      <alignment vertical="center" wrapText="1"/>
    </xf>
    <xf numFmtId="0" fontId="49" fillId="0" borderId="9" xfId="0" applyNumberFormat="1" applyFont="1" applyFill="1" applyBorder="1" applyAlignment="1" applyProtection="1">
      <alignment wrapText="1"/>
    </xf>
    <xf numFmtId="0" fontId="34" fillId="0" borderId="75" xfId="0" applyFont="1" applyFill="1" applyBorder="1" applyAlignment="1">
      <alignment vertical="center" wrapText="1"/>
    </xf>
    <xf numFmtId="0" fontId="5" fillId="0" borderId="75" xfId="0" applyFont="1" applyBorder="1"/>
    <xf numFmtId="0" fontId="5" fillId="9" borderId="99" xfId="0" applyFont="1" applyFill="1" applyBorder="1" applyAlignment="1">
      <alignment horizontal="justify" wrapText="1"/>
    </xf>
    <xf numFmtId="164" fontId="22" fillId="0" borderId="75" xfId="1" applyNumberFormat="1" applyFont="1" applyBorder="1" applyAlignment="1">
      <alignment horizontal="center" vertical="center" wrapText="1"/>
    </xf>
    <xf numFmtId="164" fontId="22" fillId="0" borderId="75" xfId="1" applyNumberFormat="1" applyFont="1" applyBorder="1" applyAlignment="1">
      <alignment horizontal="left" vertical="center" wrapText="1"/>
    </xf>
    <xf numFmtId="164" fontId="22" fillId="0" borderId="75" xfId="1" quotePrefix="1" applyNumberFormat="1" applyFont="1" applyBorder="1" applyAlignment="1">
      <alignment horizontal="center" vertical="center" wrapText="1"/>
    </xf>
    <xf numFmtId="164" fontId="22" fillId="0" borderId="75" xfId="1" quotePrefix="1" applyNumberFormat="1" applyFont="1" applyBorder="1" applyAlignment="1">
      <alignment vertical="center" wrapText="1"/>
    </xf>
    <xf numFmtId="0" fontId="22" fillId="0" borderId="75" xfId="0" applyFont="1" applyBorder="1" applyAlignment="1">
      <alignment horizontal="right" vertical="top" wrapText="1"/>
    </xf>
    <xf numFmtId="0" fontId="22" fillId="0" borderId="75" xfId="0" applyFont="1" applyBorder="1" applyAlignment="1">
      <alignment horizontal="center" vertical="top" wrapText="1"/>
    </xf>
    <xf numFmtId="0" fontId="22" fillId="0" borderId="75" xfId="0" applyFont="1" applyBorder="1" applyAlignment="1">
      <alignment vertical="top"/>
    </xf>
    <xf numFmtId="0" fontId="21" fillId="0" borderId="75" xfId="0" applyFont="1" applyBorder="1" applyAlignment="1">
      <alignment horizontal="right" vertical="center" wrapText="1"/>
    </xf>
    <xf numFmtId="0" fontId="21" fillId="0" borderId="75" xfId="0" applyFont="1" applyBorder="1" applyAlignment="1">
      <alignment horizontal="left" vertical="center" wrapText="1"/>
    </xf>
    <xf numFmtId="0" fontId="21" fillId="0" borderId="75" xfId="0" applyFont="1" applyBorder="1" applyAlignment="1">
      <alignment horizontal="center" vertical="center" wrapText="1"/>
    </xf>
    <xf numFmtId="0" fontId="21" fillId="0" borderId="75" xfId="0" applyFont="1" applyBorder="1" applyAlignment="1">
      <alignment vertical="center"/>
    </xf>
    <xf numFmtId="0" fontId="22" fillId="0" borderId="75" xfId="0" applyFont="1" applyBorder="1" applyAlignment="1">
      <alignment horizontal="center" vertical="center" wrapText="1"/>
    </xf>
    <xf numFmtId="0" fontId="22" fillId="0" borderId="75" xfId="0" applyFont="1" applyBorder="1" applyAlignment="1">
      <alignment horizontal="justify" vertical="center" wrapText="1"/>
    </xf>
    <xf numFmtId="0" fontId="22" fillId="0" borderId="75" xfId="0" applyNumberFormat="1" applyFont="1" applyBorder="1" applyAlignment="1">
      <alignment horizontal="center" vertical="center" wrapText="1"/>
    </xf>
    <xf numFmtId="0" fontId="25" fillId="0" borderId="0" xfId="0" applyFont="1" applyAlignment="1">
      <alignment wrapText="1"/>
    </xf>
    <xf numFmtId="0" fontId="57" fillId="0" borderId="0" xfId="0" applyFont="1"/>
    <xf numFmtId="0" fontId="25" fillId="0" borderId="0" xfId="0" applyFont="1"/>
    <xf numFmtId="0" fontId="30" fillId="0" borderId="0" xfId="0" applyFont="1" applyBorder="1" applyAlignment="1"/>
    <xf numFmtId="164" fontId="24" fillId="0" borderId="65" xfId="1" applyNumberFormat="1" applyFont="1" applyBorder="1" applyAlignment="1">
      <alignment horizontal="center" vertical="center" wrapText="1"/>
    </xf>
    <xf numFmtId="164" fontId="24" fillId="0" borderId="3" xfId="1" applyNumberFormat="1" applyFont="1" applyBorder="1" applyAlignment="1">
      <alignment horizontal="center" vertical="center" wrapText="1"/>
    </xf>
    <xf numFmtId="164" fontId="10" fillId="0" borderId="61" xfId="3" applyNumberFormat="1" applyFont="1" applyBorder="1" applyAlignment="1">
      <alignment horizontal="left" vertical="center" wrapText="1"/>
    </xf>
    <xf numFmtId="0" fontId="57" fillId="0" borderId="2" xfId="0" applyFont="1" applyBorder="1"/>
    <xf numFmtId="164" fontId="24" fillId="0" borderId="4" xfId="1" applyNumberFormat="1" applyFont="1" applyBorder="1" applyAlignment="1">
      <alignment horizontal="center" vertical="center" wrapText="1"/>
    </xf>
    <xf numFmtId="0" fontId="57" fillId="0" borderId="0" xfId="0" applyFont="1" applyBorder="1"/>
    <xf numFmtId="164" fontId="24" fillId="0" borderId="5" xfId="1" applyNumberFormat="1" applyFont="1" applyBorder="1" applyAlignment="1">
      <alignment horizontal="center" vertical="center" wrapText="1"/>
    </xf>
    <xf numFmtId="0" fontId="24" fillId="0" borderId="66" xfId="0" applyFont="1" applyBorder="1" applyAlignment="1">
      <alignment horizontal="center" vertical="center" wrapText="1"/>
    </xf>
    <xf numFmtId="0" fontId="24" fillId="0" borderId="1" xfId="0" applyFont="1" applyBorder="1" applyAlignment="1">
      <alignment horizontal="justify" vertical="center" wrapText="1"/>
    </xf>
    <xf numFmtId="0" fontId="24" fillId="0" borderId="62" xfId="0" applyFont="1" applyBorder="1" applyAlignment="1">
      <alignment horizontal="center" vertical="center" wrapText="1"/>
    </xf>
    <xf numFmtId="0" fontId="25" fillId="0" borderId="67" xfId="0" applyFont="1" applyBorder="1" applyAlignment="1">
      <alignment vertical="center"/>
    </xf>
    <xf numFmtId="0" fontId="25" fillId="0" borderId="68" xfId="0" applyFont="1" applyBorder="1" applyAlignment="1">
      <alignment vertical="center"/>
    </xf>
    <xf numFmtId="0" fontId="25" fillId="0" borderId="68" xfId="0" applyFont="1" applyBorder="1" applyAlignment="1">
      <alignment horizontal="center" vertical="center"/>
    </xf>
    <xf numFmtId="0" fontId="25" fillId="0" borderId="69" xfId="0" applyFont="1" applyBorder="1" applyAlignment="1">
      <alignment horizontal="center" vertical="center"/>
    </xf>
    <xf numFmtId="0" fontId="24" fillId="0" borderId="70" xfId="0" applyFont="1" applyBorder="1" applyAlignment="1">
      <alignment vertical="center"/>
    </xf>
    <xf numFmtId="0" fontId="58" fillId="0" borderId="0" xfId="0" applyFont="1" applyAlignment="1">
      <alignment vertical="top"/>
    </xf>
    <xf numFmtId="0" fontId="25" fillId="0" borderId="66" xfId="0" applyFont="1" applyBorder="1" applyAlignment="1">
      <alignment horizontal="center" vertical="center" wrapText="1"/>
    </xf>
    <xf numFmtId="0" fontId="25" fillId="0" borderId="1" xfId="0" applyFont="1" applyBorder="1" applyAlignment="1">
      <alignment horizontal="justify" vertical="center" wrapText="1"/>
    </xf>
    <xf numFmtId="0" fontId="25" fillId="0" borderId="1" xfId="0" applyFont="1" applyBorder="1" applyAlignment="1">
      <alignment horizontal="center" vertical="center" wrapText="1"/>
    </xf>
    <xf numFmtId="0" fontId="25" fillId="0" borderId="1" xfId="0" applyFont="1" applyBorder="1" applyAlignment="1">
      <alignment vertical="center"/>
    </xf>
    <xf numFmtId="0" fontId="25" fillId="0" borderId="1" xfId="0" applyFont="1" applyBorder="1" applyAlignment="1">
      <alignment horizontal="center" vertical="center"/>
    </xf>
    <xf numFmtId="0" fontId="25" fillId="0" borderId="71" xfId="0" applyFont="1" applyBorder="1" applyAlignment="1">
      <alignment vertical="center"/>
    </xf>
    <xf numFmtId="0" fontId="14" fillId="0" borderId="66" xfId="0" applyFont="1" applyBorder="1" applyAlignment="1">
      <alignment horizontal="center" vertical="center" wrapText="1"/>
    </xf>
    <xf numFmtId="0" fontId="14"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9" fillId="0" borderId="72" xfId="0" applyFont="1" applyBorder="1" applyAlignment="1">
      <alignment vertical="center"/>
    </xf>
    <xf numFmtId="0" fontId="9" fillId="0" borderId="72" xfId="0" applyFont="1" applyBorder="1" applyAlignment="1">
      <alignment horizontal="center" vertical="center"/>
    </xf>
    <xf numFmtId="0" fontId="9" fillId="0" borderId="71" xfId="0" applyFont="1" applyBorder="1" applyAlignment="1">
      <alignment vertical="center"/>
    </xf>
    <xf numFmtId="0" fontId="25" fillId="0" borderId="72" xfId="0" applyFont="1" applyBorder="1" applyAlignment="1">
      <alignment vertical="center"/>
    </xf>
    <xf numFmtId="0" fontId="25" fillId="0" borderId="72" xfId="0" applyFont="1" applyBorder="1" applyAlignment="1">
      <alignment horizontal="center" vertical="center"/>
    </xf>
    <xf numFmtId="0" fontId="25" fillId="0" borderId="50" xfId="0" applyFont="1" applyBorder="1" applyAlignment="1">
      <alignment vertical="center"/>
    </xf>
    <xf numFmtId="0" fontId="25" fillId="0" borderId="50" xfId="0" applyFont="1" applyBorder="1" applyAlignment="1">
      <alignment horizontal="center" vertical="center"/>
    </xf>
    <xf numFmtId="0" fontId="25" fillId="0" borderId="72" xfId="0" applyFont="1" applyBorder="1" applyAlignment="1">
      <alignment horizontal="center" vertical="center" wrapText="1"/>
    </xf>
    <xf numFmtId="0" fontId="24" fillId="0" borderId="72" xfId="0" applyFont="1" applyBorder="1" applyAlignment="1">
      <alignment vertical="center"/>
    </xf>
    <xf numFmtId="0" fontId="24" fillId="0" borderId="72" xfId="0" applyFont="1" applyBorder="1" applyAlignment="1">
      <alignment horizontal="center" vertical="center"/>
    </xf>
    <xf numFmtId="0" fontId="25" fillId="0" borderId="74" xfId="0" applyFont="1" applyBorder="1" applyAlignment="1">
      <alignment vertical="center"/>
    </xf>
    <xf numFmtId="0" fontId="25" fillId="0" borderId="0" xfId="0" applyFont="1" applyAlignment="1">
      <alignment horizontal="center"/>
    </xf>
    <xf numFmtId="0" fontId="24" fillId="0" borderId="0" xfId="0" applyFont="1" applyAlignment="1">
      <alignment wrapText="1"/>
    </xf>
    <xf numFmtId="0" fontId="24" fillId="0" borderId="0" xfId="0" applyFont="1" applyAlignment="1"/>
    <xf numFmtId="0" fontId="25" fillId="0" borderId="0" xfId="0" applyFont="1" applyAlignment="1"/>
    <xf numFmtId="165" fontId="25" fillId="0" borderId="0" xfId="0" applyNumberFormat="1" applyFont="1" applyAlignment="1">
      <alignment wrapText="1"/>
    </xf>
    <xf numFmtId="0" fontId="24" fillId="0" borderId="0" xfId="0" applyFont="1" applyAlignment="1">
      <alignment horizontal="center"/>
    </xf>
    <xf numFmtId="0" fontId="57" fillId="0" borderId="0" xfId="0" applyFont="1" applyAlignment="1">
      <alignment horizontal="center"/>
    </xf>
    <xf numFmtId="0" fontId="57" fillId="0" borderId="0" xfId="0" applyFont="1" applyAlignment="1">
      <alignment wrapText="1"/>
    </xf>
    <xf numFmtId="0" fontId="2" fillId="0" borderId="0" xfId="0" applyFont="1"/>
    <xf numFmtId="0" fontId="5" fillId="0" borderId="75" xfId="0" applyFont="1" applyBorder="1" applyAlignment="1">
      <alignment vertical="center"/>
    </xf>
    <xf numFmtId="0" fontId="0" fillId="0" borderId="75" xfId="0" applyFont="1" applyBorder="1" applyAlignment="1">
      <alignment vertical="center"/>
    </xf>
    <xf numFmtId="164" fontId="5" fillId="0" borderId="75" xfId="1" applyNumberFormat="1" applyFont="1" applyBorder="1" applyAlignment="1">
      <alignment horizontal="center" vertical="center" wrapText="1"/>
    </xf>
    <xf numFmtId="164" fontId="5" fillId="0" borderId="75" xfId="1" applyNumberFormat="1" applyFont="1" applyBorder="1" applyAlignment="1">
      <alignment vertical="center" wrapText="1"/>
    </xf>
    <xf numFmtId="164" fontId="5" fillId="0" borderId="75" xfId="1" applyNumberFormat="1" applyFont="1" applyBorder="1" applyAlignment="1">
      <alignment horizontal="left" vertical="center" wrapText="1"/>
    </xf>
    <xf numFmtId="0" fontId="0" fillId="0" borderId="75" xfId="0" applyFont="1" applyBorder="1" applyAlignment="1">
      <alignment vertical="center" wrapText="1"/>
    </xf>
    <xf numFmtId="3" fontId="5" fillId="0" borderId="75" xfId="0" applyNumberFormat="1" applyFont="1" applyBorder="1" applyAlignment="1">
      <alignment horizontal="center" vertical="center" wrapText="1"/>
    </xf>
    <xf numFmtId="164" fontId="5" fillId="0" borderId="75" xfId="3" applyNumberFormat="1" applyFont="1" applyBorder="1" applyAlignment="1">
      <alignment horizontal="center" vertical="center" wrapText="1"/>
    </xf>
    <xf numFmtId="49" fontId="5" fillId="0" borderId="75" xfId="3" applyNumberFormat="1" applyFont="1" applyBorder="1" applyAlignment="1">
      <alignment horizontal="center" vertical="center" wrapText="1"/>
    </xf>
    <xf numFmtId="0" fontId="5" fillId="0" borderId="75" xfId="5" applyFont="1" applyBorder="1" applyAlignment="1">
      <alignment horizontal="center" vertical="center"/>
    </xf>
    <xf numFmtId="0" fontId="5" fillId="0" borderId="75" xfId="5" applyFont="1" applyBorder="1" applyAlignment="1">
      <alignment vertical="center"/>
    </xf>
    <xf numFmtId="3" fontId="55" fillId="0" borderId="75" xfId="5" applyNumberFormat="1" applyFont="1" applyBorder="1" applyAlignment="1">
      <alignment horizontal="center"/>
    </xf>
    <xf numFmtId="0" fontId="6" fillId="0" borderId="75" xfId="0" applyFont="1" applyBorder="1" applyAlignment="1">
      <alignment vertical="center"/>
    </xf>
    <xf numFmtId="0" fontId="2" fillId="0" borderId="75" xfId="0" applyFont="1" applyBorder="1" applyAlignment="1">
      <alignment horizontal="center" vertical="center"/>
    </xf>
    <xf numFmtId="164" fontId="5" fillId="0" borderId="75" xfId="0" applyNumberFormat="1" applyFont="1" applyBorder="1" applyAlignment="1">
      <alignment horizontal="center" vertical="center" wrapText="1"/>
    </xf>
    <xf numFmtId="0" fontId="25" fillId="0" borderId="81" xfId="0" applyFont="1" applyBorder="1" applyAlignment="1">
      <alignment horizontal="left" vertical="center" wrapText="1"/>
    </xf>
    <xf numFmtId="164" fontId="25" fillId="0" borderId="81" xfId="1" applyNumberFormat="1" applyFont="1" applyBorder="1" applyAlignment="1">
      <alignment horizontal="center" vertical="center" wrapText="1"/>
    </xf>
    <xf numFmtId="164" fontId="57" fillId="0" borderId="0" xfId="1" applyNumberFormat="1" applyFont="1" applyBorder="1" applyAlignment="1">
      <alignment vertical="top"/>
    </xf>
    <xf numFmtId="0" fontId="25" fillId="0" borderId="78" xfId="0" applyFont="1" applyBorder="1" applyAlignment="1">
      <alignment horizontal="center" vertical="center" wrapText="1"/>
    </xf>
    <xf numFmtId="164" fontId="25" fillId="0" borderId="5" xfId="1" applyNumberFormat="1" applyFont="1" applyBorder="1" applyAlignment="1">
      <alignment horizontal="center" vertical="center" wrapText="1"/>
    </xf>
    <xf numFmtId="0" fontId="60" fillId="0" borderId="81" xfId="0" applyFont="1" applyBorder="1" applyAlignment="1">
      <alignment vertical="center" wrapText="1"/>
    </xf>
    <xf numFmtId="0" fontId="20" fillId="0" borderId="0" xfId="4" applyFont="1" applyFill="1"/>
    <xf numFmtId="0" fontId="19" fillId="5" borderId="75" xfId="4" applyFill="1" applyBorder="1" applyAlignment="1">
      <alignment horizontal="center"/>
    </xf>
    <xf numFmtId="3" fontId="25" fillId="5" borderId="75" xfId="4" applyNumberFormat="1" applyFont="1" applyFill="1" applyBorder="1"/>
    <xf numFmtId="3" fontId="21" fillId="5" borderId="75" xfId="4" applyNumberFormat="1" applyFont="1" applyFill="1" applyBorder="1"/>
    <xf numFmtId="0" fontId="9" fillId="0" borderId="101" xfId="0" applyFont="1" applyBorder="1" applyAlignment="1">
      <alignment horizontal="center" vertical="center"/>
    </xf>
    <xf numFmtId="0" fontId="9" fillId="0" borderId="65" xfId="0" applyFont="1" applyBorder="1" applyAlignment="1">
      <alignment vertical="center" wrapText="1"/>
    </xf>
    <xf numFmtId="0" fontId="9" fillId="0" borderId="102" xfId="0" applyFont="1" applyBorder="1" applyAlignment="1">
      <alignment vertical="center"/>
    </xf>
    <xf numFmtId="0" fontId="9" fillId="0" borderId="102" xfId="0" applyFont="1" applyBorder="1" applyAlignment="1">
      <alignment horizontal="center" vertical="center"/>
    </xf>
    <xf numFmtId="49" fontId="24" fillId="0" borderId="75" xfId="1" quotePrefix="1" applyNumberFormat="1" applyFont="1" applyFill="1" applyBorder="1" applyAlignment="1">
      <alignment horizontal="center" vertical="center" wrapText="1"/>
    </xf>
    <xf numFmtId="49" fontId="24" fillId="0" borderId="75" xfId="1" applyNumberFormat="1" applyFont="1" applyFill="1" applyBorder="1" applyAlignment="1">
      <alignment horizontal="center" vertical="center" wrapText="1"/>
    </xf>
    <xf numFmtId="0" fontId="57" fillId="0" borderId="80" xfId="0" applyFont="1" applyBorder="1"/>
    <xf numFmtId="0" fontId="25" fillId="0" borderId="5" xfId="0" applyFont="1" applyBorder="1" applyAlignment="1">
      <alignment horizontal="center" vertical="center"/>
    </xf>
    <xf numFmtId="0" fontId="0" fillId="0" borderId="75" xfId="0" applyFont="1" applyBorder="1" applyAlignment="1">
      <alignment vertical="top"/>
    </xf>
    <xf numFmtId="0" fontId="25" fillId="0" borderId="81" xfId="0" applyFont="1" applyBorder="1" applyAlignment="1">
      <alignment horizontal="center" vertical="center"/>
    </xf>
    <xf numFmtId="164" fontId="9" fillId="0" borderId="5" xfId="1" applyNumberFormat="1" applyFont="1" applyBorder="1" applyAlignment="1">
      <alignment horizontal="center" vertical="center" wrapText="1"/>
    </xf>
    <xf numFmtId="0" fontId="22" fillId="0" borderId="0" xfId="0" applyFont="1" applyFill="1" applyAlignment="1">
      <alignment horizontal="center" wrapText="1"/>
    </xf>
    <xf numFmtId="0" fontId="27" fillId="4" borderId="0" xfId="0" applyFont="1" applyFill="1" applyAlignment="1">
      <alignment wrapText="1"/>
    </xf>
    <xf numFmtId="0" fontId="22" fillId="0" borderId="0" xfId="0" applyFont="1" applyAlignment="1">
      <alignment horizontal="center" vertical="center"/>
    </xf>
    <xf numFmtId="0" fontId="27" fillId="0" borderId="0" xfId="0" applyFont="1" applyAlignment="1">
      <alignment horizontal="center"/>
    </xf>
    <xf numFmtId="0" fontId="22" fillId="0" borderId="0" xfId="0" applyFont="1" applyAlignment="1">
      <alignment horizontal="center"/>
    </xf>
    <xf numFmtId="0" fontId="23" fillId="0" borderId="0" xfId="0" applyFont="1" applyBorder="1" applyAlignment="1">
      <alignment horizontal="center"/>
    </xf>
    <xf numFmtId="0" fontId="23" fillId="0" borderId="0" xfId="0" applyFont="1" applyBorder="1" applyAlignment="1">
      <alignment horizontal="right"/>
    </xf>
    <xf numFmtId="0" fontId="22" fillId="0" borderId="0" xfId="0" applyFont="1" applyFill="1" applyAlignment="1">
      <alignment horizontal="center" vertical="center" wrapText="1"/>
    </xf>
    <xf numFmtId="164" fontId="22" fillId="0" borderId="39" xfId="1" applyNumberFormat="1" applyFont="1" applyFill="1" applyBorder="1" applyAlignment="1">
      <alignment horizontal="center" vertical="center" wrapText="1"/>
    </xf>
    <xf numFmtId="164" fontId="22" fillId="0" borderId="9" xfId="1" applyNumberFormat="1" applyFont="1" applyFill="1" applyBorder="1" applyAlignment="1">
      <alignment horizontal="center" vertical="center" wrapText="1"/>
    </xf>
    <xf numFmtId="164" fontId="22" fillId="0" borderId="40" xfId="1" applyNumberFormat="1" applyFont="1" applyFill="1" applyBorder="1" applyAlignment="1">
      <alignment horizontal="center" vertical="center" wrapText="1"/>
    </xf>
    <xf numFmtId="164" fontId="22" fillId="0" borderId="14" xfId="1" applyNumberFormat="1" applyFont="1" applyFill="1" applyBorder="1" applyAlignment="1">
      <alignment horizontal="center" vertical="center" wrapText="1"/>
    </xf>
    <xf numFmtId="0" fontId="5" fillId="0" borderId="61" xfId="0" applyFont="1" applyFill="1" applyBorder="1" applyAlignment="1">
      <alignment horizontal="center" vertical="center" wrapText="1"/>
    </xf>
    <xf numFmtId="165" fontId="21" fillId="0" borderId="0" xfId="0" applyNumberFormat="1" applyFont="1" applyFill="1" applyAlignment="1">
      <alignment horizontal="left" wrapText="1"/>
    </xf>
    <xf numFmtId="0" fontId="6" fillId="0" borderId="0" xfId="0" applyFont="1" applyFill="1" applyAlignment="1">
      <alignment horizontal="center" wrapText="1"/>
    </xf>
    <xf numFmtId="165" fontId="5" fillId="0" borderId="61" xfId="0" applyNumberFormat="1" applyFont="1" applyFill="1" applyBorder="1" applyAlignment="1">
      <alignment horizontal="left" wrapText="1"/>
    </xf>
    <xf numFmtId="0" fontId="5" fillId="0" borderId="57" xfId="0" applyFont="1" applyFill="1" applyBorder="1" applyAlignment="1">
      <alignment horizontal="center"/>
    </xf>
    <xf numFmtId="0" fontId="35" fillId="0" borderId="0" xfId="0" applyFont="1" applyFill="1" applyBorder="1" applyAlignment="1">
      <alignment horizontal="right" wrapText="1"/>
    </xf>
    <xf numFmtId="0" fontId="6" fillId="0" borderId="0" xfId="0" applyFont="1" applyFill="1" applyAlignment="1">
      <alignment horizontal="center" vertical="center" wrapText="1"/>
    </xf>
    <xf numFmtId="0" fontId="43" fillId="0" borderId="0" xfId="0" applyFont="1" applyFill="1" applyAlignment="1">
      <alignment horizontal="left" wrapText="1"/>
    </xf>
    <xf numFmtId="0" fontId="7" fillId="0" borderId="0" xfId="0" applyFont="1" applyFill="1" applyAlignment="1">
      <alignment horizontal="left" wrapText="1"/>
    </xf>
    <xf numFmtId="164" fontId="52" fillId="0" borderId="39" xfId="1" applyNumberFormat="1" applyFont="1" applyFill="1" applyBorder="1" applyAlignment="1">
      <alignment horizontal="center" vertical="center" wrapText="1"/>
    </xf>
    <xf numFmtId="164" fontId="52" fillId="0" borderId="9" xfId="1" applyNumberFormat="1" applyFont="1" applyFill="1" applyBorder="1" applyAlignment="1">
      <alignment horizontal="center" vertical="center" wrapText="1"/>
    </xf>
    <xf numFmtId="164" fontId="22" fillId="0" borderId="82" xfId="1" applyNumberFormat="1" applyFont="1" applyFill="1" applyBorder="1" applyAlignment="1">
      <alignment horizontal="center" vertical="center" wrapText="1"/>
    </xf>
    <xf numFmtId="164" fontId="22" fillId="0" borderId="51" xfId="1" applyNumberFormat="1" applyFont="1" applyFill="1" applyBorder="1" applyAlignment="1">
      <alignment horizontal="center" vertical="center" wrapText="1"/>
    </xf>
    <xf numFmtId="164" fontId="22" fillId="0" borderId="83" xfId="1" applyNumberFormat="1" applyFont="1" applyFill="1" applyBorder="1" applyAlignment="1">
      <alignment horizontal="center" vertical="center" wrapText="1"/>
    </xf>
    <xf numFmtId="0" fontId="5" fillId="0" borderId="0" xfId="0" applyFont="1" applyFill="1" applyAlignment="1">
      <alignment horizontal="center"/>
    </xf>
    <xf numFmtId="0" fontId="6" fillId="0" borderId="0" xfId="0" applyFont="1" applyFill="1" applyAlignment="1">
      <alignment horizontal="center"/>
    </xf>
    <xf numFmtId="0" fontId="24" fillId="0" borderId="0" xfId="0" applyFont="1" applyFill="1" applyAlignment="1">
      <alignment horizontal="center" vertical="center"/>
    </xf>
    <xf numFmtId="164" fontId="22" fillId="0" borderId="38" xfId="1" applyNumberFormat="1" applyFont="1" applyFill="1" applyBorder="1" applyAlignment="1">
      <alignment horizontal="center" vertical="center" wrapText="1"/>
    </xf>
    <xf numFmtId="164" fontId="22" fillId="0" borderId="13" xfId="1" applyNumberFormat="1" applyFont="1" applyFill="1" applyBorder="1" applyAlignment="1">
      <alignment horizontal="center" vertical="center" wrapText="1"/>
    </xf>
    <xf numFmtId="165" fontId="21" fillId="0" borderId="61" xfId="0" applyNumberFormat="1" applyFont="1" applyFill="1" applyBorder="1" applyAlignment="1">
      <alignment horizontal="left" wrapText="1"/>
    </xf>
    <xf numFmtId="0" fontId="21" fillId="0" borderId="57" xfId="0" applyFont="1" applyFill="1" applyBorder="1" applyAlignment="1">
      <alignment horizontal="center"/>
    </xf>
    <xf numFmtId="0" fontId="23" fillId="0" borderId="0" xfId="0" applyFont="1" applyFill="1" applyBorder="1" applyAlignment="1">
      <alignment horizontal="right" wrapText="1"/>
    </xf>
    <xf numFmtId="0" fontId="22" fillId="0" borderId="0" xfId="0" applyFont="1" applyFill="1" applyAlignment="1">
      <alignment horizontal="left" wrapText="1"/>
    </xf>
    <xf numFmtId="0" fontId="21" fillId="0" borderId="61" xfId="0" applyFont="1" applyFill="1" applyBorder="1" applyAlignment="1">
      <alignment horizontal="center" vertical="center" wrapText="1"/>
    </xf>
    <xf numFmtId="164" fontId="22" fillId="0" borderId="56" xfId="1" applyNumberFormat="1" applyFont="1" applyFill="1" applyBorder="1" applyAlignment="1">
      <alignment horizontal="center" vertical="top" wrapText="1"/>
    </xf>
    <xf numFmtId="164" fontId="22" fillId="0" borderId="9" xfId="1" applyNumberFormat="1" applyFont="1" applyFill="1" applyBorder="1" applyAlignment="1">
      <alignment horizontal="center" vertical="top" wrapText="1"/>
    </xf>
    <xf numFmtId="164" fontId="22" fillId="0" borderId="59" xfId="1" applyNumberFormat="1" applyFont="1" applyFill="1" applyBorder="1" applyAlignment="1">
      <alignment horizontal="center" vertical="top" wrapText="1"/>
    </xf>
    <xf numFmtId="164" fontId="22" fillId="0" borderId="57" xfId="1" applyNumberFormat="1" applyFont="1" applyFill="1" applyBorder="1" applyAlignment="1">
      <alignment horizontal="center" vertical="top" wrapText="1"/>
    </xf>
    <xf numFmtId="164" fontId="22" fillId="0" borderId="58" xfId="1" applyNumberFormat="1" applyFont="1" applyFill="1" applyBorder="1" applyAlignment="1">
      <alignment horizontal="center" vertical="top" wrapText="1"/>
    </xf>
    <xf numFmtId="0" fontId="21" fillId="0" borderId="0" xfId="0" applyFont="1" applyFill="1" applyAlignment="1">
      <alignment horizontal="center"/>
    </xf>
    <xf numFmtId="0" fontId="22" fillId="0" borderId="0" xfId="0" applyFont="1" applyFill="1" applyAlignment="1">
      <alignment horizontal="center"/>
    </xf>
    <xf numFmtId="0" fontId="22" fillId="0" borderId="0" xfId="0" applyFont="1" applyFill="1" applyAlignment="1">
      <alignment horizontal="center" vertical="center"/>
    </xf>
    <xf numFmtId="164" fontId="22" fillId="0" borderId="56" xfId="1" applyNumberFormat="1" applyFont="1" applyFill="1" applyBorder="1" applyAlignment="1">
      <alignment vertical="center" wrapText="1"/>
    </xf>
    <xf numFmtId="164" fontId="22" fillId="0" borderId="9" xfId="1" applyNumberFormat="1" applyFont="1" applyFill="1" applyBorder="1" applyAlignment="1">
      <alignment vertical="center" wrapText="1"/>
    </xf>
    <xf numFmtId="0" fontId="5" fillId="0" borderId="0" xfId="0" applyFont="1" applyFill="1" applyAlignment="1">
      <alignment horizontal="left" wrapText="1"/>
    </xf>
    <xf numFmtId="165" fontId="5" fillId="0" borderId="0" xfId="0" applyNumberFormat="1" applyFont="1" applyFill="1" applyAlignment="1">
      <alignment horizontal="left" wrapText="1"/>
    </xf>
    <xf numFmtId="164" fontId="6" fillId="0" borderId="56" xfId="1" applyNumberFormat="1" applyFont="1" applyFill="1" applyBorder="1" applyAlignment="1">
      <alignment horizontal="center" vertical="top" wrapText="1"/>
    </xf>
    <xf numFmtId="164" fontId="6" fillId="0" borderId="9" xfId="1" applyNumberFormat="1" applyFont="1" applyFill="1" applyBorder="1" applyAlignment="1">
      <alignment horizontal="center" vertical="top" wrapText="1"/>
    </xf>
    <xf numFmtId="0" fontId="6" fillId="0" borderId="0" xfId="0" applyFont="1" applyFill="1" applyAlignment="1">
      <alignment horizontal="left" wrapText="1"/>
    </xf>
    <xf numFmtId="164" fontId="6" fillId="0" borderId="59" xfId="1" applyNumberFormat="1" applyFont="1" applyFill="1" applyBorder="1" applyAlignment="1">
      <alignment horizontal="center" vertical="top" wrapText="1"/>
    </xf>
    <xf numFmtId="164" fontId="6" fillId="0" borderId="57" xfId="1" applyNumberFormat="1" applyFont="1" applyFill="1" applyBorder="1" applyAlignment="1">
      <alignment horizontal="center" vertical="top" wrapText="1"/>
    </xf>
    <xf numFmtId="164" fontId="6" fillId="0" borderId="58" xfId="1" applyNumberFormat="1" applyFont="1" applyFill="1" applyBorder="1" applyAlignment="1">
      <alignment horizontal="center" vertical="top" wrapText="1"/>
    </xf>
    <xf numFmtId="0" fontId="6" fillId="0" borderId="0" xfId="0" applyFont="1" applyFill="1" applyAlignment="1">
      <alignment horizontal="center" vertical="center"/>
    </xf>
    <xf numFmtId="164" fontId="6" fillId="0" borderId="56" xfId="1" applyNumberFormat="1" applyFont="1" applyFill="1" applyBorder="1" applyAlignment="1">
      <alignment vertical="center" wrapText="1"/>
    </xf>
    <xf numFmtId="164" fontId="6" fillId="0" borderId="9" xfId="1" applyNumberFormat="1" applyFont="1" applyFill="1" applyBorder="1" applyAlignment="1">
      <alignment vertical="center" wrapText="1"/>
    </xf>
    <xf numFmtId="0" fontId="30" fillId="0" borderId="0" xfId="0" applyFont="1" applyBorder="1" applyAlignment="1">
      <alignment horizontal="right"/>
    </xf>
    <xf numFmtId="164" fontId="24" fillId="0" borderId="63" xfId="1" applyNumberFormat="1" applyFont="1" applyBorder="1" applyAlignment="1">
      <alignment horizontal="center" vertical="center" wrapText="1"/>
    </xf>
    <xf numFmtId="164" fontId="24" fillId="0" borderId="65" xfId="1" applyNumberFormat="1" applyFont="1" applyBorder="1" applyAlignment="1">
      <alignment horizontal="center" vertical="center" wrapText="1"/>
    </xf>
    <xf numFmtId="164" fontId="24" fillId="0" borderId="64" xfId="1" applyNumberFormat="1" applyFont="1" applyBorder="1" applyAlignment="1">
      <alignment horizontal="center" vertical="center" wrapText="1"/>
    </xf>
    <xf numFmtId="164" fontId="24" fillId="0" borderId="9" xfId="1" applyNumberFormat="1" applyFont="1" applyBorder="1" applyAlignment="1">
      <alignment horizontal="center" vertical="center" wrapText="1"/>
    </xf>
    <xf numFmtId="0" fontId="9" fillId="0" borderId="0" xfId="0" applyFont="1" applyAlignment="1">
      <alignment horizontal="center"/>
    </xf>
    <xf numFmtId="0" fontId="24" fillId="0" borderId="0" xfId="0" applyFont="1" applyAlignment="1">
      <alignment horizontal="center" wrapText="1"/>
    </xf>
    <xf numFmtId="0" fontId="24" fillId="0" borderId="0" xfId="0" applyFont="1" applyAlignment="1">
      <alignment horizontal="center"/>
    </xf>
    <xf numFmtId="0" fontId="24" fillId="0" borderId="0" xfId="0" applyFont="1" applyAlignment="1">
      <alignment horizontal="center" vertical="center"/>
    </xf>
    <xf numFmtId="0" fontId="59" fillId="0" borderId="73" xfId="0" applyFont="1" applyBorder="1" applyAlignment="1">
      <alignment horizontal="center" vertical="center" wrapText="1"/>
    </xf>
    <xf numFmtId="0" fontId="59" fillId="0" borderId="72" xfId="0" applyFont="1" applyBorder="1" applyAlignment="1">
      <alignment horizontal="center" vertical="center" wrapText="1"/>
    </xf>
    <xf numFmtId="0" fontId="10" fillId="0" borderId="0" xfId="0" applyFont="1" applyAlignment="1">
      <alignment horizontal="left" wrapText="1"/>
    </xf>
    <xf numFmtId="0" fontId="21" fillId="0" borderId="0" xfId="0" applyFont="1" applyAlignment="1">
      <alignment horizontal="center"/>
    </xf>
    <xf numFmtId="164" fontId="22" fillId="0" borderId="40" xfId="1" applyNumberFormat="1" applyFont="1" applyBorder="1" applyAlignment="1">
      <alignment horizontal="center" vertical="center" wrapText="1"/>
    </xf>
    <xf numFmtId="164" fontId="22" fillId="0" borderId="14" xfId="1" applyNumberFormat="1" applyFont="1" applyBorder="1" applyAlignment="1">
      <alignment horizontal="center" vertical="center" wrapText="1"/>
    </xf>
    <xf numFmtId="0" fontId="33" fillId="0" borderId="52" xfId="0" applyFont="1" applyBorder="1" applyAlignment="1">
      <alignment horizontal="center" vertical="center" wrapText="1"/>
    </xf>
    <xf numFmtId="0" fontId="33" fillId="0" borderId="34" xfId="0" applyFont="1" applyBorder="1" applyAlignment="1">
      <alignment horizontal="center" vertical="center" wrapText="1"/>
    </xf>
    <xf numFmtId="0" fontId="23" fillId="0" borderId="51" xfId="0" applyFont="1" applyBorder="1" applyAlignment="1">
      <alignment horizontal="right"/>
    </xf>
    <xf numFmtId="0" fontId="7" fillId="0" borderId="0" xfId="0" applyFont="1" applyAlignment="1">
      <alignment horizontal="left" wrapText="1"/>
    </xf>
    <xf numFmtId="164" fontId="22" fillId="0" borderId="38" xfId="1" applyNumberFormat="1" applyFont="1" applyBorder="1" applyAlignment="1">
      <alignment horizontal="center" vertical="center" wrapText="1"/>
    </xf>
    <xf numFmtId="164" fontId="22" fillId="0" borderId="45" xfId="1" applyNumberFormat="1" applyFont="1" applyBorder="1" applyAlignment="1">
      <alignment horizontal="center" vertical="center" wrapText="1"/>
    </xf>
    <xf numFmtId="164" fontId="22" fillId="0" borderId="39" xfId="1" applyNumberFormat="1" applyFont="1" applyBorder="1" applyAlignment="1">
      <alignment horizontal="center" vertical="center" wrapText="1"/>
    </xf>
    <xf numFmtId="164" fontId="22" fillId="0" borderId="8" xfId="1" applyNumberFormat="1" applyFont="1" applyBorder="1" applyAlignment="1">
      <alignment horizontal="center" vertical="center" wrapText="1"/>
    </xf>
    <xf numFmtId="164" fontId="22" fillId="0" borderId="11" xfId="1" applyNumberFormat="1" applyFont="1" applyBorder="1" applyAlignment="1">
      <alignment horizontal="center" vertical="center" wrapText="1"/>
    </xf>
    <xf numFmtId="0" fontId="12" fillId="0" borderId="0" xfId="0" applyFont="1" applyAlignment="1">
      <alignment horizontal="center"/>
    </xf>
    <xf numFmtId="0" fontId="22" fillId="0" borderId="0" xfId="0" applyFont="1" applyAlignment="1">
      <alignment horizontal="center" wrapText="1"/>
    </xf>
    <xf numFmtId="0" fontId="6" fillId="0" borderId="0" xfId="0" applyFont="1" applyAlignment="1">
      <alignment horizontal="center" vertical="center" wrapText="1"/>
    </xf>
    <xf numFmtId="0" fontId="5" fillId="0" borderId="0" xfId="0" applyFont="1" applyAlignment="1">
      <alignment horizontal="left" vertical="center" wrapText="1"/>
    </xf>
    <xf numFmtId="0" fontId="35" fillId="0" borderId="0" xfId="0" applyFont="1" applyAlignment="1">
      <alignment horizontal="right" vertical="center" wrapText="1"/>
    </xf>
    <xf numFmtId="0" fontId="13" fillId="0" borderId="0" xfId="0" applyFont="1" applyAlignment="1">
      <alignment horizontal="left" vertical="center" wrapText="1"/>
    </xf>
    <xf numFmtId="0" fontId="6" fillId="0" borderId="77" xfId="0" applyFont="1" applyBorder="1" applyAlignment="1">
      <alignment horizontal="left" vertical="top" wrapText="1"/>
    </xf>
    <xf numFmtId="0" fontId="6" fillId="0" borderId="80" xfId="0" applyFont="1" applyBorder="1" applyAlignment="1">
      <alignment horizontal="left" vertical="top" wrapText="1"/>
    </xf>
    <xf numFmtId="0" fontId="6" fillId="0" borderId="79" xfId="0" applyFont="1" applyBorder="1" applyAlignment="1">
      <alignment horizontal="left" vertical="top" wrapText="1"/>
    </xf>
    <xf numFmtId="0" fontId="12"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43" fillId="0" borderId="0" xfId="0" applyFont="1" applyBorder="1" applyAlignment="1">
      <alignment horizontal="left" vertical="center" wrapText="1"/>
    </xf>
    <xf numFmtId="0" fontId="6" fillId="0" borderId="0" xfId="0" applyFont="1" applyBorder="1" applyAlignment="1">
      <alignment horizontal="left" vertical="center" wrapText="1"/>
    </xf>
    <xf numFmtId="0" fontId="35" fillId="0" borderId="0" xfId="0" applyFont="1" applyBorder="1" applyAlignment="1">
      <alignment horizontal="right" vertical="center" wrapText="1"/>
    </xf>
    <xf numFmtId="0" fontId="5" fillId="0" borderId="0" xfId="0" applyFont="1" applyBorder="1" applyAlignment="1">
      <alignment horizontal="left" vertical="center" wrapText="1"/>
    </xf>
    <xf numFmtId="0" fontId="6" fillId="0" borderId="0" xfId="0" applyFont="1" applyBorder="1" applyAlignment="1">
      <alignment horizontal="center" vertical="center" wrapText="1"/>
    </xf>
    <xf numFmtId="0" fontId="42" fillId="0" borderId="75" xfId="0" applyFont="1" applyBorder="1" applyAlignment="1">
      <alignment horizontal="center" vertical="center" wrapText="1"/>
    </xf>
    <xf numFmtId="0" fontId="16" fillId="0" borderId="0" xfId="0" applyFont="1" applyAlignment="1">
      <alignment horizontal="left" vertical="center" wrapText="1"/>
    </xf>
    <xf numFmtId="0" fontId="22" fillId="0" borderId="0" xfId="0" applyFont="1" applyAlignment="1">
      <alignment horizontal="left" vertical="center"/>
    </xf>
    <xf numFmtId="0" fontId="5" fillId="0" borderId="7" xfId="0" applyFont="1" applyBorder="1" applyAlignment="1">
      <alignment horizontal="left" vertical="center" wrapText="1"/>
    </xf>
    <xf numFmtId="0" fontId="14" fillId="0" borderId="0" xfId="0" applyFont="1" applyAlignment="1">
      <alignment horizontal="center"/>
    </xf>
    <xf numFmtId="0" fontId="48" fillId="0" borderId="0" xfId="0" applyFont="1" applyBorder="1" applyAlignment="1">
      <alignment horizontal="right"/>
    </xf>
    <xf numFmtId="0" fontId="13" fillId="0" borderId="0" xfId="0" applyFont="1" applyAlignment="1">
      <alignment horizontal="center"/>
    </xf>
    <xf numFmtId="0" fontId="9" fillId="0" borderId="0" xfId="0" applyFont="1" applyAlignment="1">
      <alignment horizontal="left" wrapText="1"/>
    </xf>
    <xf numFmtId="0" fontId="6" fillId="0" borderId="0" xfId="0" applyFont="1" applyAlignment="1">
      <alignment horizontal="center" wrapText="1"/>
    </xf>
    <xf numFmtId="0" fontId="25" fillId="0" borderId="0" xfId="0" applyFont="1" applyAlignment="1">
      <alignment horizontal="center" vertical="center"/>
    </xf>
    <xf numFmtId="0" fontId="30" fillId="0" borderId="0" xfId="0" applyFont="1" applyBorder="1" applyAlignment="1">
      <alignment horizontal="center" vertical="center"/>
    </xf>
    <xf numFmtId="0" fontId="30" fillId="0" borderId="0" xfId="0" applyFont="1" applyBorder="1" applyAlignment="1">
      <alignment horizontal="right" vertical="center" wrapText="1"/>
    </xf>
    <xf numFmtId="0" fontId="25" fillId="0" borderId="0" xfId="0" applyFont="1" applyBorder="1" applyAlignment="1">
      <alignment horizontal="left" vertical="center" wrapText="1"/>
    </xf>
    <xf numFmtId="0" fontId="22" fillId="0" borderId="0" xfId="0" applyFont="1" applyAlignment="1">
      <alignment horizontal="center" vertical="center" wrapText="1"/>
    </xf>
    <xf numFmtId="0" fontId="25" fillId="0" borderId="5" xfId="0" applyFont="1" applyBorder="1" applyAlignment="1">
      <alignment horizontal="center" vertical="center"/>
    </xf>
    <xf numFmtId="0" fontId="25" fillId="0" borderId="65" xfId="0" applyFont="1" applyBorder="1" applyAlignment="1">
      <alignment horizontal="center" vertical="center"/>
    </xf>
    <xf numFmtId="0" fontId="25" fillId="0" borderId="6" xfId="0" applyFont="1" applyBorder="1" applyAlignment="1">
      <alignment horizontal="center" vertical="center"/>
    </xf>
    <xf numFmtId="0" fontId="30" fillId="0" borderId="0" xfId="0" applyFont="1" applyBorder="1" applyAlignment="1">
      <alignment horizontal="center" vertical="center" wrapText="1"/>
    </xf>
    <xf numFmtId="0" fontId="26" fillId="0" borderId="0" xfId="0" applyFont="1" applyAlignment="1">
      <alignment horizontal="center"/>
    </xf>
    <xf numFmtId="0" fontId="9"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right" vertical="center"/>
    </xf>
    <xf numFmtId="0" fontId="14" fillId="0" borderId="0" xfId="0" applyFont="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horizontal="right" wrapText="1"/>
    </xf>
    <xf numFmtId="0" fontId="14" fillId="0" borderId="0" xfId="0" applyFont="1" applyAlignment="1">
      <alignment horizontal="center" vertical="center" wrapText="1"/>
    </xf>
    <xf numFmtId="0" fontId="17" fillId="0" borderId="0" xfId="0" applyFont="1" applyBorder="1" applyAlignment="1">
      <alignment horizontal="right" vertical="center"/>
    </xf>
    <xf numFmtId="0" fontId="25" fillId="0" borderId="0" xfId="4" applyFont="1" applyFill="1" applyAlignment="1">
      <alignment horizontal="center"/>
    </xf>
    <xf numFmtId="0" fontId="24" fillId="0" borderId="0" xfId="4" applyFont="1" applyFill="1" applyAlignment="1">
      <alignment horizontal="center"/>
    </xf>
    <xf numFmtId="0" fontId="24" fillId="0" borderId="0" xfId="4" applyFont="1" applyFill="1" applyBorder="1" applyAlignment="1">
      <alignment horizontal="center" vertical="center" wrapText="1"/>
    </xf>
    <xf numFmtId="0" fontId="20" fillId="0" borderId="77" xfId="4" applyFont="1" applyFill="1" applyBorder="1" applyAlignment="1">
      <alignment horizontal="center"/>
    </xf>
    <xf numFmtId="0" fontId="20" fillId="0" borderId="53" xfId="4" applyFont="1" applyFill="1" applyBorder="1" applyAlignment="1">
      <alignment horizontal="center"/>
    </xf>
    <xf numFmtId="164" fontId="6" fillId="0" borderId="75" xfId="0" applyNumberFormat="1" applyFont="1" applyBorder="1" applyAlignment="1">
      <alignment horizontal="center" vertical="center" wrapText="1"/>
    </xf>
  </cellXfs>
  <cellStyles count="587">
    <cellStyle name="Comma" xfId="1" builtinId="3"/>
    <cellStyle name="Comma [0]" xfId="2" builtinId="6"/>
    <cellStyle name="Comma 2" xfId="3"/>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Normal" xfId="0" builtinId="0"/>
    <cellStyle name="Normal 2" xfId="4"/>
    <cellStyle name="Normal 3" xfId="5"/>
    <cellStyle name="Normal 4" xfId="6"/>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workbookViewId="0">
      <selection activeCell="K12" sqref="K12"/>
    </sheetView>
  </sheetViews>
  <sheetFormatPr defaultColWidth="8.85546875" defaultRowHeight="12.75" x14ac:dyDescent="0.2"/>
  <cols>
    <col min="1" max="1" width="5.42578125" style="1" customWidth="1"/>
    <col min="2" max="2" width="31.42578125" style="2" customWidth="1"/>
    <col min="3" max="3" width="8.42578125" style="2" customWidth="1"/>
    <col min="4" max="6" width="9.28515625" style="2" customWidth="1"/>
    <col min="7" max="8" width="9.28515625" customWidth="1"/>
  </cols>
  <sheetData>
    <row r="1" spans="1:13" ht="14.25" customHeight="1" x14ac:dyDescent="0.25">
      <c r="A1" s="1047" t="s">
        <v>3</v>
      </c>
      <c r="B1" s="1047"/>
      <c r="C1" s="10"/>
      <c r="D1" s="10"/>
      <c r="E1" s="10"/>
      <c r="F1" s="10"/>
      <c r="G1" s="746" t="s">
        <v>246</v>
      </c>
      <c r="H1" s="746"/>
      <c r="J1" s="6"/>
      <c r="K1" s="6"/>
      <c r="L1" s="6"/>
      <c r="M1" s="6"/>
    </row>
    <row r="2" spans="1:13" x14ac:dyDescent="0.2">
      <c r="A2" s="1048" t="s">
        <v>607</v>
      </c>
      <c r="B2" s="1048"/>
      <c r="C2" s="10"/>
      <c r="D2" s="10"/>
      <c r="E2" s="10"/>
      <c r="F2" s="10"/>
      <c r="G2" s="10"/>
      <c r="H2" s="11"/>
      <c r="I2" s="11"/>
      <c r="J2" s="6"/>
      <c r="K2" s="6"/>
      <c r="L2" s="6"/>
      <c r="M2" s="6"/>
    </row>
    <row r="3" spans="1:13" x14ac:dyDescent="0.2">
      <c r="A3" s="1046" t="s">
        <v>835</v>
      </c>
      <c r="B3" s="1046"/>
      <c r="C3" s="1046"/>
      <c r="D3" s="1046"/>
      <c r="E3" s="1046"/>
      <c r="F3" s="1046"/>
      <c r="G3" s="1046"/>
      <c r="H3" s="1046"/>
      <c r="I3" s="759"/>
      <c r="J3" s="6"/>
      <c r="K3" s="6"/>
      <c r="L3" s="6"/>
      <c r="M3" s="6"/>
    </row>
    <row r="4" spans="1:13" x14ac:dyDescent="0.2">
      <c r="A4" s="1046" t="s">
        <v>1070</v>
      </c>
      <c r="B4" s="1046"/>
      <c r="C4" s="1046"/>
      <c r="D4" s="1046"/>
      <c r="E4" s="1046"/>
      <c r="F4" s="1046"/>
      <c r="G4" s="1046"/>
      <c r="H4" s="1046"/>
      <c r="I4" s="754"/>
      <c r="J4" s="6"/>
      <c r="K4" s="6"/>
      <c r="L4" s="6"/>
      <c r="M4" s="6"/>
    </row>
    <row r="5" spans="1:13" ht="13.5" thickBot="1" x14ac:dyDescent="0.25">
      <c r="A5" s="58"/>
      <c r="B5" s="58"/>
      <c r="C5" s="58"/>
      <c r="D5" s="58"/>
      <c r="E5" s="58"/>
      <c r="F5" s="1049" t="s">
        <v>836</v>
      </c>
      <c r="G5" s="1049"/>
      <c r="H5" s="1049"/>
      <c r="J5" s="6"/>
      <c r="K5" s="6"/>
      <c r="L5" s="6"/>
      <c r="M5" s="6"/>
    </row>
    <row r="6" spans="1:13" ht="37.5" customHeight="1" thickTop="1" x14ac:dyDescent="0.2">
      <c r="A6" s="59" t="s">
        <v>0</v>
      </c>
      <c r="B6" s="757" t="s">
        <v>41</v>
      </c>
      <c r="C6" s="757" t="s">
        <v>1</v>
      </c>
      <c r="D6" s="185" t="s">
        <v>249</v>
      </c>
      <c r="E6" s="185" t="s">
        <v>250</v>
      </c>
      <c r="F6" s="185" t="s">
        <v>251</v>
      </c>
      <c r="G6" s="757" t="s">
        <v>70</v>
      </c>
      <c r="H6" s="61" t="s">
        <v>2</v>
      </c>
      <c r="I6" s="11"/>
      <c r="J6" s="6"/>
      <c r="K6" s="6"/>
      <c r="L6" s="6"/>
      <c r="M6" s="6"/>
    </row>
    <row r="7" spans="1:13" s="1" customFormat="1" ht="27.95" customHeight="1" x14ac:dyDescent="0.2">
      <c r="A7" s="62" t="s">
        <v>117</v>
      </c>
      <c r="B7" s="57" t="s">
        <v>118</v>
      </c>
      <c r="C7" s="57" t="s">
        <v>119</v>
      </c>
      <c r="D7" s="57" t="s">
        <v>120</v>
      </c>
      <c r="E7" s="57" t="s">
        <v>121</v>
      </c>
      <c r="F7" s="57" t="s">
        <v>122</v>
      </c>
      <c r="G7" s="57" t="s">
        <v>123</v>
      </c>
      <c r="H7" s="63" t="s">
        <v>124</v>
      </c>
      <c r="I7" s="756"/>
      <c r="J7" s="5"/>
      <c r="K7" s="5"/>
      <c r="L7" s="5"/>
      <c r="M7" s="5"/>
    </row>
    <row r="8" spans="1:13" s="1" customFormat="1" ht="27.95" customHeight="1" x14ac:dyDescent="0.2">
      <c r="A8" s="945" t="s">
        <v>6</v>
      </c>
      <c r="B8" s="946" t="s">
        <v>216</v>
      </c>
      <c r="C8" s="947"/>
      <c r="D8" s="948">
        <f>D9+D15</f>
        <v>763</v>
      </c>
      <c r="E8" s="948">
        <f t="shared" ref="E8:F8" si="0">E9+E15</f>
        <v>741</v>
      </c>
      <c r="F8" s="948">
        <f t="shared" si="0"/>
        <v>132</v>
      </c>
      <c r="G8" s="947">
        <f>SUM(D8:F8)</f>
        <v>1636</v>
      </c>
      <c r="H8" s="947"/>
      <c r="I8" s="756"/>
      <c r="J8" s="5"/>
      <c r="K8" s="5"/>
      <c r="L8" s="5"/>
      <c r="M8" s="5"/>
    </row>
    <row r="9" spans="1:13" s="3" customFormat="1" ht="27.95" customHeight="1" x14ac:dyDescent="0.2">
      <c r="A9" s="949" t="s">
        <v>7</v>
      </c>
      <c r="B9" s="950" t="s">
        <v>4</v>
      </c>
      <c r="C9" s="950"/>
      <c r="D9" s="896">
        <f>SUM(D10:D14)</f>
        <v>643</v>
      </c>
      <c r="E9" s="896">
        <f t="shared" ref="E9:G9" si="1">SUM(E10:E14)</f>
        <v>641</v>
      </c>
      <c r="F9" s="896">
        <f t="shared" si="1"/>
        <v>82</v>
      </c>
      <c r="G9" s="896">
        <f t="shared" si="1"/>
        <v>1366</v>
      </c>
      <c r="H9" s="951"/>
      <c r="I9" s="12"/>
      <c r="J9" s="8"/>
      <c r="K9" s="8"/>
      <c r="L9" s="8"/>
      <c r="M9" s="8"/>
    </row>
    <row r="10" spans="1:13" s="41" customFormat="1" ht="27.95" customHeight="1" x14ac:dyDescent="0.2">
      <c r="A10" s="952"/>
      <c r="B10" s="953" t="s">
        <v>840</v>
      </c>
      <c r="C10" s="954" t="s">
        <v>69</v>
      </c>
      <c r="D10" s="601">
        <v>67</v>
      </c>
      <c r="E10" s="601">
        <v>67</v>
      </c>
      <c r="F10" s="601">
        <v>29</v>
      </c>
      <c r="G10" s="954">
        <f t="shared" ref="G10:G13" si="2">SUM(D10:F10)</f>
        <v>163</v>
      </c>
      <c r="H10" s="955"/>
      <c r="I10" s="13"/>
      <c r="J10" s="9"/>
      <c r="K10" s="9"/>
      <c r="L10" s="9"/>
      <c r="M10" s="9"/>
    </row>
    <row r="11" spans="1:13" s="41" customFormat="1" ht="27.95" customHeight="1" x14ac:dyDescent="0.2">
      <c r="A11" s="952"/>
      <c r="B11" s="953" t="s">
        <v>841</v>
      </c>
      <c r="C11" s="954" t="s">
        <v>69</v>
      </c>
      <c r="D11" s="894">
        <v>0</v>
      </c>
      <c r="E11" s="894">
        <v>0</v>
      </c>
      <c r="F11" s="894">
        <v>0</v>
      </c>
      <c r="G11" s="954">
        <f t="shared" si="2"/>
        <v>0</v>
      </c>
      <c r="H11" s="955"/>
      <c r="I11" s="13"/>
      <c r="J11" s="9"/>
      <c r="K11" s="9"/>
      <c r="L11" s="9"/>
      <c r="M11" s="9"/>
    </row>
    <row r="12" spans="1:13" s="41" customFormat="1" ht="27.95" customHeight="1" x14ac:dyDescent="0.2">
      <c r="A12" s="952"/>
      <c r="B12" s="953" t="s">
        <v>151</v>
      </c>
      <c r="C12" s="954" t="s">
        <v>69</v>
      </c>
      <c r="D12" s="894">
        <v>224</v>
      </c>
      <c r="E12" s="894">
        <v>269</v>
      </c>
      <c r="F12" s="894">
        <v>0</v>
      </c>
      <c r="G12" s="954">
        <f t="shared" si="2"/>
        <v>493</v>
      </c>
      <c r="H12" s="955"/>
      <c r="I12" s="13"/>
      <c r="J12" s="9"/>
      <c r="K12" s="9"/>
      <c r="L12" s="9"/>
      <c r="M12" s="9"/>
    </row>
    <row r="13" spans="1:13" s="41" customFormat="1" ht="27.95" customHeight="1" x14ac:dyDescent="0.2">
      <c r="A13" s="952"/>
      <c r="B13" s="953" t="s">
        <v>608</v>
      </c>
      <c r="C13" s="954" t="s">
        <v>69</v>
      </c>
      <c r="D13" s="954">
        <v>151</v>
      </c>
      <c r="E13" s="954">
        <v>123</v>
      </c>
      <c r="F13" s="382">
        <v>31</v>
      </c>
      <c r="G13" s="954">
        <f t="shared" si="2"/>
        <v>305</v>
      </c>
      <c r="H13" s="955"/>
      <c r="I13" s="13"/>
      <c r="J13" s="9"/>
      <c r="K13" s="9"/>
      <c r="L13" s="9"/>
      <c r="M13" s="9"/>
    </row>
    <row r="14" spans="1:13" s="41" customFormat="1" ht="27.95" customHeight="1" x14ac:dyDescent="0.2">
      <c r="A14" s="952"/>
      <c r="B14" s="953" t="s">
        <v>837</v>
      </c>
      <c r="C14" s="954" t="s">
        <v>69</v>
      </c>
      <c r="D14" s="616">
        <v>201</v>
      </c>
      <c r="E14" s="616">
        <v>182</v>
      </c>
      <c r="F14" s="616">
        <v>22</v>
      </c>
      <c r="G14" s="956">
        <f>D14+E14+F14</f>
        <v>405</v>
      </c>
      <c r="H14" s="955"/>
      <c r="I14" s="13"/>
      <c r="J14" s="9"/>
      <c r="K14" s="9"/>
      <c r="L14" s="9"/>
      <c r="M14" s="9"/>
    </row>
    <row r="15" spans="1:13" s="4" customFormat="1" ht="46.5" customHeight="1" x14ac:dyDescent="0.2">
      <c r="A15" s="952"/>
      <c r="B15" s="957" t="s">
        <v>616</v>
      </c>
      <c r="C15" s="954"/>
      <c r="D15" s="956">
        <v>120</v>
      </c>
      <c r="E15" s="956">
        <v>100</v>
      </c>
      <c r="F15" s="956">
        <v>50</v>
      </c>
      <c r="G15" s="958">
        <f>SUM(D15:F15)</f>
        <v>270</v>
      </c>
      <c r="H15" s="955"/>
      <c r="I15" s="13"/>
      <c r="J15" s="9"/>
      <c r="K15" s="9"/>
      <c r="L15" s="9"/>
      <c r="M15" s="9"/>
    </row>
    <row r="16" spans="1:13" x14ac:dyDescent="0.2">
      <c r="A16" s="756"/>
      <c r="B16" s="10"/>
      <c r="C16" s="10"/>
      <c r="D16" s="10"/>
      <c r="E16" s="1050" t="s">
        <v>1071</v>
      </c>
      <c r="F16" s="1050"/>
      <c r="G16" s="1050"/>
      <c r="H16" s="1050"/>
      <c r="I16" s="11"/>
      <c r="J16" s="6"/>
      <c r="K16" s="6"/>
      <c r="L16" s="6"/>
      <c r="M16" s="6"/>
    </row>
    <row r="17" spans="1:13" ht="12.75" customHeight="1" x14ac:dyDescent="0.2">
      <c r="A17" s="232"/>
      <c r="B17" s="233"/>
      <c r="C17" s="232"/>
      <c r="D17" s="232"/>
      <c r="E17" s="1051" t="s">
        <v>577</v>
      </c>
      <c r="F17" s="1051"/>
      <c r="G17" s="1051"/>
      <c r="H17" s="1051"/>
      <c r="J17" s="6"/>
      <c r="K17" s="6"/>
      <c r="L17" s="6"/>
      <c r="M17" s="6"/>
    </row>
    <row r="18" spans="1:13" ht="20.25" customHeight="1" x14ac:dyDescent="0.2">
      <c r="A18" s="232"/>
      <c r="B18" s="232"/>
      <c r="C18" s="232"/>
      <c r="D18" s="232"/>
      <c r="E18" s="66"/>
      <c r="F18" s="66"/>
      <c r="G18" s="66"/>
      <c r="H18" s="755"/>
      <c r="J18" s="6"/>
      <c r="K18" s="6"/>
      <c r="L18" s="6"/>
      <c r="M18" s="6"/>
    </row>
    <row r="19" spans="1:13" ht="12.75" customHeight="1" x14ac:dyDescent="0.2">
      <c r="A19" s="232"/>
      <c r="B19" s="232"/>
      <c r="C19" s="232"/>
      <c r="D19" s="232"/>
      <c r="E19" s="66"/>
      <c r="F19" s="66"/>
      <c r="G19" s="66"/>
      <c r="H19" s="755"/>
      <c r="J19" s="6"/>
      <c r="K19" s="6"/>
      <c r="L19" s="6"/>
      <c r="M19" s="6"/>
    </row>
    <row r="20" spans="1:13" ht="12.75" customHeight="1" x14ac:dyDescent="0.2">
      <c r="A20" s="232"/>
      <c r="B20" s="232"/>
      <c r="C20" s="232"/>
      <c r="D20" s="232"/>
      <c r="E20" s="1044" t="s">
        <v>858</v>
      </c>
      <c r="F20" s="1044"/>
      <c r="G20" s="1044"/>
      <c r="H20" s="1044"/>
      <c r="J20" s="6"/>
      <c r="K20" s="6"/>
      <c r="L20" s="6"/>
      <c r="M20" s="6"/>
    </row>
    <row r="21" spans="1:13" ht="12.75" customHeight="1" x14ac:dyDescent="0.2">
      <c r="A21" s="232"/>
      <c r="B21" s="232"/>
      <c r="C21" s="232"/>
      <c r="D21" s="232"/>
      <c r="E21" s="232"/>
      <c r="F21" s="232"/>
      <c r="G21" s="232"/>
      <c r="H21" s="232"/>
      <c r="I21" s="11"/>
      <c r="J21" s="6"/>
      <c r="K21" s="6"/>
      <c r="L21" s="6"/>
      <c r="M21" s="6"/>
    </row>
    <row r="22" spans="1:13" ht="12.75" customHeight="1" x14ac:dyDescent="0.2">
      <c r="A22" s="232"/>
      <c r="B22" s="232"/>
      <c r="C22" s="232"/>
      <c r="D22" s="232"/>
      <c r="E22" s="232"/>
      <c r="F22" s="232"/>
      <c r="G22" s="232"/>
      <c r="H22" s="232"/>
      <c r="I22" s="11"/>
      <c r="J22" s="6"/>
      <c r="K22" s="6"/>
      <c r="L22" s="6"/>
      <c r="M22" s="6"/>
    </row>
    <row r="23" spans="1:13" ht="49.5" customHeight="1" x14ac:dyDescent="0.2">
      <c r="A23" s="232"/>
      <c r="B23" s="232"/>
      <c r="C23" s="232"/>
      <c r="D23" s="232"/>
      <c r="E23" s="232"/>
      <c r="F23" s="232"/>
      <c r="G23" s="232"/>
      <c r="H23" s="232"/>
      <c r="I23" s="11"/>
      <c r="J23" s="6"/>
      <c r="K23" s="6"/>
      <c r="L23" s="6"/>
      <c r="M23" s="6"/>
    </row>
    <row r="24" spans="1:13" ht="34.5" customHeight="1" x14ac:dyDescent="0.25">
      <c r="A24" s="1045"/>
      <c r="B24" s="1045"/>
      <c r="C24" s="1045"/>
      <c r="D24" s="1045"/>
      <c r="E24" s="1045"/>
      <c r="F24" s="1045"/>
      <c r="G24" s="1045"/>
      <c r="H24" s="1045"/>
      <c r="I24" s="11"/>
      <c r="J24" s="6"/>
      <c r="K24" s="6"/>
      <c r="L24" s="6"/>
      <c r="M24" s="6"/>
    </row>
    <row r="25" spans="1:13" ht="33.75" customHeight="1" x14ac:dyDescent="0.25">
      <c r="A25" s="1045"/>
      <c r="B25" s="1045"/>
      <c r="C25" s="1045"/>
      <c r="D25" s="1045"/>
      <c r="E25" s="1045"/>
      <c r="F25" s="1045"/>
      <c r="G25" s="1045"/>
      <c r="H25" s="1045"/>
      <c r="I25" s="11"/>
      <c r="J25" s="6"/>
      <c r="K25" s="6"/>
      <c r="L25" s="6"/>
      <c r="M25" s="6"/>
    </row>
    <row r="26" spans="1:13" x14ac:dyDescent="0.2">
      <c r="A26" s="170"/>
      <c r="B26" s="171"/>
      <c r="C26" s="171"/>
      <c r="D26" s="171"/>
      <c r="E26" s="171"/>
      <c r="F26" s="171"/>
      <c r="G26" s="172"/>
      <c r="H26" s="172"/>
      <c r="I26" s="11"/>
      <c r="J26" s="6"/>
      <c r="K26" s="6"/>
      <c r="L26" s="6"/>
      <c r="M26" s="6"/>
    </row>
    <row r="27" spans="1:13" x14ac:dyDescent="0.2">
      <c r="A27" s="756"/>
      <c r="B27" s="10"/>
      <c r="C27" s="10"/>
      <c r="D27" s="10"/>
      <c r="E27" s="10"/>
      <c r="F27" s="10"/>
      <c r="G27" s="11"/>
      <c r="H27" s="11"/>
      <c r="I27" s="11"/>
      <c r="J27" s="6"/>
      <c r="K27" s="6"/>
      <c r="L27" s="6"/>
      <c r="M27" s="6"/>
    </row>
    <row r="28" spans="1:13" x14ac:dyDescent="0.2">
      <c r="A28" s="756"/>
      <c r="B28" s="10"/>
      <c r="C28" s="10"/>
      <c r="D28" s="10"/>
      <c r="E28" s="10"/>
      <c r="F28" s="10"/>
      <c r="G28" s="11"/>
      <c r="H28" s="11"/>
      <c r="I28" s="11"/>
      <c r="J28" s="6"/>
      <c r="K28" s="6"/>
      <c r="L28" s="6"/>
      <c r="M28" s="6"/>
    </row>
    <row r="29" spans="1:13" x14ac:dyDescent="0.2">
      <c r="A29" s="756"/>
      <c r="B29" s="10"/>
      <c r="C29" s="10"/>
      <c r="D29" s="10"/>
      <c r="E29" s="10"/>
      <c r="F29" s="10"/>
      <c r="G29" s="11"/>
      <c r="H29" s="11"/>
      <c r="I29" s="11"/>
      <c r="J29" s="6"/>
      <c r="K29" s="6"/>
      <c r="L29" s="6"/>
      <c r="M29" s="6"/>
    </row>
    <row r="30" spans="1:13" x14ac:dyDescent="0.2">
      <c r="A30" s="756"/>
      <c r="B30" s="10"/>
      <c r="C30" s="10"/>
      <c r="D30" s="10"/>
      <c r="E30" s="10"/>
      <c r="F30" s="10"/>
      <c r="G30" s="11"/>
      <c r="H30" s="11"/>
      <c r="I30" s="11"/>
      <c r="J30" s="6"/>
      <c r="K30" s="6"/>
      <c r="L30" s="6"/>
      <c r="M30" s="6"/>
    </row>
    <row r="31" spans="1:13" x14ac:dyDescent="0.2">
      <c r="A31" s="756"/>
      <c r="B31" s="10"/>
      <c r="C31" s="10"/>
      <c r="D31" s="10"/>
      <c r="E31" s="10"/>
      <c r="F31" s="10"/>
      <c r="G31" s="11"/>
      <c r="H31" s="11"/>
      <c r="I31" s="11"/>
      <c r="J31" s="6"/>
      <c r="K31" s="6"/>
      <c r="L31" s="6"/>
      <c r="M31" s="6"/>
    </row>
    <row r="32" spans="1:13" x14ac:dyDescent="0.2">
      <c r="A32" s="756"/>
      <c r="B32" s="10"/>
      <c r="C32" s="10"/>
      <c r="D32" s="10"/>
      <c r="E32" s="10"/>
      <c r="F32" s="10"/>
      <c r="G32" s="11"/>
      <c r="H32" s="11"/>
      <c r="I32" s="11"/>
      <c r="J32" s="6"/>
      <c r="K32" s="6"/>
      <c r="L32" s="6"/>
      <c r="M32" s="6"/>
    </row>
    <row r="33" spans="1:13" x14ac:dyDescent="0.2">
      <c r="A33" s="756"/>
      <c r="B33" s="10"/>
      <c r="C33" s="10"/>
      <c r="D33" s="10"/>
      <c r="E33" s="10"/>
      <c r="F33" s="10"/>
      <c r="G33" s="11"/>
      <c r="H33" s="11"/>
      <c r="I33" s="11"/>
      <c r="J33" s="6"/>
      <c r="K33" s="6"/>
      <c r="L33" s="6"/>
      <c r="M33" s="6"/>
    </row>
    <row r="34" spans="1:13" x14ac:dyDescent="0.2">
      <c r="A34" s="756"/>
      <c r="B34" s="10"/>
      <c r="C34" s="10"/>
      <c r="D34" s="10"/>
      <c r="E34" s="10"/>
      <c r="F34" s="10"/>
      <c r="G34" s="11"/>
      <c r="H34" s="11"/>
      <c r="I34" s="11"/>
      <c r="J34" s="6"/>
      <c r="K34" s="6"/>
      <c r="L34" s="6"/>
      <c r="M34" s="6"/>
    </row>
    <row r="35" spans="1:13" x14ac:dyDescent="0.2">
      <c r="A35" s="756"/>
      <c r="B35" s="10"/>
      <c r="C35" s="10"/>
      <c r="D35" s="10"/>
      <c r="E35" s="10"/>
      <c r="F35" s="10"/>
      <c r="G35" s="11"/>
      <c r="H35" s="11"/>
      <c r="I35" s="11"/>
      <c r="J35" s="6"/>
      <c r="K35" s="6"/>
      <c r="L35" s="6"/>
      <c r="M35" s="6"/>
    </row>
    <row r="36" spans="1:13" x14ac:dyDescent="0.2">
      <c r="A36" s="756"/>
      <c r="B36" s="10"/>
      <c r="C36" s="10"/>
      <c r="D36" s="10"/>
      <c r="E36" s="10"/>
      <c r="F36" s="10"/>
      <c r="G36" s="11"/>
      <c r="H36" s="11"/>
      <c r="I36" s="11"/>
      <c r="J36" s="6"/>
      <c r="K36" s="6"/>
      <c r="L36" s="6"/>
      <c r="M36" s="6"/>
    </row>
    <row r="37" spans="1:13" x14ac:dyDescent="0.2">
      <c r="A37" s="756"/>
      <c r="B37" s="10"/>
      <c r="C37" s="10"/>
      <c r="D37" s="10"/>
      <c r="E37" s="10"/>
      <c r="F37" s="10"/>
      <c r="G37" s="11"/>
      <c r="H37" s="11"/>
      <c r="I37" s="11"/>
      <c r="J37" s="6"/>
      <c r="K37" s="6"/>
      <c r="L37" s="6"/>
      <c r="M37" s="6"/>
    </row>
    <row r="38" spans="1:13" x14ac:dyDescent="0.2">
      <c r="A38" s="756"/>
      <c r="B38" s="10"/>
      <c r="C38" s="10"/>
      <c r="D38" s="10"/>
      <c r="E38" s="10"/>
      <c r="F38" s="10"/>
      <c r="G38" s="11"/>
      <c r="H38" s="11"/>
      <c r="I38" s="11"/>
      <c r="J38" s="6"/>
      <c r="K38" s="6"/>
      <c r="L38" s="6"/>
      <c r="M38" s="6"/>
    </row>
    <row r="39" spans="1:13" x14ac:dyDescent="0.2">
      <c r="A39" s="756"/>
      <c r="B39" s="10"/>
      <c r="C39" s="10"/>
      <c r="D39" s="10"/>
      <c r="E39" s="10"/>
      <c r="F39" s="10"/>
      <c r="G39" s="11"/>
      <c r="H39" s="11"/>
      <c r="I39" s="11"/>
      <c r="J39" s="6"/>
      <c r="K39" s="6"/>
      <c r="L39" s="6"/>
      <c r="M39" s="6"/>
    </row>
    <row r="40" spans="1:13" x14ac:dyDescent="0.2">
      <c r="A40" s="756"/>
      <c r="B40" s="10"/>
      <c r="C40" s="10"/>
      <c r="D40" s="10"/>
      <c r="E40" s="10"/>
      <c r="F40" s="10"/>
      <c r="G40" s="11"/>
      <c r="H40" s="11"/>
      <c r="I40" s="11"/>
      <c r="J40" s="6"/>
      <c r="K40" s="6"/>
      <c r="L40" s="6"/>
      <c r="M40" s="6"/>
    </row>
    <row r="41" spans="1:13" x14ac:dyDescent="0.2">
      <c r="A41" s="756"/>
      <c r="B41" s="10"/>
      <c r="C41" s="10"/>
      <c r="D41" s="10"/>
      <c r="E41" s="10"/>
      <c r="F41" s="10"/>
      <c r="G41" s="11"/>
      <c r="H41" s="11"/>
      <c r="I41" s="11"/>
      <c r="J41" s="6"/>
      <c r="K41" s="6"/>
      <c r="L41" s="6"/>
      <c r="M41" s="6"/>
    </row>
    <row r="42" spans="1:13" x14ac:dyDescent="0.2">
      <c r="A42" s="756"/>
      <c r="B42" s="10"/>
      <c r="C42" s="10"/>
      <c r="D42" s="10"/>
      <c r="E42" s="10"/>
      <c r="F42" s="10"/>
      <c r="G42" s="11"/>
      <c r="H42" s="11"/>
      <c r="I42" s="11"/>
      <c r="J42" s="6"/>
      <c r="K42" s="6"/>
      <c r="L42" s="6"/>
      <c r="M42" s="6"/>
    </row>
    <row r="43" spans="1:13" x14ac:dyDescent="0.2">
      <c r="A43" s="756"/>
      <c r="B43" s="10"/>
      <c r="C43" s="10"/>
      <c r="D43" s="10"/>
      <c r="E43" s="10"/>
      <c r="F43" s="10"/>
      <c r="G43" s="11"/>
      <c r="H43" s="11"/>
      <c r="I43" s="11"/>
      <c r="J43" s="6"/>
      <c r="K43" s="6"/>
      <c r="L43" s="6"/>
      <c r="M43" s="6"/>
    </row>
    <row r="44" spans="1:13" x14ac:dyDescent="0.2">
      <c r="A44" s="756"/>
      <c r="B44" s="10"/>
      <c r="C44" s="10"/>
      <c r="D44" s="10"/>
      <c r="E44" s="10"/>
      <c r="F44" s="10"/>
      <c r="G44" s="11"/>
      <c r="H44" s="11"/>
      <c r="I44" s="11"/>
      <c r="J44" s="6"/>
      <c r="K44" s="6"/>
      <c r="L44" s="6"/>
      <c r="M44" s="6"/>
    </row>
    <row r="45" spans="1:13" x14ac:dyDescent="0.2">
      <c r="A45" s="756"/>
      <c r="B45" s="10"/>
      <c r="C45" s="10"/>
      <c r="D45" s="10"/>
      <c r="E45" s="10"/>
      <c r="F45" s="10"/>
      <c r="G45" s="11"/>
      <c r="H45" s="11"/>
      <c r="I45" s="11"/>
      <c r="J45" s="6"/>
      <c r="K45" s="6"/>
      <c r="L45" s="6"/>
      <c r="M45" s="6"/>
    </row>
    <row r="46" spans="1:13" x14ac:dyDescent="0.2">
      <c r="A46" s="5"/>
      <c r="B46" s="7"/>
      <c r="C46" s="7"/>
      <c r="D46" s="7"/>
      <c r="E46" s="7"/>
      <c r="F46" s="7"/>
      <c r="G46" s="6"/>
      <c r="H46" s="6"/>
      <c r="I46" s="6"/>
      <c r="J46" s="6"/>
      <c r="K46" s="6"/>
      <c r="L46" s="6"/>
      <c r="M46" s="6"/>
    </row>
  </sheetData>
  <mergeCells count="10">
    <mergeCell ref="A1:B1"/>
    <mergeCell ref="A2:B2"/>
    <mergeCell ref="F5:H5"/>
    <mergeCell ref="E16:H16"/>
    <mergeCell ref="E17:H17"/>
    <mergeCell ref="E20:H20"/>
    <mergeCell ref="A24:H24"/>
    <mergeCell ref="A25:H25"/>
    <mergeCell ref="A3:H3"/>
    <mergeCell ref="A4:H4"/>
  </mergeCells>
  <pageMargins left="0.64" right="0.27" top="0.42" bottom="0.53" header="0.42" footer="0.3"/>
  <pageSetup orientation="portrait"/>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90" zoomScaleNormal="90" zoomScalePageLayoutView="90" workbookViewId="0">
      <pane xSplit="2" ySplit="7" topLeftCell="C8" activePane="bottomRight" state="frozen"/>
      <selection pane="topRight" activeCell="C1" sqref="C1"/>
      <selection pane="bottomLeft" activeCell="A8" sqref="A8"/>
      <selection pane="bottomRight" activeCell="B26" sqref="B26"/>
    </sheetView>
  </sheetViews>
  <sheetFormatPr defaultColWidth="8.85546875" defaultRowHeight="15" x14ac:dyDescent="0.2"/>
  <cols>
    <col min="1" max="1" width="5.42578125" style="1005" customWidth="1"/>
    <col min="2" max="2" width="35.42578125" style="1006" customWidth="1"/>
    <col min="3" max="3" width="8.7109375" style="1006" customWidth="1"/>
    <col min="4" max="4" width="7.140625" style="960" customWidth="1"/>
    <col min="5" max="5" width="6.28515625" style="960" customWidth="1"/>
    <col min="6" max="6" width="6.42578125" style="960" customWidth="1"/>
    <col min="7" max="7" width="6.7109375" style="960" customWidth="1"/>
    <col min="8" max="9" width="5.7109375" style="960" customWidth="1"/>
    <col min="10" max="10" width="6.140625" style="960" customWidth="1"/>
    <col min="11" max="11" width="8.140625" style="960" customWidth="1"/>
    <col min="12" max="12" width="7.140625" style="960" customWidth="1"/>
    <col min="13" max="13" width="5.7109375" style="960" customWidth="1"/>
    <col min="14" max="14" width="6.42578125" style="960" customWidth="1"/>
    <col min="15" max="15" width="7.140625" style="960" customWidth="1"/>
    <col min="16" max="16" width="18.7109375" style="960" customWidth="1"/>
    <col min="17" max="16384" width="8.85546875" style="960"/>
  </cols>
  <sheetData>
    <row r="1" spans="1:16" ht="14.25" customHeight="1" x14ac:dyDescent="0.25">
      <c r="A1" s="1106" t="s">
        <v>3</v>
      </c>
      <c r="B1" s="1106"/>
      <c r="C1" s="959"/>
      <c r="D1" s="1107"/>
      <c r="E1" s="1107"/>
      <c r="F1" s="1107"/>
      <c r="G1" s="1107"/>
      <c r="H1" s="1107"/>
      <c r="I1" s="1107"/>
      <c r="J1" s="1107"/>
      <c r="K1" s="1107"/>
      <c r="L1" s="1107"/>
      <c r="M1" s="1107"/>
      <c r="N1" s="1107"/>
      <c r="O1" s="1107"/>
      <c r="P1" s="181" t="s">
        <v>32</v>
      </c>
    </row>
    <row r="2" spans="1:16" ht="16.5" customHeight="1" x14ac:dyDescent="0.25">
      <c r="A2" s="1108" t="s">
        <v>299</v>
      </c>
      <c r="B2" s="1108"/>
      <c r="C2" s="959"/>
      <c r="D2" s="1107"/>
      <c r="E2" s="1107"/>
      <c r="F2" s="1107"/>
      <c r="G2" s="1107"/>
      <c r="H2" s="1107"/>
      <c r="I2" s="1107"/>
      <c r="J2" s="1107"/>
      <c r="K2" s="1107"/>
      <c r="L2" s="1107"/>
      <c r="M2" s="1107"/>
      <c r="N2" s="1107"/>
      <c r="O2" s="1107"/>
      <c r="P2" s="961"/>
    </row>
    <row r="3" spans="1:16" ht="21.75" customHeight="1" x14ac:dyDescent="0.2">
      <c r="A3" s="1109" t="s">
        <v>1055</v>
      </c>
      <c r="B3" s="1109"/>
      <c r="C3" s="1109"/>
      <c r="D3" s="1109"/>
      <c r="E3" s="1109"/>
      <c r="F3" s="1109"/>
      <c r="G3" s="1109"/>
      <c r="H3" s="1109"/>
      <c r="I3" s="1109"/>
      <c r="J3" s="1109"/>
      <c r="K3" s="1109"/>
      <c r="L3" s="1109"/>
      <c r="M3" s="1109"/>
      <c r="N3" s="1109"/>
      <c r="O3" s="1109"/>
      <c r="P3" s="1109"/>
    </row>
    <row r="4" spans="1:16" ht="15.75" x14ac:dyDescent="0.25">
      <c r="A4" s="962"/>
      <c r="B4" s="962"/>
      <c r="C4" s="962"/>
      <c r="D4" s="962"/>
      <c r="E4" s="962"/>
      <c r="F4" s="962"/>
      <c r="G4" s="1101" t="s">
        <v>77</v>
      </c>
      <c r="H4" s="1101"/>
      <c r="I4" s="1101"/>
      <c r="J4" s="1101"/>
      <c r="K4" s="1101"/>
      <c r="L4" s="1101"/>
      <c r="M4" s="1101"/>
      <c r="N4" s="1101"/>
      <c r="O4" s="1101"/>
      <c r="P4" s="1101"/>
    </row>
    <row r="5" spans="1:16" ht="27.75" customHeight="1" x14ac:dyDescent="0.2">
      <c r="A5" s="1102" t="s">
        <v>0</v>
      </c>
      <c r="B5" s="1102" t="s">
        <v>9</v>
      </c>
      <c r="C5" s="1102" t="s">
        <v>10</v>
      </c>
      <c r="D5" s="1104" t="s">
        <v>15</v>
      </c>
      <c r="E5" s="1104"/>
      <c r="F5" s="1104"/>
      <c r="G5" s="1104"/>
      <c r="H5" s="1104" t="s">
        <v>215</v>
      </c>
      <c r="I5" s="1104"/>
      <c r="J5" s="1104"/>
      <c r="K5" s="1104"/>
      <c r="L5" s="1104" t="s">
        <v>16</v>
      </c>
      <c r="M5" s="1104"/>
      <c r="N5" s="1104"/>
      <c r="O5" s="1104"/>
      <c r="P5" s="1102" t="s">
        <v>2</v>
      </c>
    </row>
    <row r="6" spans="1:16" ht="63" x14ac:dyDescent="0.2">
      <c r="A6" s="1103"/>
      <c r="B6" s="1103"/>
      <c r="C6" s="1103"/>
      <c r="D6" s="963" t="s">
        <v>14</v>
      </c>
      <c r="E6" s="963" t="s">
        <v>11</v>
      </c>
      <c r="F6" s="963" t="s">
        <v>12</v>
      </c>
      <c r="G6" s="963" t="s">
        <v>13</v>
      </c>
      <c r="H6" s="963" t="s">
        <v>14</v>
      </c>
      <c r="I6" s="963" t="s">
        <v>11</v>
      </c>
      <c r="J6" s="963" t="s">
        <v>12</v>
      </c>
      <c r="K6" s="963" t="s">
        <v>13</v>
      </c>
      <c r="L6" s="963" t="s">
        <v>14</v>
      </c>
      <c r="M6" s="963" t="s">
        <v>11</v>
      </c>
      <c r="N6" s="963" t="s">
        <v>12</v>
      </c>
      <c r="O6" s="963" t="s">
        <v>13</v>
      </c>
      <c r="P6" s="1105"/>
    </row>
    <row r="7" spans="1:16" s="1039" customFormat="1" ht="31.5" x14ac:dyDescent="0.2">
      <c r="A7" s="1037" t="s">
        <v>117</v>
      </c>
      <c r="B7" s="1037" t="s">
        <v>118</v>
      </c>
      <c r="C7" s="1038" t="s">
        <v>119</v>
      </c>
      <c r="D7" s="1038" t="s">
        <v>120</v>
      </c>
      <c r="E7" s="1038" t="s">
        <v>121</v>
      </c>
      <c r="F7" s="1038" t="s">
        <v>122</v>
      </c>
      <c r="G7" s="1038" t="s">
        <v>123</v>
      </c>
      <c r="H7" s="1038" t="s">
        <v>124</v>
      </c>
      <c r="I7" s="1038" t="s">
        <v>125</v>
      </c>
      <c r="J7" s="1038" t="s">
        <v>127</v>
      </c>
      <c r="K7" s="1037" t="s">
        <v>90</v>
      </c>
      <c r="L7" s="1038" t="s">
        <v>128</v>
      </c>
      <c r="M7" s="1038" t="s">
        <v>129</v>
      </c>
      <c r="N7" s="1038" t="s">
        <v>130</v>
      </c>
      <c r="O7" s="1038" t="s">
        <v>131</v>
      </c>
      <c r="P7" s="1038" t="s">
        <v>132</v>
      </c>
    </row>
    <row r="8" spans="1:16" s="966" customFormat="1" ht="18.75" customHeight="1" x14ac:dyDescent="0.2">
      <c r="A8" s="964"/>
      <c r="B8" s="965" t="s">
        <v>827</v>
      </c>
      <c r="C8" s="964"/>
      <c r="D8" s="964"/>
      <c r="E8" s="964"/>
      <c r="F8" s="964"/>
      <c r="G8" s="964"/>
      <c r="H8" s="964"/>
      <c r="I8" s="964"/>
      <c r="J8" s="964"/>
      <c r="K8" s="964"/>
      <c r="L8" s="964"/>
      <c r="M8" s="964"/>
      <c r="N8" s="964"/>
      <c r="O8" s="964"/>
      <c r="P8" s="964"/>
    </row>
    <row r="9" spans="1:16" s="968" customFormat="1" ht="18.75" customHeight="1" x14ac:dyDescent="0.2">
      <c r="A9" s="967"/>
      <c r="B9" s="965" t="s">
        <v>350</v>
      </c>
      <c r="C9" s="967"/>
      <c r="D9" s="967"/>
      <c r="E9" s="967"/>
      <c r="F9" s="967"/>
      <c r="G9" s="967"/>
      <c r="H9" s="967"/>
      <c r="I9" s="967"/>
      <c r="J9" s="967"/>
      <c r="K9" s="967"/>
      <c r="L9" s="967"/>
      <c r="M9" s="967"/>
      <c r="N9" s="967"/>
      <c r="O9" s="967"/>
      <c r="P9" s="967"/>
    </row>
    <row r="10" spans="1:16" s="968" customFormat="1" ht="18.75" customHeight="1" x14ac:dyDescent="0.2">
      <c r="A10" s="967"/>
      <c r="B10" s="965" t="s">
        <v>828</v>
      </c>
      <c r="C10" s="967"/>
      <c r="D10" s="967"/>
      <c r="E10" s="967"/>
      <c r="F10" s="967"/>
      <c r="G10" s="967"/>
      <c r="H10" s="967"/>
      <c r="I10" s="967"/>
      <c r="J10" s="967"/>
      <c r="K10" s="967"/>
      <c r="L10" s="967"/>
      <c r="M10" s="967"/>
      <c r="N10" s="967"/>
      <c r="O10" s="967"/>
      <c r="P10" s="967"/>
    </row>
    <row r="11" spans="1:16" s="968" customFormat="1" ht="31.5" x14ac:dyDescent="0.2">
      <c r="A11" s="967"/>
      <c r="B11" s="965" t="s">
        <v>1072</v>
      </c>
      <c r="C11" s="967"/>
      <c r="D11" s="967"/>
      <c r="E11" s="967"/>
      <c r="F11" s="967"/>
      <c r="G11" s="967"/>
      <c r="H11" s="967"/>
      <c r="I11" s="967"/>
      <c r="J11" s="967"/>
      <c r="K11" s="967"/>
      <c r="L11" s="967"/>
      <c r="M11" s="967"/>
      <c r="N11" s="967"/>
      <c r="O11" s="967"/>
      <c r="P11" s="967"/>
    </row>
    <row r="12" spans="1:16" s="968" customFormat="1" ht="31.5" x14ac:dyDescent="0.2">
      <c r="A12" s="967"/>
      <c r="B12" s="965" t="s">
        <v>1073</v>
      </c>
      <c r="C12" s="967"/>
      <c r="D12" s="967"/>
      <c r="E12" s="967"/>
      <c r="F12" s="967"/>
      <c r="G12" s="967"/>
      <c r="H12" s="967"/>
      <c r="I12" s="967"/>
      <c r="J12" s="967"/>
      <c r="K12" s="967"/>
      <c r="L12" s="967"/>
      <c r="M12" s="967"/>
      <c r="N12" s="967"/>
      <c r="O12" s="967"/>
      <c r="P12" s="967"/>
    </row>
    <row r="13" spans="1:16" s="968" customFormat="1" ht="18.75" customHeight="1" x14ac:dyDescent="0.2">
      <c r="A13" s="967"/>
      <c r="B13" s="965" t="s">
        <v>621</v>
      </c>
      <c r="C13" s="967"/>
      <c r="D13" s="969"/>
      <c r="E13" s="969"/>
      <c r="F13" s="969"/>
      <c r="G13" s="969"/>
      <c r="H13" s="969"/>
      <c r="I13" s="969"/>
      <c r="J13" s="969"/>
      <c r="K13" s="969"/>
      <c r="L13" s="969"/>
      <c r="M13" s="969"/>
      <c r="N13" s="969"/>
      <c r="O13" s="969"/>
      <c r="P13" s="967"/>
    </row>
    <row r="14" spans="1:16" s="978" customFormat="1" ht="15.75" customHeight="1" x14ac:dyDescent="0.2">
      <c r="A14" s="970" t="s">
        <v>7</v>
      </c>
      <c r="B14" s="971" t="s">
        <v>584</v>
      </c>
      <c r="C14" s="972"/>
      <c r="D14" s="973">
        <f>'Bieu3 GDTH'!E24</f>
        <v>4972</v>
      </c>
      <c r="E14" s="974">
        <f>'Bieu3 GDTH'!F24</f>
        <v>2632</v>
      </c>
      <c r="F14" s="974">
        <f>'Bieu3 GDTH'!G24</f>
        <v>1590</v>
      </c>
      <c r="G14" s="974">
        <f>'Bieu3 GDTH'!H24</f>
        <v>750</v>
      </c>
      <c r="H14" s="974">
        <f>'Bieu3 GDTH'!I24</f>
        <v>753.5</v>
      </c>
      <c r="I14" s="974">
        <f>'Bieu3 GDTH'!J24</f>
        <v>472.5</v>
      </c>
      <c r="J14" s="974">
        <f>'Bieu3 GDTH'!K24</f>
        <v>232</v>
      </c>
      <c r="K14" s="975">
        <f>'Bieu3 GDTH'!L24</f>
        <v>49</v>
      </c>
      <c r="L14" s="974">
        <f>'Bieu3 GDTH'!M24</f>
        <v>4218.5</v>
      </c>
      <c r="M14" s="974">
        <f>'Bieu3 GDTH'!N24</f>
        <v>2159.5</v>
      </c>
      <c r="N14" s="974">
        <f>'Bieu3 GDTH'!O24</f>
        <v>1358</v>
      </c>
      <c r="O14" s="976">
        <f>'Bieu3 GDTH'!P24</f>
        <v>701</v>
      </c>
      <c r="P14" s="977"/>
    </row>
    <row r="15" spans="1:16" s="978" customFormat="1" ht="15.75" customHeight="1" x14ac:dyDescent="0.2">
      <c r="A15" s="979"/>
      <c r="B15" s="980"/>
      <c r="C15" s="981"/>
      <c r="D15" s="982"/>
      <c r="E15" s="982"/>
      <c r="F15" s="982"/>
      <c r="G15" s="982"/>
      <c r="H15" s="982"/>
      <c r="I15" s="982"/>
      <c r="J15" s="982"/>
      <c r="K15" s="983"/>
      <c r="L15" s="982"/>
      <c r="M15" s="982"/>
      <c r="N15" s="982"/>
      <c r="O15" s="983"/>
      <c r="P15" s="984"/>
    </row>
    <row r="16" spans="1:16" s="978" customFormat="1" ht="19.5" customHeight="1" x14ac:dyDescent="0.2">
      <c r="A16" s="985" t="s">
        <v>8</v>
      </c>
      <c r="B16" s="986" t="s">
        <v>582</v>
      </c>
      <c r="C16" s="987"/>
      <c r="D16" s="988">
        <f>'Bieu3 GDMN'!E25</f>
        <v>5470</v>
      </c>
      <c r="E16" s="988">
        <f>'Bieu3 GDMN'!F25</f>
        <v>2700</v>
      </c>
      <c r="F16" s="988">
        <f>'Bieu3 GDMN'!G25</f>
        <v>1820</v>
      </c>
      <c r="G16" s="988">
        <f>'Bieu3 GDMN'!H25</f>
        <v>920</v>
      </c>
      <c r="H16" s="988">
        <f>'Bieu3 GDMN'!I25</f>
        <v>1172.75</v>
      </c>
      <c r="I16" s="988">
        <f>'Bieu3 GDMN'!J25</f>
        <v>823.5</v>
      </c>
      <c r="J16" s="988">
        <f>'Bieu3 GDMN'!K25</f>
        <v>160.25</v>
      </c>
      <c r="K16" s="989">
        <f>'Bieu3 GDMN'!L25</f>
        <v>188.99999999999997</v>
      </c>
      <c r="L16" s="988">
        <f>'Bieu3 GDMN'!M25</f>
        <v>4267.25</v>
      </c>
      <c r="M16" s="988">
        <f>'Bieu3 GDMN'!N25</f>
        <v>1876.5</v>
      </c>
      <c r="N16" s="988">
        <f>'Bieu3 GDMN'!O25</f>
        <v>1659.75</v>
      </c>
      <c r="O16" s="989">
        <f>'Bieu3 GDMN'!P25</f>
        <v>731</v>
      </c>
      <c r="P16" s="990"/>
    </row>
    <row r="17" spans="1:17" s="978" customFormat="1" ht="15.75" customHeight="1" x14ac:dyDescent="0.2">
      <c r="A17" s="979"/>
      <c r="B17" s="980"/>
      <c r="C17" s="981"/>
      <c r="D17" s="982"/>
      <c r="E17" s="982"/>
      <c r="F17" s="982"/>
      <c r="G17" s="982"/>
      <c r="H17" s="982"/>
      <c r="I17" s="982"/>
      <c r="J17" s="982"/>
      <c r="K17" s="983"/>
      <c r="L17" s="982"/>
      <c r="M17" s="982"/>
      <c r="N17" s="982"/>
      <c r="O17" s="983"/>
      <c r="P17" s="984"/>
    </row>
    <row r="18" spans="1:17" s="978" customFormat="1" ht="15.75" customHeight="1" x14ac:dyDescent="0.2">
      <c r="A18" s="970" t="s">
        <v>25</v>
      </c>
      <c r="B18" s="971" t="s">
        <v>583</v>
      </c>
      <c r="C18" s="981"/>
      <c r="D18" s="991">
        <f>'Bieu3 QLGD'!E25</f>
        <v>4025</v>
      </c>
      <c r="E18" s="991">
        <f>'Bieu3 QLGD'!F25</f>
        <v>1890</v>
      </c>
      <c r="F18" s="991">
        <f>'Bieu3 QLGD'!G25</f>
        <v>1485</v>
      </c>
      <c r="G18" s="991">
        <f>'Bieu3 QLGD'!H25</f>
        <v>650</v>
      </c>
      <c r="H18" s="991">
        <f>'Bieu3 QLGD'!I25</f>
        <v>501.75</v>
      </c>
      <c r="I18" s="991">
        <f>'Bieu3 QLGD'!J25</f>
        <v>283.5</v>
      </c>
      <c r="J18" s="991">
        <f>'Bieu3 QLGD'!K25</f>
        <v>218.25</v>
      </c>
      <c r="K18" s="992">
        <f>'Bieu3 QLGD'!L25</f>
        <v>0</v>
      </c>
      <c r="L18" s="991">
        <f>'Bieu3 QLGD'!M25</f>
        <v>3523.25</v>
      </c>
      <c r="M18" s="991">
        <f>'Bieu3 QLGD'!N25</f>
        <v>1606.5</v>
      </c>
      <c r="N18" s="991">
        <f>'Bieu3 QLGD'!O25</f>
        <v>1266.75</v>
      </c>
      <c r="O18" s="992">
        <f>'Bieu3 QLGD'!P25</f>
        <v>650</v>
      </c>
      <c r="P18" s="984"/>
    </row>
    <row r="19" spans="1:17" s="978" customFormat="1" ht="15.75" customHeight="1" x14ac:dyDescent="0.2">
      <c r="A19" s="970"/>
      <c r="B19" s="971"/>
      <c r="C19" s="981"/>
      <c r="D19" s="993"/>
      <c r="E19" s="993"/>
      <c r="F19" s="993"/>
      <c r="G19" s="993"/>
      <c r="H19" s="993"/>
      <c r="I19" s="993"/>
      <c r="J19" s="993"/>
      <c r="K19" s="994"/>
      <c r="L19" s="993"/>
      <c r="M19" s="993"/>
      <c r="N19" s="993"/>
      <c r="O19" s="994"/>
      <c r="P19" s="984"/>
    </row>
    <row r="20" spans="1:17" s="978" customFormat="1" ht="15.75" customHeight="1" x14ac:dyDescent="0.2">
      <c r="A20" s="970" t="s">
        <v>36</v>
      </c>
      <c r="B20" s="971" t="s">
        <v>580</v>
      </c>
      <c r="C20" s="981"/>
      <c r="D20" s="991">
        <f>'Bieu3 TLH'!E22</f>
        <v>3460</v>
      </c>
      <c r="E20" s="991">
        <f>'Bieu3 TLH'!F22</f>
        <v>1620</v>
      </c>
      <c r="F20" s="991">
        <f>'Bieu3 TLH'!G22</f>
        <v>1250</v>
      </c>
      <c r="G20" s="991">
        <f>'Bieu3 TLH'!H22</f>
        <v>590</v>
      </c>
      <c r="H20" s="991">
        <f>'Bieu3 TLH'!I22</f>
        <v>208.25</v>
      </c>
      <c r="I20" s="991">
        <f>'Bieu3 TLH'!J22</f>
        <v>121.5</v>
      </c>
      <c r="J20" s="991">
        <f>'Bieu3 TLH'!K22</f>
        <v>86.75</v>
      </c>
      <c r="K20" s="992">
        <f>'Bieu3 TLH'!L22</f>
        <v>0</v>
      </c>
      <c r="L20" s="991">
        <f>'Bieu3 TLH'!M22</f>
        <v>3251.75</v>
      </c>
      <c r="M20" s="991">
        <f>'Bieu3 TLH'!N22</f>
        <v>1498.5</v>
      </c>
      <c r="N20" s="991">
        <f>'Bieu3 TLH'!O22</f>
        <v>1163.25</v>
      </c>
      <c r="O20" s="992">
        <f>'Bieu3 TLH'!P22</f>
        <v>590</v>
      </c>
      <c r="P20" s="984"/>
    </row>
    <row r="21" spans="1:17" s="978" customFormat="1" ht="15.75" customHeight="1" x14ac:dyDescent="0.2">
      <c r="A21" s="970"/>
      <c r="B21" s="971"/>
      <c r="C21" s="981"/>
      <c r="D21" s="993"/>
      <c r="E21" s="993"/>
      <c r="F21" s="993"/>
      <c r="G21" s="993"/>
      <c r="H21" s="993"/>
      <c r="I21" s="993"/>
      <c r="J21" s="993"/>
      <c r="K21" s="994"/>
      <c r="L21" s="993"/>
      <c r="M21" s="993"/>
      <c r="N21" s="993"/>
      <c r="O21" s="994"/>
      <c r="P21" s="984"/>
    </row>
    <row r="22" spans="1:17" s="978" customFormat="1" ht="15.75" customHeight="1" x14ac:dyDescent="0.2">
      <c r="A22" s="970" t="s">
        <v>40</v>
      </c>
      <c r="B22" s="971" t="s">
        <v>581</v>
      </c>
      <c r="C22" s="981"/>
      <c r="D22" s="991">
        <f>'Bieu3 GDH'!E21</f>
        <v>2930</v>
      </c>
      <c r="E22" s="991">
        <f>'Bieu3 GDH'!F21</f>
        <v>1350</v>
      </c>
      <c r="F22" s="991">
        <f>'Bieu3 GDH'!G21</f>
        <v>1090</v>
      </c>
      <c r="G22" s="991">
        <f>'Bieu3 GDH'!H21</f>
        <v>490</v>
      </c>
      <c r="H22" s="991">
        <f>'Bieu3 GDH'!I21</f>
        <v>317.25</v>
      </c>
      <c r="I22" s="991">
        <f>'Bieu3 GDH'!J21</f>
        <v>229.5</v>
      </c>
      <c r="J22" s="991">
        <f>'Bieu3 GDH'!K21</f>
        <v>24.75</v>
      </c>
      <c r="K22" s="992">
        <f>'Bieu3 GDH'!L21</f>
        <v>62.999999999999993</v>
      </c>
      <c r="L22" s="991">
        <f>'Bieu3 GDH'!M21</f>
        <v>2612.75</v>
      </c>
      <c r="M22" s="991">
        <f>'Bieu3 GDH'!N21</f>
        <v>1120.5</v>
      </c>
      <c r="N22" s="991">
        <f>'Bieu3 GDH'!O21</f>
        <v>1065.25</v>
      </c>
      <c r="O22" s="992">
        <f>'Bieu3 GDH'!P21</f>
        <v>427</v>
      </c>
      <c r="P22" s="984"/>
    </row>
    <row r="23" spans="1:17" s="978" customFormat="1" ht="15.75" customHeight="1" x14ac:dyDescent="0.2">
      <c r="A23" s="979"/>
      <c r="B23" s="980"/>
      <c r="C23" s="981"/>
      <c r="D23" s="982"/>
      <c r="E23" s="982"/>
      <c r="F23" s="982"/>
      <c r="G23" s="982"/>
      <c r="H23" s="982"/>
      <c r="I23" s="982"/>
      <c r="J23" s="982"/>
      <c r="K23" s="983"/>
      <c r="L23" s="982"/>
      <c r="M23" s="982"/>
      <c r="N23" s="982"/>
      <c r="O23" s="983"/>
      <c r="P23" s="984"/>
    </row>
    <row r="24" spans="1:17" s="978" customFormat="1" ht="15.75" customHeight="1" x14ac:dyDescent="0.2">
      <c r="A24" s="1110" t="s">
        <v>22</v>
      </c>
      <c r="B24" s="1111"/>
      <c r="C24" s="995"/>
      <c r="D24" s="996">
        <f>SUM(D14:D22)</f>
        <v>20857</v>
      </c>
      <c r="E24" s="996">
        <f t="shared" ref="E24:O24" si="0">SUM(E14:E22)</f>
        <v>10192</v>
      </c>
      <c r="F24" s="996">
        <f t="shared" si="0"/>
        <v>7235</v>
      </c>
      <c r="G24" s="996">
        <f t="shared" si="0"/>
        <v>3400</v>
      </c>
      <c r="H24" s="996">
        <f t="shared" si="0"/>
        <v>2953.5</v>
      </c>
      <c r="I24" s="996">
        <f t="shared" si="0"/>
        <v>1930.5</v>
      </c>
      <c r="J24" s="996">
        <f t="shared" si="0"/>
        <v>722</v>
      </c>
      <c r="K24" s="997">
        <f t="shared" si="0"/>
        <v>300.99999999999994</v>
      </c>
      <c r="L24" s="996">
        <f t="shared" si="0"/>
        <v>17873.5</v>
      </c>
      <c r="M24" s="996">
        <f t="shared" si="0"/>
        <v>8261.5</v>
      </c>
      <c r="N24" s="996">
        <f t="shared" si="0"/>
        <v>6513</v>
      </c>
      <c r="O24" s="997">
        <f t="shared" si="0"/>
        <v>3099</v>
      </c>
      <c r="P24" s="998"/>
    </row>
    <row r="25" spans="1:17" ht="15.75" x14ac:dyDescent="0.25">
      <c r="A25" s="999"/>
      <c r="B25" s="959"/>
      <c r="C25" s="959"/>
      <c r="D25" s="1101" t="s">
        <v>917</v>
      </c>
      <c r="E25" s="1101"/>
      <c r="F25" s="1101"/>
      <c r="G25" s="1101"/>
      <c r="H25" s="1101"/>
      <c r="I25" s="1101"/>
      <c r="J25" s="1101"/>
      <c r="K25" s="1101"/>
      <c r="L25" s="1101"/>
      <c r="M25" s="1101"/>
      <c r="N25" s="1101"/>
      <c r="O25" s="1101"/>
      <c r="P25" s="1101"/>
    </row>
    <row r="26" spans="1:17" ht="15.75" x14ac:dyDescent="0.25">
      <c r="A26" s="999"/>
      <c r="B26" s="1000"/>
      <c r="C26" s="959"/>
      <c r="E26" s="1001"/>
      <c r="F26" s="1001"/>
      <c r="G26" s="1001"/>
      <c r="H26" s="1001"/>
      <c r="I26" s="1001"/>
      <c r="J26" s="1001"/>
      <c r="K26" s="1001"/>
      <c r="L26" s="1001"/>
      <c r="M26" s="1108" t="s">
        <v>579</v>
      </c>
      <c r="N26" s="1108"/>
      <c r="O26" s="1108"/>
      <c r="P26" s="1108"/>
    </row>
    <row r="27" spans="1:17" ht="15.75" x14ac:dyDescent="0.25">
      <c r="A27" s="1112" t="s">
        <v>1074</v>
      </c>
      <c r="B27" s="1112"/>
      <c r="C27" s="1112"/>
      <c r="D27" s="1112"/>
      <c r="E27" s="1112"/>
      <c r="F27" s="1112"/>
      <c r="G27" s="1112"/>
      <c r="H27" s="1112"/>
      <c r="I27" s="1112"/>
      <c r="J27" s="1112"/>
      <c r="K27" s="1112"/>
      <c r="L27" s="1112"/>
      <c r="M27" s="1002"/>
      <c r="N27" s="1002"/>
      <c r="O27" s="1002"/>
      <c r="P27" s="1002"/>
    </row>
    <row r="28" spans="1:17" ht="15.75" x14ac:dyDescent="0.25">
      <c r="A28" s="999"/>
      <c r="B28" s="1003"/>
      <c r="C28" s="959"/>
      <c r="H28" s="1004"/>
      <c r="I28" s="1004"/>
      <c r="J28" s="1004"/>
      <c r="K28" s="1004"/>
      <c r="L28" s="1004"/>
      <c r="M28" s="1004"/>
      <c r="Q28" s="1001"/>
    </row>
    <row r="29" spans="1:17" ht="15.75" x14ac:dyDescent="0.25">
      <c r="A29" s="999"/>
      <c r="B29" s="959"/>
      <c r="C29" s="959"/>
      <c r="D29" s="1002"/>
      <c r="E29" s="1002"/>
      <c r="F29" s="1002"/>
      <c r="G29" s="1002"/>
      <c r="H29" s="1002"/>
      <c r="I29" s="1002"/>
      <c r="J29" s="1002"/>
      <c r="K29" s="1002"/>
      <c r="L29" s="1002"/>
    </row>
    <row r="30" spans="1:17" ht="15.75" x14ac:dyDescent="0.25">
      <c r="N30" s="1108" t="s">
        <v>858</v>
      </c>
      <c r="O30" s="1108"/>
      <c r="P30" s="1108"/>
    </row>
  </sheetData>
  <mergeCells count="18">
    <mergeCell ref="A24:B24"/>
    <mergeCell ref="N30:P30"/>
    <mergeCell ref="D25:P25"/>
    <mergeCell ref="M26:P26"/>
    <mergeCell ref="A27:L27"/>
    <mergeCell ref="A1:B1"/>
    <mergeCell ref="D1:O1"/>
    <mergeCell ref="A2:B2"/>
    <mergeCell ref="D2:O2"/>
    <mergeCell ref="A3:P3"/>
    <mergeCell ref="G4:P4"/>
    <mergeCell ref="A5:A6"/>
    <mergeCell ref="B5:B6"/>
    <mergeCell ref="C5:C6"/>
    <mergeCell ref="D5:G5"/>
    <mergeCell ref="H5:K5"/>
    <mergeCell ref="L5:O5"/>
    <mergeCell ref="P5:P6"/>
  </mergeCells>
  <pageMargins left="0.34" right="0.2" top="0.35" bottom="0.17" header="0.45" footer="0.17"/>
  <pageSetup paperSize="9" orientation="landscape"/>
  <ignoredErrors>
    <ignoredError sqref="D24:E24 L24:M24" emptyCellReference="1"/>
  </ignoredError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zoomScale="115" zoomScaleNormal="115" zoomScalePageLayoutView="115" workbookViewId="0">
      <pane xSplit="2" ySplit="7" topLeftCell="E14" activePane="bottomRight" state="frozen"/>
      <selection pane="topRight" activeCell="C1" sqref="C1"/>
      <selection pane="bottomLeft" activeCell="A8" sqref="A8"/>
      <selection pane="bottomRight" activeCell="P27" sqref="P27"/>
    </sheetView>
  </sheetViews>
  <sheetFormatPr defaultColWidth="8.85546875" defaultRowHeight="12.75" x14ac:dyDescent="0.2"/>
  <cols>
    <col min="1" max="1" width="5.42578125" style="1" customWidth="1"/>
    <col min="2" max="2" width="32.42578125" style="2" customWidth="1"/>
    <col min="3" max="3" width="7" style="2" customWidth="1"/>
    <col min="4" max="4" width="6.42578125" style="2" customWidth="1"/>
    <col min="5" max="6" width="5.7109375" customWidth="1"/>
    <col min="7" max="7" width="6.42578125" customWidth="1"/>
    <col min="8" max="8" width="6.7109375" customWidth="1"/>
    <col min="9" max="10" width="5.7109375" customWidth="1"/>
    <col min="11" max="11" width="6.140625" customWidth="1"/>
    <col min="12" max="12" width="7.42578125" customWidth="1"/>
    <col min="13" max="14" width="5.7109375" customWidth="1"/>
    <col min="15" max="15" width="6.42578125" customWidth="1"/>
    <col min="16" max="16" width="7.140625" customWidth="1"/>
    <col min="17" max="17" width="18.710937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1075</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2">
      <c r="A8" s="92"/>
      <c r="B8" s="241" t="s">
        <v>586</v>
      </c>
      <c r="C8" s="20"/>
      <c r="D8" s="23"/>
      <c r="E8" s="23"/>
      <c r="F8" s="23"/>
      <c r="G8" s="23"/>
      <c r="H8" s="23"/>
      <c r="I8" s="23"/>
      <c r="J8" s="23"/>
      <c r="K8" s="23"/>
      <c r="L8" s="23"/>
      <c r="M8" s="23"/>
      <c r="N8" s="23"/>
      <c r="O8" s="23"/>
      <c r="P8" s="23"/>
      <c r="Q8" s="93"/>
    </row>
    <row r="9" spans="1:17" s="19" customFormat="1" ht="18.75" customHeight="1" x14ac:dyDescent="0.2">
      <c r="A9" s="94"/>
      <c r="B9" s="242" t="s">
        <v>587</v>
      </c>
      <c r="C9" s="22"/>
      <c r="D9" s="21"/>
      <c r="E9" s="21"/>
      <c r="F9" s="21"/>
      <c r="G9" s="21"/>
      <c r="H9" s="21"/>
      <c r="I9" s="21"/>
      <c r="J9" s="21"/>
      <c r="K9" s="21"/>
      <c r="L9" s="21"/>
      <c r="M9" s="21"/>
      <c r="N9" s="21"/>
      <c r="O9" s="21"/>
      <c r="P9" s="21"/>
      <c r="Q9" s="95"/>
    </row>
    <row r="10" spans="1:17" s="19" customFormat="1" ht="18.75" customHeight="1" x14ac:dyDescent="0.2">
      <c r="A10" s="94"/>
      <c r="B10" s="242" t="s">
        <v>349</v>
      </c>
      <c r="C10" s="22"/>
      <c r="D10" s="21"/>
      <c r="E10" s="21"/>
      <c r="F10" s="21"/>
      <c r="G10" s="21"/>
      <c r="H10" s="21"/>
      <c r="I10" s="21"/>
      <c r="J10" s="21"/>
      <c r="K10" s="21"/>
      <c r="L10" s="21"/>
      <c r="M10" s="21"/>
      <c r="N10" s="21"/>
      <c r="O10" s="21"/>
      <c r="P10" s="21"/>
      <c r="Q10" s="95"/>
    </row>
    <row r="11" spans="1:17" s="19" customFormat="1" ht="22.5" customHeight="1" x14ac:dyDescent="0.2">
      <c r="A11" s="94"/>
      <c r="B11" s="242" t="s">
        <v>300</v>
      </c>
      <c r="C11" s="22"/>
      <c r="D11" s="21"/>
      <c r="E11" s="21"/>
      <c r="F11" s="21"/>
      <c r="G11" s="21"/>
      <c r="H11" s="21"/>
      <c r="I11" s="21"/>
      <c r="J11" s="21"/>
      <c r="K11" s="21"/>
      <c r="L11" s="21"/>
      <c r="M11" s="21"/>
      <c r="N11" s="21"/>
      <c r="O11" s="21"/>
      <c r="P11" s="21"/>
      <c r="Q11" s="95"/>
    </row>
    <row r="12" spans="1:17" s="19" customFormat="1" ht="18.75" customHeight="1" x14ac:dyDescent="0.2">
      <c r="A12" s="94"/>
      <c r="B12" s="242" t="s">
        <v>561</v>
      </c>
      <c r="C12" s="22"/>
      <c r="D12" s="21"/>
      <c r="E12" s="21"/>
      <c r="F12" s="21"/>
      <c r="G12" s="21"/>
      <c r="H12" s="21"/>
      <c r="I12" s="21"/>
      <c r="J12" s="21"/>
      <c r="K12" s="21"/>
      <c r="L12" s="21"/>
      <c r="M12" s="21"/>
      <c r="N12" s="21"/>
      <c r="O12" s="21"/>
      <c r="P12" s="21"/>
      <c r="Q12" s="95"/>
    </row>
    <row r="13" spans="1:17" s="19" customFormat="1" ht="18.75" customHeight="1" x14ac:dyDescent="0.2">
      <c r="A13" s="94"/>
      <c r="B13" s="24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15.75" customHeight="1" x14ac:dyDescent="0.2">
      <c r="A15" s="96">
        <v>1</v>
      </c>
      <c r="B15" s="195" t="s">
        <v>344</v>
      </c>
      <c r="C15" s="196">
        <v>6.2</v>
      </c>
      <c r="D15" s="204"/>
      <c r="E15" s="197">
        <f>F15+G15+H15</f>
        <v>705</v>
      </c>
      <c r="F15" s="197">
        <v>270</v>
      </c>
      <c r="G15" s="197">
        <f>IF(C15&lt;3.33,165,IF(C15&lt;4.32,175,IF(C15&lt;4.4,200,IF(C15&lt;5.76,220,IF(C15&lt;6.2,260,315)))))</f>
        <v>315</v>
      </c>
      <c r="H15" s="197">
        <f>IF(C15&lt;3.33,70,IF(C15&lt;4.32,90,IF(C15&lt;4.4,100,120)))</f>
        <v>120</v>
      </c>
      <c r="I15" s="197">
        <f>J15+K15+L15</f>
        <v>0</v>
      </c>
      <c r="J15" s="197">
        <f>IF(D15="TK",F15*0.3,IF(D15="PK",F15*0.25,IF(OR(D15="TBM",D15="BTLCD"),F15*0.2,IF(OR(D15="PCTCD",D15="CTCD"),F15*0.1,IF(OR(D15="TLĐT",D15="CVHT"),F15*0.15,IF(D15="NCS",F15*0.7,0))))))</f>
        <v>0</v>
      </c>
      <c r="K15" s="197">
        <f>IF(D15="TK",G15*0.3,IF(D15="PK",G15*0.25,IF(OR(D15="TBM",D15="BTLCD"),G15*0.2,IF(OR(D15="PCTCD",D15="CTCD"),F15*0.1,IF(OR(D15="TLĐT",D15="NCS,TLĐT",D15="NCS,CVHT",D15="CVHT"),G15*0.15,0)))))</f>
        <v>0</v>
      </c>
      <c r="L15" s="197">
        <f>IF(OR(D15="NCS",D15="NCS,TLĐT"),H15*0.7,0)</f>
        <v>0</v>
      </c>
      <c r="M15" s="197">
        <f>N15+O15+P15</f>
        <v>705</v>
      </c>
      <c r="N15" s="197">
        <f>F15-J15</f>
        <v>270</v>
      </c>
      <c r="O15" s="197">
        <f>G15-K15</f>
        <v>315</v>
      </c>
      <c r="P15" s="197">
        <f>H15-L15</f>
        <v>120</v>
      </c>
      <c r="Q15" s="198"/>
    </row>
    <row r="16" spans="1:17" s="3" customFormat="1" ht="15.75" customHeight="1" x14ac:dyDescent="0.2">
      <c r="A16" s="96">
        <v>2</v>
      </c>
      <c r="B16" s="195" t="s">
        <v>345</v>
      </c>
      <c r="C16" s="196">
        <v>5.76</v>
      </c>
      <c r="D16" s="204"/>
      <c r="E16" s="197">
        <f>F16+G16+H16</f>
        <v>650</v>
      </c>
      <c r="F16" s="197">
        <v>270</v>
      </c>
      <c r="G16" s="197">
        <f>IF(C16&lt;3.33,165,IF(C16&lt;4.32,175,IF(C16&lt;4.4,200,IF(C16&lt;5.76,220,IF(C16&lt;6.2,260,315)))))</f>
        <v>260</v>
      </c>
      <c r="H16" s="197">
        <f>IF(C16&lt;3.33,70,IF(C16&lt;4.32,90,IF(C16&lt;4.4,100,120)))</f>
        <v>120</v>
      </c>
      <c r="I16" s="197">
        <f>J16+K16+L16</f>
        <v>0</v>
      </c>
      <c r="J16" s="197">
        <f t="shared" ref="J16:J19" si="0">IF(D16="TK",F16*0.3,IF(D16="PK",F16*0.25,IF(OR(D16="TBM",D16="BTLCD"),F16*0.2,IF(OR(D16="PCTCD",D16="CTCD"),F16*0.1,IF(OR(D16="TLĐT",D16="CVHT"),F16*0.15,IF(D16="NCS",F16*0.7,0))))))</f>
        <v>0</v>
      </c>
      <c r="K16" s="197">
        <f t="shared" ref="K16:K19" si="1">IF(D16="TK",G16*0.3,IF(D16="PK",G16*0.25,IF(OR(D16="TBM",D16="BTLCD"),G16*0.2,IF(OR(D16="PCTCD",D16="CTCD"),F16*0.1,IF(OR(D16="TLĐT",D16="NCS,TLĐT",D16="NCS,CVHT",D16="CVHT"),G16*0.15,0)))))</f>
        <v>0</v>
      </c>
      <c r="L16" s="197">
        <f>IF(OR(D16="NCS",D16="NCS,TLĐT"),H16*0.7,0)</f>
        <v>0</v>
      </c>
      <c r="M16" s="197">
        <f>N16+O16+P16</f>
        <v>650</v>
      </c>
      <c r="N16" s="197">
        <f t="shared" ref="N16:P19" si="2">F16-J16</f>
        <v>270</v>
      </c>
      <c r="O16" s="197">
        <f t="shared" si="2"/>
        <v>260</v>
      </c>
      <c r="P16" s="197">
        <f t="shared" si="2"/>
        <v>120</v>
      </c>
      <c r="Q16" s="198"/>
    </row>
    <row r="17" spans="1:17" s="3" customFormat="1" ht="15.75" customHeight="1" x14ac:dyDescent="0.2">
      <c r="A17" s="96">
        <v>3</v>
      </c>
      <c r="B17" s="195" t="s">
        <v>346</v>
      </c>
      <c r="C17" s="196">
        <v>3.66</v>
      </c>
      <c r="D17" s="204" t="s">
        <v>319</v>
      </c>
      <c r="E17" s="197">
        <f>F17+G17+H17</f>
        <v>535</v>
      </c>
      <c r="F17" s="197">
        <v>270</v>
      </c>
      <c r="G17" s="197">
        <f>IF(C17&lt;3.33,165,IF(C17&lt;4.32,175,IF(C17&lt;4.4,200,IF(C17&lt;5.76,220,IF(C17&lt;6.2,260,315)))))</f>
        <v>175</v>
      </c>
      <c r="H17" s="197">
        <f>IF(C17&lt;3.33,70,IF(C17&lt;4.32,90,IF(C17&lt;4.4,100,120)))</f>
        <v>90</v>
      </c>
      <c r="I17" s="197">
        <f>J17+K17+L17</f>
        <v>252</v>
      </c>
      <c r="J17" s="197">
        <f t="shared" si="0"/>
        <v>189</v>
      </c>
      <c r="K17" s="197">
        <f t="shared" si="1"/>
        <v>0</v>
      </c>
      <c r="L17" s="197">
        <f>IF(OR(D17="NCS",D17="NCS,TLĐT"),H17*0.7,0)</f>
        <v>62.999999999999993</v>
      </c>
      <c r="M17" s="197">
        <f>N17+O17+P17</f>
        <v>283</v>
      </c>
      <c r="N17" s="197">
        <f t="shared" si="2"/>
        <v>81</v>
      </c>
      <c r="O17" s="197">
        <f t="shared" si="2"/>
        <v>175</v>
      </c>
      <c r="P17" s="197">
        <f t="shared" si="2"/>
        <v>27.000000000000007</v>
      </c>
      <c r="Q17" s="199" t="s">
        <v>312</v>
      </c>
    </row>
    <row r="18" spans="1:17" s="3" customFormat="1" ht="15.75" customHeight="1" x14ac:dyDescent="0.2">
      <c r="A18" s="96">
        <v>4</v>
      </c>
      <c r="B18" s="195" t="s">
        <v>347</v>
      </c>
      <c r="C18" s="201">
        <v>3.66</v>
      </c>
      <c r="D18" s="204"/>
      <c r="E18" s="197">
        <f>F18+G18+H18</f>
        <v>535</v>
      </c>
      <c r="F18" s="197">
        <v>270</v>
      </c>
      <c r="G18" s="197">
        <f>IF(C18&lt;3.33,165,IF(C18&lt;4.32,175,IF(C18&lt;4.4,200,IF(C18&lt;5.76,220,IF(C18&lt;6.2,260,315)))))</f>
        <v>175</v>
      </c>
      <c r="H18" s="197">
        <f>IF(C18&lt;3.33,70,IF(C18&lt;4.32,90,IF(C18&lt;4.4,100,120)))</f>
        <v>90</v>
      </c>
      <c r="I18" s="197">
        <f>J18+K18+L18</f>
        <v>0</v>
      </c>
      <c r="J18" s="197">
        <f t="shared" si="0"/>
        <v>0</v>
      </c>
      <c r="K18" s="197">
        <f t="shared" si="1"/>
        <v>0</v>
      </c>
      <c r="L18" s="197">
        <f>IF(OR(D18="NCS",D18="NCS,TLĐT"),H18*0.7,0)</f>
        <v>0</v>
      </c>
      <c r="M18" s="197">
        <f>N18+O18+P18</f>
        <v>535</v>
      </c>
      <c r="N18" s="197">
        <f t="shared" si="2"/>
        <v>270</v>
      </c>
      <c r="O18" s="197">
        <f t="shared" si="2"/>
        <v>175</v>
      </c>
      <c r="P18" s="197">
        <f t="shared" si="2"/>
        <v>90</v>
      </c>
      <c r="Q18" s="209"/>
    </row>
    <row r="19" spans="1:17" s="3" customFormat="1" ht="15.75" customHeight="1" x14ac:dyDescent="0.2">
      <c r="A19" s="96">
        <v>5</v>
      </c>
      <c r="B19" s="200" t="s">
        <v>348</v>
      </c>
      <c r="C19" s="201">
        <v>2.34</v>
      </c>
      <c r="D19" s="204" t="s">
        <v>337</v>
      </c>
      <c r="E19" s="197">
        <f>F19+G19+H19</f>
        <v>505</v>
      </c>
      <c r="F19" s="197">
        <v>270</v>
      </c>
      <c r="G19" s="197">
        <f>IF(C19&lt;3.33,165,IF(C19&lt;4.32,175,IF(C19&lt;4.4,200,IF(C19&lt;5.76,220,IF(C19&lt;6.2,260,315)))))</f>
        <v>165</v>
      </c>
      <c r="H19" s="197">
        <f>IF(C19&lt;3.33,70,IF(C19&lt;4.32,90,IF(C19&lt;4.4,100,120)))</f>
        <v>70</v>
      </c>
      <c r="I19" s="197">
        <f>J19+K19+L19</f>
        <v>65.25</v>
      </c>
      <c r="J19" s="197">
        <f t="shared" si="0"/>
        <v>40.5</v>
      </c>
      <c r="K19" s="197">
        <f t="shared" si="1"/>
        <v>24.75</v>
      </c>
      <c r="L19" s="197">
        <f>IF(OR(D19="NCS",D19="NCS,TLĐT"),H19*0.7,0)</f>
        <v>0</v>
      </c>
      <c r="M19" s="197">
        <f>N19+O19+P19</f>
        <v>439.75</v>
      </c>
      <c r="N19" s="197">
        <f t="shared" si="2"/>
        <v>229.5</v>
      </c>
      <c r="O19" s="197">
        <f t="shared" si="2"/>
        <v>140.25</v>
      </c>
      <c r="P19" s="197">
        <f t="shared" si="2"/>
        <v>70</v>
      </c>
      <c r="Q19" s="199" t="s">
        <v>1051</v>
      </c>
    </row>
    <row r="20" spans="1:17" s="3" customFormat="1" ht="15.75" customHeight="1" x14ac:dyDescent="0.2">
      <c r="A20" s="101"/>
      <c r="B20" s="102"/>
      <c r="C20" s="102"/>
      <c r="D20" s="103"/>
      <c r="E20" s="104"/>
      <c r="F20" s="104"/>
      <c r="G20" s="104"/>
      <c r="H20" s="104"/>
      <c r="I20" s="104"/>
      <c r="J20" s="104"/>
      <c r="K20" s="104"/>
      <c r="L20" s="104"/>
      <c r="M20" s="104"/>
      <c r="N20" s="104"/>
      <c r="O20" s="104"/>
      <c r="P20" s="104"/>
      <c r="Q20" s="105"/>
    </row>
    <row r="21" spans="1:17" s="3" customFormat="1" ht="15.75" customHeight="1" thickBot="1" x14ac:dyDescent="0.25">
      <c r="A21" s="1116" t="s">
        <v>327</v>
      </c>
      <c r="B21" s="1117"/>
      <c r="C21" s="191"/>
      <c r="D21" s="106"/>
      <c r="E21" s="205">
        <f t="shared" ref="E21:P21" si="3">SUM(E15:E19)</f>
        <v>2930</v>
      </c>
      <c r="F21" s="205">
        <f t="shared" si="3"/>
        <v>1350</v>
      </c>
      <c r="G21" s="205">
        <f t="shared" si="3"/>
        <v>1090</v>
      </c>
      <c r="H21" s="205">
        <f t="shared" si="3"/>
        <v>490</v>
      </c>
      <c r="I21" s="205">
        <f t="shared" si="3"/>
        <v>317.25</v>
      </c>
      <c r="J21" s="205">
        <f t="shared" si="3"/>
        <v>229.5</v>
      </c>
      <c r="K21" s="205">
        <f t="shared" si="3"/>
        <v>24.75</v>
      </c>
      <c r="L21" s="205">
        <f t="shared" si="3"/>
        <v>62.999999999999993</v>
      </c>
      <c r="M21" s="205">
        <f t="shared" si="3"/>
        <v>2612.75</v>
      </c>
      <c r="N21" s="205">
        <f t="shared" si="3"/>
        <v>1120.5</v>
      </c>
      <c r="O21" s="205">
        <f t="shared" si="3"/>
        <v>1065.25</v>
      </c>
      <c r="P21" s="205">
        <f t="shared" si="3"/>
        <v>427</v>
      </c>
      <c r="Q21" s="107"/>
    </row>
    <row r="22" spans="1:17" ht="13.5" thickTop="1" x14ac:dyDescent="0.2">
      <c r="A22" s="189"/>
      <c r="B22" s="10"/>
      <c r="C22" s="10"/>
      <c r="D22" s="10"/>
      <c r="E22" s="1118" t="s">
        <v>917</v>
      </c>
      <c r="F22" s="1118"/>
      <c r="G22" s="1118"/>
      <c r="H22" s="1118"/>
      <c r="I22" s="1118"/>
      <c r="J22" s="1118"/>
      <c r="K22" s="1118"/>
      <c r="L22" s="1118"/>
      <c r="M22" s="1118"/>
      <c r="N22" s="1118"/>
      <c r="O22" s="1118"/>
      <c r="P22" s="1118"/>
      <c r="Q22" s="1118"/>
    </row>
    <row r="23" spans="1:17" x14ac:dyDescent="0.2">
      <c r="A23" s="189"/>
      <c r="B23" s="15"/>
      <c r="C23" s="15"/>
      <c r="D23" s="10"/>
      <c r="F23" s="108"/>
      <c r="G23" s="108"/>
      <c r="H23" s="108"/>
      <c r="I23" s="108"/>
      <c r="J23" s="108"/>
      <c r="K23" s="108"/>
      <c r="L23" s="108"/>
      <c r="M23" s="108"/>
      <c r="N23" s="1048" t="s">
        <v>5</v>
      </c>
      <c r="O23" s="1048"/>
      <c r="P23" s="1048"/>
      <c r="Q23" s="1048"/>
    </row>
    <row r="24" spans="1:17" ht="27" customHeight="1" x14ac:dyDescent="0.2">
      <c r="A24" s="1119" t="s">
        <v>241</v>
      </c>
      <c r="B24" s="1119"/>
      <c r="C24" s="1119"/>
      <c r="D24" s="1119"/>
      <c r="E24" s="1119"/>
      <c r="F24" s="1119"/>
      <c r="G24" s="1119"/>
      <c r="H24" s="1119"/>
      <c r="I24" s="1119"/>
      <c r="J24" s="1119"/>
      <c r="K24" s="1119"/>
      <c r="L24" s="1119"/>
      <c r="M24" s="1119"/>
      <c r="N24" s="24"/>
      <c r="O24" s="24"/>
      <c r="P24" s="24"/>
      <c r="Q24" s="24"/>
    </row>
    <row r="25" spans="1:17" x14ac:dyDescent="0.2">
      <c r="A25" s="189"/>
      <c r="B25" s="16"/>
      <c r="C25" s="16"/>
      <c r="D25" s="10"/>
      <c r="E25" s="1048"/>
      <c r="F25" s="1048"/>
      <c r="G25" s="1048"/>
      <c r="H25" s="1048"/>
      <c r="I25" s="1048"/>
      <c r="J25" s="1048"/>
      <c r="K25" s="1048"/>
      <c r="L25" s="1048"/>
      <c r="M25" s="1048"/>
      <c r="N25" s="1048"/>
      <c r="O25" s="1048"/>
      <c r="P25" s="1048"/>
      <c r="Q25" s="1048"/>
    </row>
    <row r="26" spans="1:17" x14ac:dyDescent="0.2">
      <c r="A26" s="189"/>
      <c r="B26" s="10"/>
      <c r="C26" s="10"/>
      <c r="D26" s="10"/>
      <c r="E26" s="1113"/>
      <c r="F26" s="1113"/>
      <c r="G26" s="1113"/>
      <c r="H26" s="1113"/>
      <c r="I26" s="1113"/>
      <c r="J26" s="1113"/>
      <c r="K26" s="1113"/>
      <c r="L26" s="1113"/>
      <c r="M26" s="1113"/>
      <c r="N26" s="1113"/>
      <c r="O26" s="1113"/>
      <c r="P26" s="1113"/>
      <c r="Q26" s="1113"/>
    </row>
    <row r="27" spans="1:17" x14ac:dyDescent="0.2">
      <c r="P27" s="1007" t="s">
        <v>1076</v>
      </c>
    </row>
  </sheetData>
  <mergeCells count="19">
    <mergeCell ref="H4:Q4"/>
    <mergeCell ref="A1:B1"/>
    <mergeCell ref="E1:P1"/>
    <mergeCell ref="A2:B2"/>
    <mergeCell ref="E2:P2"/>
    <mergeCell ref="A3:Q3"/>
    <mergeCell ref="E26:Q26"/>
    <mergeCell ref="Q5:Q6"/>
    <mergeCell ref="A21:B21"/>
    <mergeCell ref="E22:Q22"/>
    <mergeCell ref="N23:Q23"/>
    <mergeCell ref="A24:M24"/>
    <mergeCell ref="E25:Q25"/>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zoomScale="115" zoomScaleNormal="115" zoomScalePageLayoutView="115" workbookViewId="0">
      <pane xSplit="2" ySplit="7" topLeftCell="E15" activePane="bottomRight" state="frozen"/>
      <selection pane="topRight" activeCell="C1" sqref="C1"/>
      <selection pane="bottomLeft" activeCell="A8" sqref="A8"/>
      <selection pane="bottomRight" activeCell="P29" sqref="P29"/>
    </sheetView>
  </sheetViews>
  <sheetFormatPr defaultColWidth="8.85546875" defaultRowHeight="12.75" x14ac:dyDescent="0.2"/>
  <cols>
    <col min="1" max="1" width="5.42578125" style="1" customWidth="1"/>
    <col min="2" max="2" width="31.7109375" style="2" customWidth="1"/>
    <col min="3" max="4" width="6.42578125" style="2" customWidth="1"/>
    <col min="5" max="6" width="5.7109375" customWidth="1"/>
    <col min="7" max="7" width="6.42578125" customWidth="1"/>
    <col min="8" max="8" width="6.7109375" customWidth="1"/>
    <col min="9" max="10" width="5.7109375" customWidth="1"/>
    <col min="11" max="11" width="6.140625" customWidth="1"/>
    <col min="12" max="12" width="7.28515625" customWidth="1"/>
    <col min="13" max="14" width="5.7109375" customWidth="1"/>
    <col min="15" max="15" width="6.42578125" customWidth="1"/>
    <col min="16" max="16" width="7.140625" customWidth="1"/>
    <col min="17" max="17" width="20.2851562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1052</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2">
      <c r="A8" s="92"/>
      <c r="B8" s="241" t="s">
        <v>588</v>
      </c>
      <c r="C8" s="20"/>
      <c r="D8" s="23"/>
      <c r="E8" s="23"/>
      <c r="F8" s="23"/>
      <c r="G8" s="23"/>
      <c r="H8" s="23"/>
      <c r="I8" s="23"/>
      <c r="J8" s="23"/>
      <c r="K8" s="23"/>
      <c r="L8" s="23"/>
      <c r="M8" s="23"/>
      <c r="N8" s="23"/>
      <c r="O8" s="23"/>
      <c r="P8" s="23"/>
      <c r="Q8" s="93"/>
    </row>
    <row r="9" spans="1:17" s="19" customFormat="1" ht="18.75" customHeight="1" x14ac:dyDescent="0.2">
      <c r="A9" s="94"/>
      <c r="B9" s="242" t="s">
        <v>589</v>
      </c>
      <c r="C9" s="22"/>
      <c r="D9" s="21"/>
      <c r="E9" s="21"/>
      <c r="F9" s="21"/>
      <c r="G9" s="21"/>
      <c r="H9" s="21"/>
      <c r="I9" s="21"/>
      <c r="J9" s="21"/>
      <c r="K9" s="21"/>
      <c r="L9" s="21"/>
      <c r="M9" s="21"/>
      <c r="N9" s="21"/>
      <c r="O9" s="21"/>
      <c r="P9" s="21"/>
      <c r="Q9" s="95"/>
    </row>
    <row r="10" spans="1:17" s="19" customFormat="1" ht="18.75" customHeight="1" x14ac:dyDescent="0.2">
      <c r="A10" s="94"/>
      <c r="B10" s="242" t="s">
        <v>336</v>
      </c>
      <c r="C10" s="22"/>
      <c r="D10" s="21"/>
      <c r="E10" s="21"/>
      <c r="F10" s="21"/>
      <c r="G10" s="21"/>
      <c r="H10" s="21"/>
      <c r="I10" s="21"/>
      <c r="J10" s="21"/>
      <c r="K10" s="21"/>
      <c r="L10" s="21"/>
      <c r="M10" s="21"/>
      <c r="N10" s="21"/>
      <c r="O10" s="21"/>
      <c r="P10" s="21"/>
      <c r="Q10" s="95"/>
    </row>
    <row r="11" spans="1:17" s="19" customFormat="1" ht="22.5" customHeight="1" x14ac:dyDescent="0.2">
      <c r="A11" s="94"/>
      <c r="B11" s="242" t="s">
        <v>300</v>
      </c>
      <c r="C11" s="22"/>
      <c r="D11" s="21"/>
      <c r="E11" s="21"/>
      <c r="F11" s="21"/>
      <c r="G11" s="21"/>
      <c r="H11" s="21"/>
      <c r="I11" s="21"/>
      <c r="J11" s="21"/>
      <c r="K11" s="21"/>
      <c r="L11" s="21"/>
      <c r="M11" s="21"/>
      <c r="N11" s="21"/>
      <c r="O11" s="21"/>
      <c r="P11" s="21"/>
      <c r="Q11" s="95"/>
    </row>
    <row r="12" spans="1:17" s="19" customFormat="1" ht="18.75" customHeight="1" x14ac:dyDescent="0.2">
      <c r="A12" s="94"/>
      <c r="B12" s="242" t="s">
        <v>562</v>
      </c>
      <c r="C12" s="22"/>
      <c r="D12" s="21"/>
      <c r="E12" s="21"/>
      <c r="F12" s="21"/>
      <c r="G12" s="21"/>
      <c r="H12" s="21"/>
      <c r="I12" s="21"/>
      <c r="J12" s="21"/>
      <c r="K12" s="21"/>
      <c r="L12" s="21"/>
      <c r="M12" s="21"/>
      <c r="N12" s="21"/>
      <c r="O12" s="21"/>
      <c r="P12" s="21"/>
      <c r="Q12" s="95"/>
    </row>
    <row r="13" spans="1:17" s="19" customFormat="1" ht="18.75" customHeight="1" x14ac:dyDescent="0.2">
      <c r="A13" s="94"/>
      <c r="B13" s="24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15.75" customHeight="1" x14ac:dyDescent="0.2">
      <c r="A15" s="96">
        <v>1</v>
      </c>
      <c r="B15" s="195" t="s">
        <v>338</v>
      </c>
      <c r="C15" s="196">
        <v>6.78</v>
      </c>
      <c r="D15" s="204"/>
      <c r="E15" s="197">
        <f t="shared" ref="E15:E20" si="0">F15+G15+H15</f>
        <v>705</v>
      </c>
      <c r="F15" s="197">
        <v>270</v>
      </c>
      <c r="G15" s="197">
        <f t="shared" ref="G15:G20" si="1">IF(C15&lt;3.33,165,IF(C15&lt;4.32,175,IF(C15&lt;4.4,200,IF(C15&lt;5.76,220,IF(C15&lt;6.2,260,315)))))</f>
        <v>315</v>
      </c>
      <c r="H15" s="197">
        <f t="shared" ref="H15:H20" si="2">IF(C15&lt;3.33,70,IF(C15&lt;4.32,90,IF(C15&lt;4.4,100,120)))</f>
        <v>120</v>
      </c>
      <c r="I15" s="197">
        <f t="shared" ref="I15:I20" si="3">J15+K15+L15</f>
        <v>0</v>
      </c>
      <c r="J15" s="197">
        <f>IF(D15="TK",F15*0.3,IF(D15="PK",F15*0.25,IF(OR(D15="TBM",D15="BTLCD"),F15*0.2,IF(OR(D15="PCTCD",D15="CTCD"),F15*0.1,IF(OR(D15="TLĐT",D15="CVHT"),F15*0.15,IF(D15="NCS",F15*0.7,0))))))</f>
        <v>0</v>
      </c>
      <c r="K15" s="197">
        <f>IF(D15="TK",G15*0.3,IF(D15="PK",G15*0.25,IF(OR(D15="TBM",D15="BTLCD"),G15*0.2,IF(OR(D15="PCTCD",D15="CTCD"),F15*0.1,IF(OR(D15="TLĐT",D15="NCS,TLĐT",D15="NCS,CVHT",D15="CVHT"),G15*0.15,0)))))</f>
        <v>0</v>
      </c>
      <c r="L15" s="197">
        <f t="shared" ref="L15:L20" si="4">IF(OR(D15="NCS",D15="NCS,TLĐT"),H15*0.7,0)</f>
        <v>0</v>
      </c>
      <c r="M15" s="197">
        <f t="shared" ref="M15:M20" si="5">N15+O15+P15</f>
        <v>705</v>
      </c>
      <c r="N15" s="197">
        <f>F15-J15</f>
        <v>270</v>
      </c>
      <c r="O15" s="197">
        <f>G15-K15</f>
        <v>315</v>
      </c>
      <c r="P15" s="197">
        <f>H15-L15</f>
        <v>120</v>
      </c>
      <c r="Q15" s="198"/>
    </row>
    <row r="16" spans="1:17" s="3" customFormat="1" ht="15.75" customHeight="1" x14ac:dyDescent="0.2">
      <c r="A16" s="96">
        <v>2</v>
      </c>
      <c r="B16" s="195" t="s">
        <v>339</v>
      </c>
      <c r="C16" s="196">
        <v>3.66</v>
      </c>
      <c r="D16" s="204" t="s">
        <v>317</v>
      </c>
      <c r="E16" s="197">
        <f t="shared" si="0"/>
        <v>535</v>
      </c>
      <c r="F16" s="197">
        <v>270</v>
      </c>
      <c r="G16" s="197">
        <f t="shared" si="1"/>
        <v>175</v>
      </c>
      <c r="H16" s="197">
        <f t="shared" si="2"/>
        <v>90</v>
      </c>
      <c r="I16" s="197">
        <f t="shared" si="3"/>
        <v>89</v>
      </c>
      <c r="J16" s="197">
        <f t="shared" ref="J16:J20" si="6">IF(D16="TK",F16*0.3,IF(D16="PK",F16*0.25,IF(OR(D16="TBM",D16="BTLCD"),F16*0.2,IF(OR(D16="PCTCD",D16="CTCD"),F16*0.1,IF(OR(D16="TLĐT",D16="CVHT"),F16*0.15,IF(D16="NCS",F16*0.7,0))))))</f>
        <v>54</v>
      </c>
      <c r="K16" s="197">
        <f t="shared" ref="K16:K20" si="7">IF(D16="TK",G16*0.3,IF(D16="PK",G16*0.25,IF(OR(D16="TBM",D16="BTLCD"),G16*0.2,IF(OR(D16="PCTCD",D16="CTCD"),F16*0.1,IF(OR(D16="TLĐT",D16="NCS,TLĐT",D16="NCS,CVHT",D16="CVHT"),G16*0.15,0)))))</f>
        <v>35</v>
      </c>
      <c r="L16" s="197">
        <f t="shared" si="4"/>
        <v>0</v>
      </c>
      <c r="M16" s="197">
        <f t="shared" si="5"/>
        <v>446</v>
      </c>
      <c r="N16" s="197">
        <f t="shared" ref="N16:P20" si="8">F16-J16</f>
        <v>216</v>
      </c>
      <c r="O16" s="197">
        <f t="shared" si="8"/>
        <v>140</v>
      </c>
      <c r="P16" s="197">
        <f t="shared" si="8"/>
        <v>90</v>
      </c>
      <c r="Q16" s="198" t="s">
        <v>306</v>
      </c>
    </row>
    <row r="17" spans="1:17" s="3" customFormat="1" ht="15.75" customHeight="1" x14ac:dyDescent="0.2">
      <c r="A17" s="96">
        <v>3</v>
      </c>
      <c r="B17" s="195" t="s">
        <v>340</v>
      </c>
      <c r="C17" s="400">
        <v>3.99</v>
      </c>
      <c r="D17" s="204" t="s">
        <v>965</v>
      </c>
      <c r="E17" s="197">
        <f t="shared" si="0"/>
        <v>535</v>
      </c>
      <c r="F17" s="197">
        <v>270</v>
      </c>
      <c r="G17" s="197">
        <f t="shared" si="1"/>
        <v>175</v>
      </c>
      <c r="H17" s="197">
        <f t="shared" si="2"/>
        <v>90</v>
      </c>
      <c r="I17" s="197">
        <f t="shared" si="3"/>
        <v>54</v>
      </c>
      <c r="J17" s="197">
        <f t="shared" si="6"/>
        <v>27</v>
      </c>
      <c r="K17" s="197">
        <f t="shared" si="7"/>
        <v>27</v>
      </c>
      <c r="L17" s="197">
        <f t="shared" si="4"/>
        <v>0</v>
      </c>
      <c r="M17" s="197">
        <f t="shared" si="5"/>
        <v>481</v>
      </c>
      <c r="N17" s="197">
        <f t="shared" si="8"/>
        <v>243</v>
      </c>
      <c r="O17" s="197">
        <f t="shared" si="8"/>
        <v>148</v>
      </c>
      <c r="P17" s="197">
        <f t="shared" si="8"/>
        <v>90</v>
      </c>
      <c r="Q17" s="199" t="s">
        <v>576</v>
      </c>
    </row>
    <row r="18" spans="1:17" s="3" customFormat="1" ht="15.75" customHeight="1" x14ac:dyDescent="0.2">
      <c r="A18" s="96">
        <v>4</v>
      </c>
      <c r="B18" s="195" t="s">
        <v>341</v>
      </c>
      <c r="C18" s="201">
        <v>4.32</v>
      </c>
      <c r="D18" s="204"/>
      <c r="E18" s="197">
        <f t="shared" si="0"/>
        <v>570</v>
      </c>
      <c r="F18" s="197">
        <v>270</v>
      </c>
      <c r="G18" s="197">
        <f t="shared" si="1"/>
        <v>200</v>
      </c>
      <c r="H18" s="197">
        <f t="shared" si="2"/>
        <v>100</v>
      </c>
      <c r="I18" s="197">
        <f t="shared" si="3"/>
        <v>0</v>
      </c>
      <c r="J18" s="197">
        <f t="shared" si="6"/>
        <v>0</v>
      </c>
      <c r="K18" s="197">
        <f t="shared" si="7"/>
        <v>0</v>
      </c>
      <c r="L18" s="197">
        <f t="shared" si="4"/>
        <v>0</v>
      </c>
      <c r="M18" s="197">
        <f t="shared" si="5"/>
        <v>570</v>
      </c>
      <c r="N18" s="197">
        <f t="shared" si="8"/>
        <v>270</v>
      </c>
      <c r="O18" s="197">
        <f t="shared" si="8"/>
        <v>200</v>
      </c>
      <c r="P18" s="197">
        <f t="shared" si="8"/>
        <v>100</v>
      </c>
      <c r="Q18" s="209"/>
    </row>
    <row r="19" spans="1:17" s="3" customFormat="1" ht="15.75" customHeight="1" x14ac:dyDescent="0.2">
      <c r="A19" s="96">
        <v>5</v>
      </c>
      <c r="B19" s="195" t="s">
        <v>342</v>
      </c>
      <c r="C19" s="201">
        <v>5.08</v>
      </c>
      <c r="D19" s="204"/>
      <c r="E19" s="197">
        <f t="shared" si="0"/>
        <v>610</v>
      </c>
      <c r="F19" s="197">
        <v>270</v>
      </c>
      <c r="G19" s="197">
        <f t="shared" si="1"/>
        <v>220</v>
      </c>
      <c r="H19" s="197">
        <f t="shared" si="2"/>
        <v>120</v>
      </c>
      <c r="I19" s="197">
        <f t="shared" si="3"/>
        <v>0</v>
      </c>
      <c r="J19" s="197">
        <f t="shared" si="6"/>
        <v>0</v>
      </c>
      <c r="K19" s="197">
        <f t="shared" si="7"/>
        <v>0</v>
      </c>
      <c r="L19" s="197">
        <f t="shared" si="4"/>
        <v>0</v>
      </c>
      <c r="M19" s="197">
        <f t="shared" si="5"/>
        <v>610</v>
      </c>
      <c r="N19" s="197">
        <f t="shared" si="8"/>
        <v>270</v>
      </c>
      <c r="O19" s="197">
        <f t="shared" si="8"/>
        <v>220</v>
      </c>
      <c r="P19" s="197">
        <f t="shared" si="8"/>
        <v>120</v>
      </c>
      <c r="Q19" s="209"/>
    </row>
    <row r="20" spans="1:17" s="3" customFormat="1" ht="15.75" customHeight="1" x14ac:dyDescent="0.2">
      <c r="A20" s="96">
        <v>6</v>
      </c>
      <c r="B20" s="200" t="s">
        <v>343</v>
      </c>
      <c r="C20" s="196">
        <v>2.34</v>
      </c>
      <c r="D20" s="204" t="s">
        <v>337</v>
      </c>
      <c r="E20" s="197">
        <f t="shared" si="0"/>
        <v>505</v>
      </c>
      <c r="F20" s="197">
        <v>270</v>
      </c>
      <c r="G20" s="197">
        <f t="shared" si="1"/>
        <v>165</v>
      </c>
      <c r="H20" s="197">
        <f t="shared" si="2"/>
        <v>70</v>
      </c>
      <c r="I20" s="197">
        <f t="shared" si="3"/>
        <v>65.25</v>
      </c>
      <c r="J20" s="197">
        <f t="shared" si="6"/>
        <v>40.5</v>
      </c>
      <c r="K20" s="197">
        <f t="shared" si="7"/>
        <v>24.75</v>
      </c>
      <c r="L20" s="197">
        <f t="shared" si="4"/>
        <v>0</v>
      </c>
      <c r="M20" s="197">
        <f t="shared" si="5"/>
        <v>439.75</v>
      </c>
      <c r="N20" s="197">
        <f t="shared" si="8"/>
        <v>229.5</v>
      </c>
      <c r="O20" s="197">
        <f t="shared" si="8"/>
        <v>140.25</v>
      </c>
      <c r="P20" s="197">
        <f t="shared" si="8"/>
        <v>70</v>
      </c>
      <c r="Q20" s="199" t="s">
        <v>966</v>
      </c>
    </row>
    <row r="21" spans="1:17" s="3" customFormat="1" ht="15.75" customHeight="1" x14ac:dyDescent="0.2">
      <c r="A21" s="101"/>
      <c r="B21" s="102"/>
      <c r="C21" s="102"/>
      <c r="D21" s="103"/>
      <c r="E21" s="104"/>
      <c r="F21" s="104"/>
      <c r="G21" s="104"/>
      <c r="H21" s="104"/>
      <c r="I21" s="104"/>
      <c r="J21" s="104"/>
      <c r="K21" s="104"/>
      <c r="L21" s="104"/>
      <c r="M21" s="104"/>
      <c r="N21" s="104"/>
      <c r="O21" s="104"/>
      <c r="P21" s="104"/>
      <c r="Q21" s="105"/>
    </row>
    <row r="22" spans="1:17" s="3" customFormat="1" ht="15.75" customHeight="1" thickBot="1" x14ac:dyDescent="0.25">
      <c r="A22" s="1116" t="s">
        <v>327</v>
      </c>
      <c r="B22" s="1117"/>
      <c r="C22" s="191"/>
      <c r="D22" s="106"/>
      <c r="E22" s="205">
        <f t="shared" ref="E22:P22" si="9">SUM(E15:E20)</f>
        <v>3460</v>
      </c>
      <c r="F22" s="205">
        <f t="shared" si="9"/>
        <v>1620</v>
      </c>
      <c r="G22" s="205">
        <f t="shared" si="9"/>
        <v>1250</v>
      </c>
      <c r="H22" s="205">
        <f t="shared" si="9"/>
        <v>590</v>
      </c>
      <c r="I22" s="205">
        <f t="shared" si="9"/>
        <v>208.25</v>
      </c>
      <c r="J22" s="205">
        <f t="shared" si="9"/>
        <v>121.5</v>
      </c>
      <c r="K22" s="205">
        <f t="shared" si="9"/>
        <v>86.75</v>
      </c>
      <c r="L22" s="205">
        <f t="shared" si="9"/>
        <v>0</v>
      </c>
      <c r="M22" s="205">
        <f t="shared" si="9"/>
        <v>3251.75</v>
      </c>
      <c r="N22" s="205">
        <f t="shared" si="9"/>
        <v>1498.5</v>
      </c>
      <c r="O22" s="205">
        <f t="shared" si="9"/>
        <v>1163.25</v>
      </c>
      <c r="P22" s="205">
        <f t="shared" si="9"/>
        <v>590</v>
      </c>
      <c r="Q22" s="107"/>
    </row>
    <row r="23" spans="1:17" ht="13.5" thickTop="1" x14ac:dyDescent="0.2">
      <c r="A23" s="189"/>
      <c r="B23" s="10"/>
      <c r="C23" s="10"/>
      <c r="D23" s="10"/>
      <c r="E23" s="1118" t="s">
        <v>917</v>
      </c>
      <c r="F23" s="1118"/>
      <c r="G23" s="1118"/>
      <c r="H23" s="1118"/>
      <c r="I23" s="1118"/>
      <c r="J23" s="1118"/>
      <c r="K23" s="1118"/>
      <c r="L23" s="1118"/>
      <c r="M23" s="1118"/>
      <c r="N23" s="1118"/>
      <c r="O23" s="1118"/>
      <c r="P23" s="1118"/>
      <c r="Q23" s="1118"/>
    </row>
    <row r="24" spans="1:17" x14ac:dyDescent="0.2">
      <c r="A24" s="189"/>
      <c r="B24" s="15"/>
      <c r="C24" s="15"/>
      <c r="D24" s="10"/>
      <c r="F24" s="108"/>
      <c r="G24" s="108"/>
      <c r="H24" s="108"/>
      <c r="I24" s="108"/>
      <c r="J24" s="108"/>
      <c r="K24" s="108"/>
      <c r="L24" s="108"/>
      <c r="M24" s="108"/>
      <c r="N24" s="1048"/>
      <c r="O24" s="1048"/>
      <c r="P24" s="1048"/>
      <c r="Q24" s="1048"/>
    </row>
    <row r="25" spans="1:17" ht="27" customHeight="1" x14ac:dyDescent="0.2">
      <c r="A25" s="1119" t="s">
        <v>241</v>
      </c>
      <c r="B25" s="1119"/>
      <c r="C25" s="1119"/>
      <c r="D25" s="1119"/>
      <c r="E25" s="1119"/>
      <c r="F25" s="1119"/>
      <c r="G25" s="1119"/>
      <c r="H25" s="1119"/>
      <c r="I25" s="1119"/>
      <c r="J25" s="1119"/>
      <c r="K25" s="1119"/>
      <c r="L25" s="1119"/>
      <c r="M25" s="1119"/>
      <c r="N25" s="24"/>
      <c r="O25" s="24"/>
      <c r="P25" s="24"/>
      <c r="Q25" s="24"/>
    </row>
    <row r="26" spans="1:17" x14ac:dyDescent="0.2">
      <c r="A26" s="189"/>
      <c r="B26" s="16"/>
      <c r="C26" s="16"/>
      <c r="D26" s="10"/>
      <c r="E26" s="1048"/>
      <c r="F26" s="1048"/>
      <c r="G26" s="1048"/>
      <c r="H26" s="1048"/>
      <c r="I26" s="1048"/>
      <c r="J26" s="1048"/>
      <c r="K26" s="1048"/>
      <c r="L26" s="1048"/>
      <c r="M26" s="1048"/>
      <c r="N26" s="1048"/>
      <c r="O26" s="1048"/>
      <c r="P26" s="1048"/>
      <c r="Q26" s="1048"/>
    </row>
    <row r="27" spans="1:17" x14ac:dyDescent="0.2">
      <c r="A27" s="189"/>
      <c r="B27" s="10"/>
      <c r="C27" s="10"/>
      <c r="D27" s="10"/>
      <c r="E27" s="1113"/>
      <c r="F27" s="1113"/>
      <c r="G27" s="1113"/>
      <c r="H27" s="1113"/>
      <c r="I27" s="1113"/>
      <c r="J27" s="1113"/>
      <c r="K27" s="1113"/>
      <c r="L27" s="1113"/>
      <c r="M27" s="1113"/>
      <c r="N27" s="1113"/>
      <c r="O27" s="1113"/>
      <c r="P27" s="1113"/>
      <c r="Q27" s="1113"/>
    </row>
    <row r="29" spans="1:17" x14ac:dyDescent="0.2">
      <c r="P29" s="1007" t="s">
        <v>1076</v>
      </c>
    </row>
  </sheetData>
  <mergeCells count="19">
    <mergeCell ref="H4:Q4"/>
    <mergeCell ref="A1:B1"/>
    <mergeCell ref="E1:P1"/>
    <mergeCell ref="A2:B2"/>
    <mergeCell ref="E2:P2"/>
    <mergeCell ref="A3:Q3"/>
    <mergeCell ref="E27:Q27"/>
    <mergeCell ref="Q5:Q6"/>
    <mergeCell ref="A22:B22"/>
    <mergeCell ref="E23:Q23"/>
    <mergeCell ref="N24:Q24"/>
    <mergeCell ref="A25:M25"/>
    <mergeCell ref="E26:Q26"/>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115" zoomScaleNormal="115" zoomScalePageLayoutView="115" workbookViewId="0">
      <pane xSplit="2" ySplit="7" topLeftCell="E14" activePane="bottomRight" state="frozen"/>
      <selection pane="topRight" activeCell="C1" sqref="C1"/>
      <selection pane="bottomLeft" activeCell="A8" sqref="A8"/>
      <selection pane="bottomRight" activeCell="E27" sqref="E27"/>
    </sheetView>
  </sheetViews>
  <sheetFormatPr defaultColWidth="8.85546875" defaultRowHeight="12.75" x14ac:dyDescent="0.2"/>
  <cols>
    <col min="1" max="1" width="5.42578125" style="1" customWidth="1"/>
    <col min="2" max="2" width="29" style="2" customWidth="1"/>
    <col min="3" max="3" width="6.85546875" style="2" customWidth="1"/>
    <col min="4" max="4" width="9.42578125" style="2" customWidth="1"/>
    <col min="5" max="6" width="5.7109375" customWidth="1"/>
    <col min="7" max="7" width="6.42578125" customWidth="1"/>
    <col min="8" max="8" width="6.7109375" customWidth="1"/>
    <col min="9" max="10" width="5.7109375" customWidth="1"/>
    <col min="11" max="11" width="6.140625" customWidth="1"/>
    <col min="12" max="12" width="7.42578125" customWidth="1"/>
    <col min="13" max="14" width="5.7109375" customWidth="1"/>
    <col min="15" max="15" width="6.42578125" customWidth="1"/>
    <col min="16" max="16" width="7.140625" customWidth="1"/>
    <col min="17" max="17" width="18.710937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1053</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2">
      <c r="A8" s="92"/>
      <c r="B8" s="20" t="s">
        <v>565</v>
      </c>
      <c r="C8" s="20"/>
      <c r="D8" s="23"/>
      <c r="E8" s="23"/>
      <c r="F8" s="23"/>
      <c r="G8" s="23"/>
      <c r="H8" s="23"/>
      <c r="I8" s="23"/>
      <c r="J8" s="23"/>
      <c r="K8" s="23"/>
      <c r="L8" s="23"/>
      <c r="M8" s="23"/>
      <c r="N8" s="23"/>
      <c r="O8" s="23"/>
      <c r="P8" s="23"/>
      <c r="Q8" s="93"/>
    </row>
    <row r="9" spans="1:17" s="19" customFormat="1" ht="18.75" customHeight="1" x14ac:dyDescent="0.2">
      <c r="A9" s="94"/>
      <c r="B9" s="22" t="s">
        <v>563</v>
      </c>
      <c r="C9" s="22"/>
      <c r="D9" s="21"/>
      <c r="E9" s="21"/>
      <c r="F9" s="21"/>
      <c r="G9" s="21"/>
      <c r="H9" s="21"/>
      <c r="I9" s="21"/>
      <c r="J9" s="21"/>
      <c r="K9" s="21"/>
      <c r="L9" s="21"/>
      <c r="M9" s="21"/>
      <c r="N9" s="21"/>
      <c r="O9" s="21"/>
      <c r="P9" s="21"/>
      <c r="Q9" s="95"/>
    </row>
    <row r="10" spans="1:17" s="19" customFormat="1" ht="18.75" customHeight="1" x14ac:dyDescent="0.2">
      <c r="A10" s="94"/>
      <c r="B10" s="22" t="s">
        <v>959</v>
      </c>
      <c r="C10" s="22"/>
      <c r="D10" s="21"/>
      <c r="E10" s="21"/>
      <c r="F10" s="21"/>
      <c r="G10" s="21"/>
      <c r="H10" s="21"/>
      <c r="I10" s="21"/>
      <c r="J10" s="21"/>
      <c r="K10" s="21"/>
      <c r="L10" s="21"/>
      <c r="M10" s="21"/>
      <c r="N10" s="21"/>
      <c r="O10" s="21"/>
      <c r="P10" s="21"/>
      <c r="Q10" s="95"/>
    </row>
    <row r="11" spans="1:17" s="19" customFormat="1" ht="22.5" customHeight="1" x14ac:dyDescent="0.2">
      <c r="A11" s="94"/>
      <c r="B11" s="22" t="s">
        <v>300</v>
      </c>
      <c r="C11" s="22"/>
      <c r="D11" s="21"/>
      <c r="E11" s="21"/>
      <c r="F11" s="21"/>
      <c r="G11" s="21"/>
      <c r="H11" s="21"/>
      <c r="I11" s="21"/>
      <c r="J11" s="21"/>
      <c r="K11" s="21"/>
      <c r="L11" s="21"/>
      <c r="M11" s="21"/>
      <c r="N11" s="21"/>
      <c r="O11" s="21"/>
      <c r="P11" s="21"/>
      <c r="Q11" s="95"/>
    </row>
    <row r="12" spans="1:17" s="19" customFormat="1" ht="30" customHeight="1" x14ac:dyDescent="0.2">
      <c r="A12" s="94"/>
      <c r="B12" s="22" t="s">
        <v>960</v>
      </c>
      <c r="C12" s="22"/>
      <c r="D12" s="21"/>
      <c r="E12" s="21"/>
      <c r="F12" s="21"/>
      <c r="G12" s="21"/>
      <c r="H12" s="21"/>
      <c r="I12" s="21"/>
      <c r="J12" s="21"/>
      <c r="K12" s="21"/>
      <c r="L12" s="21"/>
      <c r="M12" s="21"/>
      <c r="N12" s="21"/>
      <c r="O12" s="21"/>
      <c r="P12" s="21"/>
      <c r="Q12" s="95"/>
    </row>
    <row r="13" spans="1:17" s="19" customFormat="1" ht="18.75" customHeight="1" x14ac:dyDescent="0.2">
      <c r="A13" s="94"/>
      <c r="B13" s="2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27.75" customHeight="1" x14ac:dyDescent="0.2">
      <c r="A15" s="96">
        <v>1</v>
      </c>
      <c r="B15" s="195" t="s">
        <v>328</v>
      </c>
      <c r="C15" s="196">
        <v>6.2</v>
      </c>
      <c r="D15" s="204" t="s">
        <v>317</v>
      </c>
      <c r="E15" s="197">
        <f>F15+G15+H15</f>
        <v>705</v>
      </c>
      <c r="F15" s="197">
        <v>270</v>
      </c>
      <c r="G15" s="197">
        <f t="shared" ref="G15:G21" si="0">IF(C15&lt;3.33,165,IF(C15&lt;4.32,175,IF(C15&lt;4.4,200,IF(C15&lt;5.76,220,IF(C15&lt;6.2,260,315)))))</f>
        <v>315</v>
      </c>
      <c r="H15" s="197">
        <f t="shared" ref="H15:H21" si="1">IF(C15&lt;3.33,70,IF(C15&lt;4.32,90,IF(C15&lt;4.4,100,120)))</f>
        <v>120</v>
      </c>
      <c r="I15" s="197">
        <f>J15+K15+L15</f>
        <v>117</v>
      </c>
      <c r="J15" s="197">
        <f>IF(D15="TK",F15*0.3,IF(D15="PK",F15*0.25,IF(OR(D15="TBM",D15="BTLCD"),F15*0.2,IF(OR(D15="PCTCD",D15="CTCD"),F15*0.1,IF(OR(D15="TLĐT",D15="CVHT"),F15*0.15,IF(D15="NCS",F15*0.7,0))))))</f>
        <v>54</v>
      </c>
      <c r="K15" s="197">
        <f>IF(D15="TK",G15*0.3,IF(D15="PK",G15*0.25,IF(OR(D15="TBM",D15="BTLCD"),G15*0.2,IF(OR(D15="PCTCD",D15="CTCD"),F15*0.1,IF(OR(D15="TLĐT",D15="NCS,TLĐT",D15="NCS,CVHT",D15="CVHT"),G15*0.15,0)))))</f>
        <v>63</v>
      </c>
      <c r="L15" s="197">
        <f>IF(OR(D15="NCS",D15="NCS,TLĐT"),H15*0.7,0)</f>
        <v>0</v>
      </c>
      <c r="M15" s="197">
        <f>N15+O15+P15</f>
        <v>588</v>
      </c>
      <c r="N15" s="197">
        <f t="shared" ref="N15:P16" si="2">F15-J15</f>
        <v>216</v>
      </c>
      <c r="O15" s="197">
        <f t="shared" si="2"/>
        <v>252</v>
      </c>
      <c r="P15" s="197">
        <f t="shared" si="2"/>
        <v>120</v>
      </c>
      <c r="Q15" s="244" t="s">
        <v>585</v>
      </c>
    </row>
    <row r="16" spans="1:17" s="3" customFormat="1" ht="27.75" customHeight="1" x14ac:dyDescent="0.2">
      <c r="A16" s="96">
        <v>2</v>
      </c>
      <c r="B16" s="882" t="s">
        <v>957</v>
      </c>
      <c r="C16" s="883">
        <v>3.66</v>
      </c>
      <c r="D16" s="204" t="s">
        <v>958</v>
      </c>
      <c r="E16" s="197">
        <f>F16+G16+H16</f>
        <v>535</v>
      </c>
      <c r="F16" s="884">
        <v>270</v>
      </c>
      <c r="G16" s="884">
        <v>175</v>
      </c>
      <c r="H16" s="197">
        <f t="shared" si="1"/>
        <v>90</v>
      </c>
      <c r="I16" s="197">
        <f>J16+K16+L16</f>
        <v>133.5</v>
      </c>
      <c r="J16" s="197">
        <f t="shared" ref="J16:J23" si="3">IF(D16="TK",F16*0.3,IF(D16="PK",F16*0.25,IF(OR(D16="TBM",D16="BTLCD"),F16*0.2,IF(OR(D16="PCTCD",D16="CTCD"),F16*0.1,IF(OR(D16="TLĐT",D16="CVHT"),F16*0.15,IF(D16="NCS",F16*0.7,0))))))</f>
        <v>81</v>
      </c>
      <c r="K16" s="197">
        <f t="shared" ref="K16:K23" si="4">IF(D16="TK",G16*0.3,IF(D16="PK",G16*0.25,IF(OR(D16="TBM",D16="BTLCD"),G16*0.2,IF(OR(D16="PCTCD",D16="CTCD"),F16*0.1,IF(OR(D16="TLĐT",D16="NCS,TLĐT",D16="NCS,CVHT",D16="CVHT"),G16*0.15,0)))))</f>
        <v>52.5</v>
      </c>
      <c r="L16" s="197">
        <f>IF(OR(D16="NCS",D16="NCS,TLĐT"),H16*0.7,0)</f>
        <v>0</v>
      </c>
      <c r="M16" s="197">
        <f>N16+O16+P16</f>
        <v>401.5</v>
      </c>
      <c r="N16" s="197">
        <f t="shared" si="2"/>
        <v>189</v>
      </c>
      <c r="O16" s="197">
        <f t="shared" si="2"/>
        <v>122.5</v>
      </c>
      <c r="P16" s="197">
        <f t="shared" si="2"/>
        <v>90</v>
      </c>
      <c r="Q16" s="634" t="s">
        <v>962</v>
      </c>
    </row>
    <row r="17" spans="1:17" s="3" customFormat="1" ht="15.75" customHeight="1" x14ac:dyDescent="0.2">
      <c r="A17" s="96">
        <v>3</v>
      </c>
      <c r="B17" s="206" t="s">
        <v>329</v>
      </c>
      <c r="C17" s="196">
        <v>3.66</v>
      </c>
      <c r="D17" s="204" t="s">
        <v>961</v>
      </c>
      <c r="E17" s="197">
        <f t="shared" ref="E17:E23" si="5">F17+G17+H17</f>
        <v>535</v>
      </c>
      <c r="F17" s="197">
        <v>270</v>
      </c>
      <c r="G17" s="197">
        <f t="shared" si="0"/>
        <v>175</v>
      </c>
      <c r="H17" s="197">
        <f t="shared" si="1"/>
        <v>90</v>
      </c>
      <c r="I17" s="197">
        <f t="shared" ref="I17:I23" si="6">J17+K17+L17</f>
        <v>54</v>
      </c>
      <c r="J17" s="197">
        <f t="shared" si="3"/>
        <v>27</v>
      </c>
      <c r="K17" s="197">
        <f t="shared" si="4"/>
        <v>27</v>
      </c>
      <c r="L17" s="197">
        <f t="shared" ref="L17" si="7">IF(OR(D17="NCS",D17="NCS,TLĐT"),H17*0.7,0)</f>
        <v>0</v>
      </c>
      <c r="M17" s="197">
        <f t="shared" ref="M17:M23" si="8">N17+O17+P17</f>
        <v>481</v>
      </c>
      <c r="N17" s="197">
        <f t="shared" ref="N17:N19" si="9">F17-J17</f>
        <v>243</v>
      </c>
      <c r="O17" s="197">
        <f t="shared" ref="O17:P23" si="10">G17-K17</f>
        <v>148</v>
      </c>
      <c r="P17" s="197">
        <f t="shared" si="10"/>
        <v>90</v>
      </c>
      <c r="Q17" s="208" t="s">
        <v>963</v>
      </c>
    </row>
    <row r="18" spans="1:17" s="3" customFormat="1" ht="30" customHeight="1" x14ac:dyDescent="0.2">
      <c r="A18" s="96">
        <v>4</v>
      </c>
      <c r="B18" s="195" t="s">
        <v>330</v>
      </c>
      <c r="C18" s="400">
        <v>3.33</v>
      </c>
      <c r="D18" s="204" t="s">
        <v>318</v>
      </c>
      <c r="E18" s="197">
        <f t="shared" si="5"/>
        <v>535</v>
      </c>
      <c r="F18" s="197">
        <v>270</v>
      </c>
      <c r="G18" s="197">
        <f t="shared" si="0"/>
        <v>175</v>
      </c>
      <c r="H18" s="197">
        <f t="shared" si="1"/>
        <v>90</v>
      </c>
      <c r="I18" s="197">
        <f t="shared" si="6"/>
        <v>66.75</v>
      </c>
      <c r="J18" s="197">
        <f t="shared" si="3"/>
        <v>40.5</v>
      </c>
      <c r="K18" s="197">
        <f t="shared" si="4"/>
        <v>26.25</v>
      </c>
      <c r="L18" s="197">
        <f>IF(OR(D18="NCS",D18="NCS,TLĐT",D18="NCS,CVHT"),H18*0.7,0)</f>
        <v>0</v>
      </c>
      <c r="M18" s="197">
        <f t="shared" si="8"/>
        <v>468.25</v>
      </c>
      <c r="N18" s="197">
        <f t="shared" si="9"/>
        <v>229.5</v>
      </c>
      <c r="O18" s="197">
        <f t="shared" si="10"/>
        <v>148.75</v>
      </c>
      <c r="P18" s="197">
        <f t="shared" si="10"/>
        <v>90</v>
      </c>
      <c r="Q18" s="243" t="s">
        <v>964</v>
      </c>
    </row>
    <row r="19" spans="1:17" s="3" customFormat="1" ht="30" customHeight="1" x14ac:dyDescent="0.2">
      <c r="A19" s="96">
        <v>5</v>
      </c>
      <c r="B19" s="207" t="s">
        <v>331</v>
      </c>
      <c r="C19" s="401">
        <v>3</v>
      </c>
      <c r="D19" s="204" t="s">
        <v>337</v>
      </c>
      <c r="E19" s="197">
        <f t="shared" si="5"/>
        <v>505</v>
      </c>
      <c r="F19" s="197">
        <v>270</v>
      </c>
      <c r="G19" s="197">
        <f t="shared" si="0"/>
        <v>165</v>
      </c>
      <c r="H19" s="197">
        <f t="shared" si="1"/>
        <v>70</v>
      </c>
      <c r="I19" s="197">
        <f t="shared" si="6"/>
        <v>65.25</v>
      </c>
      <c r="J19" s="197">
        <f t="shared" si="3"/>
        <v>40.5</v>
      </c>
      <c r="K19" s="197">
        <f t="shared" si="4"/>
        <v>24.75</v>
      </c>
      <c r="L19" s="197">
        <f t="shared" ref="L19:L23" si="11">IF(OR(D19="NCS",D19="NCS,TLĐT",D19="NCS,CVHT"),H19*0.7,0)</f>
        <v>0</v>
      </c>
      <c r="M19" s="197">
        <f t="shared" si="8"/>
        <v>439.75</v>
      </c>
      <c r="N19" s="197">
        <f t="shared" si="9"/>
        <v>229.5</v>
      </c>
      <c r="O19" s="197">
        <f t="shared" si="10"/>
        <v>140.25</v>
      </c>
      <c r="P19" s="197">
        <f t="shared" si="10"/>
        <v>70</v>
      </c>
      <c r="Q19" s="243" t="s">
        <v>564</v>
      </c>
    </row>
    <row r="20" spans="1:17" s="3" customFormat="1" ht="15.75" customHeight="1" x14ac:dyDescent="0.2">
      <c r="A20" s="96">
        <v>6</v>
      </c>
      <c r="B20" s="207" t="s">
        <v>332</v>
      </c>
      <c r="C20" s="401">
        <v>3</v>
      </c>
      <c r="D20" s="204" t="s">
        <v>337</v>
      </c>
      <c r="E20" s="197">
        <f t="shared" si="5"/>
        <v>505</v>
      </c>
      <c r="F20" s="197">
        <v>270</v>
      </c>
      <c r="G20" s="197">
        <f t="shared" si="0"/>
        <v>165</v>
      </c>
      <c r="H20" s="197">
        <f t="shared" si="1"/>
        <v>70</v>
      </c>
      <c r="I20" s="197">
        <f t="shared" si="6"/>
        <v>65.25</v>
      </c>
      <c r="J20" s="197">
        <f t="shared" si="3"/>
        <v>40.5</v>
      </c>
      <c r="K20" s="197">
        <f t="shared" si="4"/>
        <v>24.75</v>
      </c>
      <c r="L20" s="197">
        <f t="shared" si="11"/>
        <v>0</v>
      </c>
      <c r="M20" s="197">
        <f t="shared" si="8"/>
        <v>439.75</v>
      </c>
      <c r="N20" s="197">
        <f>F20-J20</f>
        <v>229.5</v>
      </c>
      <c r="O20" s="197">
        <f t="shared" si="10"/>
        <v>140.25</v>
      </c>
      <c r="P20" s="197">
        <f t="shared" si="10"/>
        <v>70</v>
      </c>
      <c r="Q20" s="209" t="s">
        <v>564</v>
      </c>
    </row>
    <row r="21" spans="1:17" s="3" customFormat="1" ht="15.75" customHeight="1" x14ac:dyDescent="0.2">
      <c r="A21" s="96">
        <v>7</v>
      </c>
      <c r="B21" s="195" t="s">
        <v>333</v>
      </c>
      <c r="C21" s="196">
        <v>6.78</v>
      </c>
      <c r="D21" s="204"/>
      <c r="E21" s="197">
        <f t="shared" si="5"/>
        <v>705</v>
      </c>
      <c r="F21" s="197">
        <v>270</v>
      </c>
      <c r="G21" s="197">
        <f t="shared" si="0"/>
        <v>315</v>
      </c>
      <c r="H21" s="197">
        <f t="shared" si="1"/>
        <v>120</v>
      </c>
      <c r="I21" s="197">
        <f t="shared" si="6"/>
        <v>0</v>
      </c>
      <c r="J21" s="197">
        <f t="shared" si="3"/>
        <v>0</v>
      </c>
      <c r="K21" s="197">
        <f t="shared" si="4"/>
        <v>0</v>
      </c>
      <c r="L21" s="197">
        <f t="shared" si="11"/>
        <v>0</v>
      </c>
      <c r="M21" s="197">
        <f t="shared" si="8"/>
        <v>705</v>
      </c>
      <c r="N21" s="197">
        <f>F21-J21</f>
        <v>270</v>
      </c>
      <c r="O21" s="197">
        <f t="shared" si="10"/>
        <v>315</v>
      </c>
      <c r="P21" s="197">
        <f t="shared" si="10"/>
        <v>120</v>
      </c>
      <c r="Q21" s="199"/>
    </row>
    <row r="22" spans="1:17" s="3" customFormat="1" ht="15.75" customHeight="1" x14ac:dyDescent="0.2">
      <c r="A22" s="96">
        <v>8</v>
      </c>
      <c r="B22" s="195" t="s">
        <v>334</v>
      </c>
      <c r="C22" s="196">
        <v>3.99</v>
      </c>
      <c r="D22" s="204"/>
      <c r="E22" s="197">
        <f t="shared" si="5"/>
        <v>0</v>
      </c>
      <c r="F22" s="197">
        <v>0</v>
      </c>
      <c r="G22" s="197">
        <v>0</v>
      </c>
      <c r="H22" s="197">
        <v>0</v>
      </c>
      <c r="I22" s="197">
        <f t="shared" si="6"/>
        <v>0</v>
      </c>
      <c r="J22" s="197">
        <f t="shared" si="3"/>
        <v>0</v>
      </c>
      <c r="K22" s="197">
        <f t="shared" si="4"/>
        <v>0</v>
      </c>
      <c r="L22" s="197">
        <f t="shared" si="11"/>
        <v>0</v>
      </c>
      <c r="M22" s="197">
        <f t="shared" si="8"/>
        <v>0</v>
      </c>
      <c r="N22" s="197">
        <f t="shared" ref="N22:N24" si="12">F22-J22</f>
        <v>0</v>
      </c>
      <c r="O22" s="197">
        <f t="shared" si="10"/>
        <v>0</v>
      </c>
      <c r="P22" s="197">
        <f t="shared" si="10"/>
        <v>0</v>
      </c>
      <c r="Q22" s="198" t="s">
        <v>619</v>
      </c>
    </row>
    <row r="23" spans="1:17" s="3" customFormat="1" ht="15.75" customHeight="1" x14ac:dyDescent="0.2">
      <c r="A23" s="96">
        <v>9</v>
      </c>
      <c r="B23" s="202" t="s">
        <v>335</v>
      </c>
      <c r="C23" s="203">
        <v>3.99</v>
      </c>
      <c r="D23" s="204"/>
      <c r="E23" s="197">
        <f t="shared" si="5"/>
        <v>0</v>
      </c>
      <c r="F23" s="197">
        <v>0</v>
      </c>
      <c r="G23" s="197">
        <v>0</v>
      </c>
      <c r="H23" s="197">
        <v>0</v>
      </c>
      <c r="I23" s="197">
        <f t="shared" si="6"/>
        <v>0</v>
      </c>
      <c r="J23" s="197">
        <f t="shared" si="3"/>
        <v>0</v>
      </c>
      <c r="K23" s="197">
        <f t="shared" si="4"/>
        <v>0</v>
      </c>
      <c r="L23" s="197">
        <f t="shared" si="11"/>
        <v>0</v>
      </c>
      <c r="M23" s="197">
        <f t="shared" si="8"/>
        <v>0</v>
      </c>
      <c r="N23" s="197">
        <f t="shared" si="12"/>
        <v>0</v>
      </c>
      <c r="O23" s="197">
        <f t="shared" si="10"/>
        <v>0</v>
      </c>
      <c r="P23" s="197">
        <f t="shared" si="10"/>
        <v>0</v>
      </c>
      <c r="Q23" s="199" t="s">
        <v>620</v>
      </c>
    </row>
    <row r="24" spans="1:17" s="3" customFormat="1" ht="15.75" customHeight="1" x14ac:dyDescent="0.2">
      <c r="B24" s="102"/>
      <c r="C24" s="102"/>
      <c r="D24" s="103"/>
      <c r="E24" s="104"/>
      <c r="F24" s="104"/>
      <c r="G24" s="104"/>
      <c r="H24" s="104"/>
      <c r="I24" s="104"/>
      <c r="J24" s="104"/>
      <c r="K24" s="104"/>
      <c r="L24" s="104"/>
      <c r="M24" s="104"/>
      <c r="N24" s="197">
        <f t="shared" si="12"/>
        <v>0</v>
      </c>
      <c r="O24" s="104"/>
      <c r="P24" s="104"/>
      <c r="Q24" s="105"/>
    </row>
    <row r="25" spans="1:17" s="3" customFormat="1" ht="15.75" customHeight="1" thickBot="1" x14ac:dyDescent="0.25">
      <c r="A25" s="1116" t="s">
        <v>327</v>
      </c>
      <c r="B25" s="1117"/>
      <c r="C25" s="191"/>
      <c r="D25" s="106"/>
      <c r="E25" s="205">
        <f>SUM(E15:E23)</f>
        <v>4025</v>
      </c>
      <c r="F25" s="205">
        <f t="shared" ref="F25:P25" si="13">SUM(F15:F23)</f>
        <v>1890</v>
      </c>
      <c r="G25" s="205">
        <f t="shared" si="13"/>
        <v>1485</v>
      </c>
      <c r="H25" s="205">
        <f t="shared" si="13"/>
        <v>650</v>
      </c>
      <c r="I25" s="205">
        <f t="shared" si="13"/>
        <v>501.75</v>
      </c>
      <c r="J25" s="205">
        <f t="shared" si="13"/>
        <v>283.5</v>
      </c>
      <c r="K25" s="205">
        <f t="shared" si="13"/>
        <v>218.25</v>
      </c>
      <c r="L25" s="205">
        <f t="shared" si="13"/>
        <v>0</v>
      </c>
      <c r="M25" s="205">
        <f t="shared" si="13"/>
        <v>3523.25</v>
      </c>
      <c r="N25" s="205">
        <f t="shared" si="13"/>
        <v>1606.5</v>
      </c>
      <c r="O25" s="205">
        <f t="shared" si="13"/>
        <v>1266.75</v>
      </c>
      <c r="P25" s="205">
        <f t="shared" si="13"/>
        <v>650</v>
      </c>
      <c r="Q25" s="107"/>
    </row>
    <row r="26" spans="1:17" ht="13.5" thickTop="1" x14ac:dyDescent="0.2">
      <c r="A26" s="189"/>
      <c r="B26" s="10"/>
      <c r="C26" s="10"/>
      <c r="D26" s="10"/>
      <c r="E26" s="1118" t="s">
        <v>917</v>
      </c>
      <c r="F26" s="1118"/>
      <c r="G26" s="1118"/>
      <c r="H26" s="1118"/>
      <c r="I26" s="1118"/>
      <c r="J26" s="1118"/>
      <c r="K26" s="1118"/>
      <c r="L26" s="1118"/>
      <c r="M26" s="1118"/>
      <c r="N26" s="1118"/>
      <c r="O26" s="1118"/>
      <c r="P26" s="1118"/>
      <c r="Q26" s="1118"/>
    </row>
    <row r="27" spans="1:17" x14ac:dyDescent="0.2">
      <c r="A27" s="189"/>
      <c r="B27" s="15"/>
      <c r="C27" s="15"/>
      <c r="D27" s="10"/>
      <c r="F27" s="108"/>
      <c r="G27" s="108"/>
      <c r="H27" s="108"/>
      <c r="I27" s="108"/>
      <c r="J27" s="108"/>
      <c r="K27" s="108"/>
      <c r="L27" s="108"/>
      <c r="M27" s="108"/>
      <c r="N27" s="1048"/>
      <c r="O27" s="1048"/>
      <c r="P27" s="1048"/>
      <c r="Q27" s="1048"/>
    </row>
    <row r="28" spans="1:17" ht="27" customHeight="1" x14ac:dyDescent="0.2">
      <c r="A28" s="1119" t="s">
        <v>241</v>
      </c>
      <c r="B28" s="1119"/>
      <c r="C28" s="1119"/>
      <c r="D28" s="1119"/>
      <c r="E28" s="1119"/>
      <c r="F28" s="1119"/>
      <c r="G28" s="1119"/>
      <c r="H28" s="1119"/>
      <c r="I28" s="1119"/>
      <c r="J28" s="1119"/>
      <c r="K28" s="1119"/>
      <c r="L28" s="1119"/>
      <c r="M28" s="1119"/>
      <c r="N28" s="24"/>
      <c r="O28" s="24"/>
      <c r="P28" s="24"/>
      <c r="Q28" s="24"/>
    </row>
    <row r="29" spans="1:17" x14ac:dyDescent="0.2">
      <c r="A29" s="189"/>
      <c r="B29" s="16"/>
      <c r="C29" s="16"/>
      <c r="D29" s="10"/>
      <c r="E29" s="1048"/>
      <c r="F29" s="1048"/>
      <c r="G29" s="1048"/>
      <c r="H29" s="1048"/>
      <c r="I29" s="1048"/>
      <c r="J29" s="1048"/>
      <c r="K29" s="1048"/>
      <c r="L29" s="1048"/>
      <c r="M29" s="1048"/>
      <c r="N29" s="1048"/>
      <c r="O29" s="1048"/>
      <c r="P29" s="1048"/>
      <c r="Q29" s="1048"/>
    </row>
    <row r="30" spans="1:17" x14ac:dyDescent="0.2">
      <c r="A30" s="189"/>
      <c r="B30" s="10"/>
      <c r="C30" s="10"/>
      <c r="D30" s="10"/>
      <c r="E30" s="1113"/>
      <c r="F30" s="1113"/>
      <c r="G30" s="1113"/>
      <c r="H30" s="1113"/>
      <c r="I30" s="1113"/>
      <c r="J30" s="1113"/>
      <c r="K30" s="1113"/>
      <c r="L30" s="1113"/>
      <c r="M30" s="1113"/>
      <c r="N30" s="1113"/>
      <c r="O30" s="1113"/>
      <c r="P30" s="1113"/>
      <c r="Q30" s="1113"/>
    </row>
  </sheetData>
  <mergeCells count="19">
    <mergeCell ref="H4:Q4"/>
    <mergeCell ref="A1:B1"/>
    <mergeCell ref="E1:P1"/>
    <mergeCell ref="A2:B2"/>
    <mergeCell ref="E2:P2"/>
    <mergeCell ref="A3:Q3"/>
    <mergeCell ref="E30:Q30"/>
    <mergeCell ref="Q5:Q6"/>
    <mergeCell ref="A25:B25"/>
    <mergeCell ref="E26:Q26"/>
    <mergeCell ref="N27:Q27"/>
    <mergeCell ref="A28:M28"/>
    <mergeCell ref="E29:Q29"/>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115" zoomScaleNormal="115" zoomScalePageLayoutView="115" workbookViewId="0">
      <pane xSplit="2" ySplit="7" topLeftCell="C10" activePane="bottomRight" state="frozen"/>
      <selection pane="topRight" activeCell="C1" sqref="C1"/>
      <selection pane="bottomLeft" activeCell="A8" sqref="A8"/>
      <selection pane="bottomRight" activeCell="A4" sqref="A4"/>
    </sheetView>
  </sheetViews>
  <sheetFormatPr defaultColWidth="8.85546875" defaultRowHeight="12.75" x14ac:dyDescent="0.2"/>
  <cols>
    <col min="1" max="1" width="5.42578125" style="1" customWidth="1"/>
    <col min="2" max="2" width="28.85546875" style="2" customWidth="1"/>
    <col min="3" max="3" width="7.85546875" style="2" customWidth="1"/>
    <col min="4" max="4" width="7.7109375" style="2" customWidth="1"/>
    <col min="5" max="6" width="5.7109375" customWidth="1"/>
    <col min="7" max="7" width="6.42578125" customWidth="1"/>
    <col min="8" max="8" width="6.7109375" customWidth="1"/>
    <col min="9" max="10" width="5.7109375" customWidth="1"/>
    <col min="11" max="11" width="6.140625" customWidth="1"/>
    <col min="12" max="12" width="9.140625" customWidth="1"/>
    <col min="13" max="14" width="5.7109375" customWidth="1"/>
    <col min="15" max="15" width="6.42578125" customWidth="1"/>
    <col min="16" max="16" width="7.140625" customWidth="1"/>
    <col min="17" max="17" width="18.710937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1054</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21.75" customHeight="1" x14ac:dyDescent="0.2">
      <c r="A8" s="92"/>
      <c r="B8" s="20" t="s">
        <v>979</v>
      </c>
      <c r="C8" s="20"/>
      <c r="D8" s="23"/>
      <c r="E8" s="23"/>
      <c r="F8" s="23"/>
      <c r="G8" s="23"/>
      <c r="H8" s="23"/>
      <c r="I8" s="23"/>
      <c r="J8" s="23"/>
      <c r="K8" s="23"/>
      <c r="L8" s="23"/>
      <c r="M8" s="23"/>
      <c r="N8" s="23"/>
      <c r="O8" s="23"/>
      <c r="P8" s="23"/>
      <c r="Q8" s="93"/>
    </row>
    <row r="9" spans="1:17" s="19" customFormat="1" ht="18.75" customHeight="1" x14ac:dyDescent="0.2">
      <c r="A9" s="94"/>
      <c r="B9" s="22" t="s">
        <v>566</v>
      </c>
      <c r="C9" s="22"/>
      <c r="D9" s="21"/>
      <c r="E9" s="21"/>
      <c r="F9" s="21"/>
      <c r="G9" s="21"/>
      <c r="H9" s="21"/>
      <c r="I9" s="21"/>
      <c r="J9" s="21"/>
      <c r="K9" s="21"/>
      <c r="L9" s="21"/>
      <c r="M9" s="21"/>
      <c r="N9" s="21"/>
      <c r="O9" s="21"/>
      <c r="P9" s="21"/>
      <c r="Q9" s="95"/>
    </row>
    <row r="10" spans="1:17" s="19" customFormat="1" ht="18.75" customHeight="1" x14ac:dyDescent="0.2">
      <c r="A10" s="94"/>
      <c r="B10" s="22" t="s">
        <v>980</v>
      </c>
      <c r="C10" s="22"/>
      <c r="D10" s="21"/>
      <c r="E10" s="21"/>
      <c r="F10" s="21"/>
      <c r="G10" s="21"/>
      <c r="H10" s="21"/>
      <c r="I10" s="21"/>
      <c r="J10" s="21"/>
      <c r="K10" s="21"/>
      <c r="L10" s="21"/>
      <c r="M10" s="21"/>
      <c r="N10" s="21"/>
      <c r="O10" s="21"/>
      <c r="P10" s="21"/>
      <c r="Q10" s="95"/>
    </row>
    <row r="11" spans="1:17" s="19" customFormat="1" ht="22.5" customHeight="1" x14ac:dyDescent="0.2">
      <c r="A11" s="94"/>
      <c r="B11" s="22" t="s">
        <v>300</v>
      </c>
      <c r="C11" s="22"/>
      <c r="D11" s="21"/>
      <c r="E11" s="21"/>
      <c r="F11" s="21"/>
      <c r="G11" s="21"/>
      <c r="H11" s="21"/>
      <c r="I11" s="21"/>
      <c r="J11" s="21"/>
      <c r="K11" s="21"/>
      <c r="L11" s="21"/>
      <c r="M11" s="21"/>
      <c r="N11" s="21"/>
      <c r="O11" s="21"/>
      <c r="P11" s="21"/>
      <c r="Q11" s="95"/>
    </row>
    <row r="12" spans="1:17" s="19" customFormat="1" ht="24" customHeight="1" x14ac:dyDescent="0.2">
      <c r="A12" s="94"/>
      <c r="B12" s="22" t="s">
        <v>981</v>
      </c>
      <c r="C12" s="22"/>
      <c r="D12" s="21"/>
      <c r="E12" s="21"/>
      <c r="F12" s="21"/>
      <c r="G12" s="21"/>
      <c r="H12" s="21"/>
      <c r="I12" s="21"/>
      <c r="J12" s="21"/>
      <c r="K12" s="21"/>
      <c r="L12" s="21"/>
      <c r="M12" s="21"/>
      <c r="N12" s="21"/>
      <c r="O12" s="21"/>
      <c r="P12" s="21"/>
      <c r="Q12" s="95"/>
    </row>
    <row r="13" spans="1:17" s="19" customFormat="1" ht="18.75" customHeight="1" x14ac:dyDescent="0.2">
      <c r="A13" s="94"/>
      <c r="B13" s="2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15.75" customHeight="1" x14ac:dyDescent="0.2">
      <c r="A15" s="768">
        <v>1</v>
      </c>
      <c r="B15" s="202" t="s">
        <v>320</v>
      </c>
      <c r="C15" s="196">
        <v>3.99</v>
      </c>
      <c r="D15" s="204" t="s">
        <v>317</v>
      </c>
      <c r="E15" s="197">
        <f t="shared" ref="E15:E22" si="0">F15+G15+H15</f>
        <v>535</v>
      </c>
      <c r="F15" s="197">
        <v>270</v>
      </c>
      <c r="G15" s="197">
        <f t="shared" ref="G15:G24" si="1">IF(C15&lt;3.33,165,IF(C15&lt;4.32,175,IF(C15&lt;4.4,200,IF(C15&lt;5.76,220,IF(C15&lt;6.2,260,315)))))</f>
        <v>175</v>
      </c>
      <c r="H15" s="197">
        <f t="shared" ref="H15:H24" si="2">IF(C15&lt;3.33,70,IF(C15&lt;4.32,90,IF(C15&lt;4.4,100,120)))</f>
        <v>90</v>
      </c>
      <c r="I15" s="197">
        <f t="shared" ref="I15:I22" si="3">J15+K15+L15</f>
        <v>89</v>
      </c>
      <c r="J15" s="197">
        <f>IF(D15="CTHSVT",F15*0.6,IF(D15="TK",F15*0.3,IF(D15="PK",F15*0.25,IF(OR(D15="TBM",D15="BTLCD"),F15*0.2,IF(OR(D15="PCTCD",D15="CTCD"),F15*0.1,IF(OR(D15="TLĐT",D15="CVHT"),F15*0.15,IF(D15="NCS",F15*0.7,0)))))))</f>
        <v>54</v>
      </c>
      <c r="K15" s="197">
        <f>IF(D15="CTHSVT",G15*0.6,IF(D15="TK",G15*0.3,IF(D15="PK",G15*0.25,IF(OR(D15="TBM",D15="BTLCD"),G15*0.2,IF(OR(D15="PCTCD",D15="CTCD"),F15*0.1,IF(OR(D15="TLĐT",D15="NCS,TLĐT",D15="NCS,CVHT",D15="CVHT"),G15*0.15,0))))))</f>
        <v>35</v>
      </c>
      <c r="L15" s="197">
        <f t="shared" ref="L15:L23" si="4">IF(OR(D15="NCS",D15="NCS,TLĐT"),H15*0.7,0)</f>
        <v>0</v>
      </c>
      <c r="M15" s="197">
        <f t="shared" ref="M15:M22" si="5">N15+O15+P15</f>
        <v>446</v>
      </c>
      <c r="N15" s="197">
        <f t="shared" ref="N15:P23" si="6">F15-J15</f>
        <v>216</v>
      </c>
      <c r="O15" s="197">
        <f t="shared" si="6"/>
        <v>140</v>
      </c>
      <c r="P15" s="197">
        <f t="shared" si="6"/>
        <v>90</v>
      </c>
      <c r="Q15" s="199" t="s">
        <v>306</v>
      </c>
    </row>
    <row r="16" spans="1:17" s="3" customFormat="1" ht="15.75" customHeight="1" x14ac:dyDescent="0.2">
      <c r="A16" s="96">
        <v>2</v>
      </c>
      <c r="B16" s="202" t="s">
        <v>321</v>
      </c>
      <c r="C16" s="196">
        <v>3.66</v>
      </c>
      <c r="D16" s="204" t="s">
        <v>319</v>
      </c>
      <c r="E16" s="197">
        <f t="shared" si="0"/>
        <v>535</v>
      </c>
      <c r="F16" s="197">
        <v>270</v>
      </c>
      <c r="G16" s="197">
        <f t="shared" si="1"/>
        <v>175</v>
      </c>
      <c r="H16" s="197">
        <f t="shared" si="2"/>
        <v>90</v>
      </c>
      <c r="I16" s="197">
        <f t="shared" si="3"/>
        <v>252</v>
      </c>
      <c r="J16" s="197">
        <f t="shared" ref="J16:J24" si="7">IF(D16="CTHSVT",F16*0.6,IF(D16="TK",F16*0.3,IF(D16="PK",F16*0.25,IF(OR(D16="TBM",D16="BTLCD"),F16*0.2,IF(OR(D16="PCTCD",D16="CTCD"),F16*0.1,IF(OR(D16="TLĐT",D16="CVHT"),F16*0.15,IF(D16="NCS",F16*0.7,0)))))))</f>
        <v>189</v>
      </c>
      <c r="K16" s="197">
        <f t="shared" ref="K16:K24" si="8">IF(D16="CTHSVT",G16*0.6,IF(D16="TK",G16*0.3,IF(D16="PK",G16*0.25,IF(OR(D16="TBM",D16="BTLCD"),G16*0.2,IF(OR(D16="PCTCD",D16="CTCD"),F16*0.1,IF(OR(D16="TLĐT",D16="NCS,TLĐT",D16="NCS,CVHT",D16="CVHT"),G16*0.15,0))))))</f>
        <v>0</v>
      </c>
      <c r="L16" s="197">
        <f t="shared" si="4"/>
        <v>62.999999999999993</v>
      </c>
      <c r="M16" s="197">
        <f t="shared" si="5"/>
        <v>283</v>
      </c>
      <c r="N16" s="197">
        <f t="shared" si="6"/>
        <v>81</v>
      </c>
      <c r="O16" s="197">
        <f t="shared" si="6"/>
        <v>175</v>
      </c>
      <c r="P16" s="197">
        <f t="shared" si="6"/>
        <v>27.000000000000007</v>
      </c>
      <c r="Q16" s="199" t="s">
        <v>312</v>
      </c>
    </row>
    <row r="17" spans="1:17" s="3" customFormat="1" ht="15.75" customHeight="1" x14ac:dyDescent="0.2">
      <c r="A17" s="96">
        <v>3</v>
      </c>
      <c r="B17" s="202" t="s">
        <v>322</v>
      </c>
      <c r="C17" s="201">
        <v>3.99</v>
      </c>
      <c r="D17" s="204" t="s">
        <v>319</v>
      </c>
      <c r="E17" s="197">
        <f t="shared" si="0"/>
        <v>535</v>
      </c>
      <c r="F17" s="197">
        <v>270</v>
      </c>
      <c r="G17" s="197">
        <f t="shared" si="1"/>
        <v>175</v>
      </c>
      <c r="H17" s="197">
        <f t="shared" si="2"/>
        <v>90</v>
      </c>
      <c r="I17" s="197">
        <f t="shared" si="3"/>
        <v>252</v>
      </c>
      <c r="J17" s="197">
        <f t="shared" si="7"/>
        <v>189</v>
      </c>
      <c r="K17" s="197">
        <f t="shared" si="8"/>
        <v>0</v>
      </c>
      <c r="L17" s="197">
        <f t="shared" si="4"/>
        <v>62.999999999999993</v>
      </c>
      <c r="M17" s="197">
        <f t="shared" si="5"/>
        <v>283</v>
      </c>
      <c r="N17" s="197">
        <f t="shared" si="6"/>
        <v>81</v>
      </c>
      <c r="O17" s="197">
        <f t="shared" si="6"/>
        <v>175</v>
      </c>
      <c r="P17" s="197">
        <f t="shared" si="6"/>
        <v>27.000000000000007</v>
      </c>
      <c r="Q17" s="199" t="s">
        <v>312</v>
      </c>
    </row>
    <row r="18" spans="1:17" s="3" customFormat="1" ht="15.75" customHeight="1" x14ac:dyDescent="0.2">
      <c r="A18" s="96">
        <v>4</v>
      </c>
      <c r="B18" s="202" t="s">
        <v>323</v>
      </c>
      <c r="C18" s="196">
        <v>3.66</v>
      </c>
      <c r="D18" s="204" t="s">
        <v>319</v>
      </c>
      <c r="E18" s="197">
        <f t="shared" si="0"/>
        <v>535</v>
      </c>
      <c r="F18" s="197">
        <v>270</v>
      </c>
      <c r="G18" s="197">
        <f t="shared" si="1"/>
        <v>175</v>
      </c>
      <c r="H18" s="197">
        <f t="shared" si="2"/>
        <v>90</v>
      </c>
      <c r="I18" s="197">
        <f t="shared" si="3"/>
        <v>252</v>
      </c>
      <c r="J18" s="197">
        <f t="shared" si="7"/>
        <v>189</v>
      </c>
      <c r="K18" s="197">
        <f t="shared" si="8"/>
        <v>0</v>
      </c>
      <c r="L18" s="197">
        <f t="shared" si="4"/>
        <v>62.999999999999993</v>
      </c>
      <c r="M18" s="197">
        <f t="shared" si="5"/>
        <v>283</v>
      </c>
      <c r="N18" s="197">
        <f t="shared" si="6"/>
        <v>81</v>
      </c>
      <c r="O18" s="197">
        <f t="shared" si="6"/>
        <v>175</v>
      </c>
      <c r="P18" s="197">
        <f t="shared" si="6"/>
        <v>27.000000000000007</v>
      </c>
      <c r="Q18" s="199" t="s">
        <v>312</v>
      </c>
    </row>
    <row r="19" spans="1:17" s="3" customFormat="1" ht="15.75" customHeight="1" x14ac:dyDescent="0.2">
      <c r="A19" s="96">
        <v>5</v>
      </c>
      <c r="B19" s="202" t="s">
        <v>324</v>
      </c>
      <c r="C19" s="196">
        <v>3.66</v>
      </c>
      <c r="D19" s="204" t="s">
        <v>337</v>
      </c>
      <c r="E19" s="197">
        <f t="shared" si="0"/>
        <v>535</v>
      </c>
      <c r="F19" s="197">
        <v>270</v>
      </c>
      <c r="G19" s="197">
        <f t="shared" si="1"/>
        <v>175</v>
      </c>
      <c r="H19" s="197">
        <f t="shared" si="2"/>
        <v>90</v>
      </c>
      <c r="I19" s="197">
        <f t="shared" si="3"/>
        <v>66.75</v>
      </c>
      <c r="J19" s="197">
        <f t="shared" si="7"/>
        <v>40.5</v>
      </c>
      <c r="K19" s="197">
        <f t="shared" si="8"/>
        <v>26.25</v>
      </c>
      <c r="L19" s="197">
        <f t="shared" si="4"/>
        <v>0</v>
      </c>
      <c r="M19" s="197">
        <f t="shared" si="5"/>
        <v>468.25</v>
      </c>
      <c r="N19" s="197">
        <f t="shared" si="6"/>
        <v>229.5</v>
      </c>
      <c r="O19" s="197">
        <f t="shared" si="6"/>
        <v>148.75</v>
      </c>
      <c r="P19" s="197">
        <f t="shared" si="6"/>
        <v>90</v>
      </c>
      <c r="Q19" s="199" t="s">
        <v>1051</v>
      </c>
    </row>
    <row r="20" spans="1:17" s="3" customFormat="1" ht="15.75" customHeight="1" x14ac:dyDescent="0.2">
      <c r="A20" s="96">
        <v>6</v>
      </c>
      <c r="B20" s="195" t="s">
        <v>617</v>
      </c>
      <c r="C20" s="196">
        <v>3.33</v>
      </c>
      <c r="D20" s="204"/>
      <c r="E20" s="197">
        <f t="shared" si="0"/>
        <v>535</v>
      </c>
      <c r="F20" s="197">
        <v>270</v>
      </c>
      <c r="G20" s="197">
        <f t="shared" si="1"/>
        <v>175</v>
      </c>
      <c r="H20" s="197">
        <f t="shared" si="2"/>
        <v>90</v>
      </c>
      <c r="I20" s="197">
        <f t="shared" si="3"/>
        <v>0</v>
      </c>
      <c r="J20" s="197">
        <f t="shared" si="7"/>
        <v>0</v>
      </c>
      <c r="K20" s="197">
        <f t="shared" si="8"/>
        <v>0</v>
      </c>
      <c r="L20" s="197">
        <f t="shared" si="4"/>
        <v>0</v>
      </c>
      <c r="M20" s="197">
        <f t="shared" si="5"/>
        <v>535</v>
      </c>
      <c r="N20" s="197">
        <f t="shared" si="6"/>
        <v>270</v>
      </c>
      <c r="O20" s="197">
        <f t="shared" si="6"/>
        <v>175</v>
      </c>
      <c r="P20" s="197">
        <f t="shared" si="6"/>
        <v>90</v>
      </c>
      <c r="Q20" s="198"/>
    </row>
    <row r="21" spans="1:17" s="3" customFormat="1" ht="15.75" customHeight="1" x14ac:dyDescent="0.2">
      <c r="A21" s="96">
        <v>7</v>
      </c>
      <c r="B21" s="202" t="s">
        <v>325</v>
      </c>
      <c r="C21" s="203">
        <v>4.6500000000000004</v>
      </c>
      <c r="D21" s="204"/>
      <c r="E21" s="197">
        <f t="shared" si="0"/>
        <v>610</v>
      </c>
      <c r="F21" s="197">
        <v>270</v>
      </c>
      <c r="G21" s="197">
        <f t="shared" si="1"/>
        <v>220</v>
      </c>
      <c r="H21" s="197">
        <f t="shared" si="2"/>
        <v>120</v>
      </c>
      <c r="I21" s="197">
        <f t="shared" si="3"/>
        <v>0</v>
      </c>
      <c r="J21" s="197">
        <f t="shared" si="7"/>
        <v>0</v>
      </c>
      <c r="K21" s="197">
        <f t="shared" si="8"/>
        <v>0</v>
      </c>
      <c r="L21" s="197">
        <f t="shared" si="4"/>
        <v>0</v>
      </c>
      <c r="M21" s="197">
        <f t="shared" si="5"/>
        <v>610</v>
      </c>
      <c r="N21" s="197">
        <f t="shared" si="6"/>
        <v>270</v>
      </c>
      <c r="O21" s="197">
        <f t="shared" si="6"/>
        <v>220</v>
      </c>
      <c r="P21" s="197">
        <f t="shared" si="6"/>
        <v>120</v>
      </c>
      <c r="Q21" s="199"/>
    </row>
    <row r="22" spans="1:17" s="3" customFormat="1" ht="15.75" customHeight="1" x14ac:dyDescent="0.2">
      <c r="A22" s="96">
        <v>8</v>
      </c>
      <c r="B22" s="202" t="s">
        <v>326</v>
      </c>
      <c r="C22" s="196">
        <v>4.9800000000000004</v>
      </c>
      <c r="D22" s="103"/>
      <c r="E22" s="197">
        <f t="shared" si="0"/>
        <v>610</v>
      </c>
      <c r="F22" s="197">
        <v>270</v>
      </c>
      <c r="G22" s="197">
        <f t="shared" si="1"/>
        <v>220</v>
      </c>
      <c r="H22" s="197">
        <f t="shared" si="2"/>
        <v>120</v>
      </c>
      <c r="I22" s="197">
        <f t="shared" si="3"/>
        <v>0</v>
      </c>
      <c r="J22" s="197">
        <f t="shared" si="7"/>
        <v>0</v>
      </c>
      <c r="K22" s="197">
        <f t="shared" si="8"/>
        <v>0</v>
      </c>
      <c r="L22" s="197">
        <f t="shared" si="4"/>
        <v>0</v>
      </c>
      <c r="M22" s="197">
        <f t="shared" si="5"/>
        <v>610</v>
      </c>
      <c r="N22" s="197">
        <f t="shared" si="6"/>
        <v>270</v>
      </c>
      <c r="O22" s="197">
        <f t="shared" si="6"/>
        <v>220</v>
      </c>
      <c r="P22" s="197">
        <f t="shared" si="6"/>
        <v>120</v>
      </c>
      <c r="Q22" s="105"/>
    </row>
    <row r="23" spans="1:17" s="3" customFormat="1" ht="15.75" customHeight="1" x14ac:dyDescent="0.2">
      <c r="A23" s="96">
        <v>9</v>
      </c>
      <c r="B23" s="417" t="s">
        <v>650</v>
      </c>
      <c r="C23" s="892">
        <v>2.67</v>
      </c>
      <c r="D23" s="204"/>
      <c r="E23" s="418">
        <v>535</v>
      </c>
      <c r="F23" s="418">
        <v>270</v>
      </c>
      <c r="G23" s="197">
        <f t="shared" si="1"/>
        <v>165</v>
      </c>
      <c r="H23" s="197">
        <f t="shared" si="2"/>
        <v>70</v>
      </c>
      <c r="I23" s="418">
        <v>0</v>
      </c>
      <c r="J23" s="197">
        <f t="shared" si="7"/>
        <v>0</v>
      </c>
      <c r="K23" s="197">
        <f t="shared" si="8"/>
        <v>0</v>
      </c>
      <c r="L23" s="197">
        <f t="shared" si="4"/>
        <v>0</v>
      </c>
      <c r="M23" s="197">
        <f>N23+O23+P23</f>
        <v>505</v>
      </c>
      <c r="N23" s="197">
        <f t="shared" si="6"/>
        <v>270</v>
      </c>
      <c r="O23" s="197">
        <f t="shared" si="6"/>
        <v>165</v>
      </c>
      <c r="P23" s="197">
        <f t="shared" si="6"/>
        <v>70</v>
      </c>
      <c r="Q23" s="105"/>
    </row>
    <row r="24" spans="1:17" s="3" customFormat="1" ht="15.75" customHeight="1" x14ac:dyDescent="0.2">
      <c r="A24" s="416">
        <v>10</v>
      </c>
      <c r="B24" s="440" t="s">
        <v>651</v>
      </c>
      <c r="C24" s="893">
        <v>2.34</v>
      </c>
      <c r="D24" s="204" t="s">
        <v>977</v>
      </c>
      <c r="E24" s="197">
        <f t="shared" ref="E24" si="9">F24+G24+H24</f>
        <v>505</v>
      </c>
      <c r="F24" s="197">
        <v>270</v>
      </c>
      <c r="G24" s="197">
        <f t="shared" si="1"/>
        <v>165</v>
      </c>
      <c r="H24" s="197">
        <f t="shared" si="2"/>
        <v>70</v>
      </c>
      <c r="I24" s="197">
        <f t="shared" ref="I24" si="10">J24+K24+L24</f>
        <v>261</v>
      </c>
      <c r="J24" s="197">
        <f t="shared" si="7"/>
        <v>162</v>
      </c>
      <c r="K24" s="197">
        <f t="shared" si="8"/>
        <v>99</v>
      </c>
      <c r="L24" s="197">
        <f t="shared" ref="L24" si="11">IF(OR(D24="NCS",D24="NCS,TLĐT"),H24*0.7,0)</f>
        <v>0</v>
      </c>
      <c r="M24" s="197">
        <f t="shared" ref="M24" si="12">N24+O24+P24</f>
        <v>244</v>
      </c>
      <c r="N24" s="197">
        <f t="shared" ref="N24" si="13">F24-J24</f>
        <v>108</v>
      </c>
      <c r="O24" s="197">
        <f t="shared" ref="O24" si="14">G24-K24</f>
        <v>66</v>
      </c>
      <c r="P24" s="197">
        <f t="shared" ref="P24" si="15">H24-L24</f>
        <v>70</v>
      </c>
      <c r="Q24" s="198" t="s">
        <v>978</v>
      </c>
    </row>
    <row r="25" spans="1:17" s="3" customFormat="1" ht="15.75" customHeight="1" thickBot="1" x14ac:dyDescent="0.25">
      <c r="A25" s="1116" t="s">
        <v>327</v>
      </c>
      <c r="B25" s="1117"/>
      <c r="C25" s="191"/>
      <c r="D25" s="106"/>
      <c r="E25" s="205">
        <f t="shared" ref="E25:P25" si="16">SUM(E15:E24)</f>
        <v>5470</v>
      </c>
      <c r="F25" s="205">
        <f t="shared" si="16"/>
        <v>2700</v>
      </c>
      <c r="G25" s="205">
        <f t="shared" si="16"/>
        <v>1820</v>
      </c>
      <c r="H25" s="205">
        <f t="shared" si="16"/>
        <v>920</v>
      </c>
      <c r="I25" s="205">
        <f t="shared" si="16"/>
        <v>1172.75</v>
      </c>
      <c r="J25" s="205">
        <f t="shared" si="16"/>
        <v>823.5</v>
      </c>
      <c r="K25" s="205">
        <f t="shared" si="16"/>
        <v>160.25</v>
      </c>
      <c r="L25" s="205">
        <f t="shared" si="16"/>
        <v>188.99999999999997</v>
      </c>
      <c r="M25" s="205">
        <f t="shared" si="16"/>
        <v>4267.25</v>
      </c>
      <c r="N25" s="205">
        <f t="shared" si="16"/>
        <v>1876.5</v>
      </c>
      <c r="O25" s="205">
        <f t="shared" si="16"/>
        <v>1659.75</v>
      </c>
      <c r="P25" s="205">
        <f t="shared" si="16"/>
        <v>731</v>
      </c>
      <c r="Q25" s="107"/>
    </row>
    <row r="26" spans="1:17" ht="13.5" thickTop="1" x14ac:dyDescent="0.2">
      <c r="A26" s="189"/>
      <c r="B26" s="10"/>
      <c r="C26" s="10"/>
      <c r="D26" s="10"/>
      <c r="E26" s="1118" t="s">
        <v>917</v>
      </c>
      <c r="F26" s="1118"/>
      <c r="G26" s="1118"/>
      <c r="H26" s="1118"/>
      <c r="I26" s="1118"/>
      <c r="J26" s="1118"/>
      <c r="K26" s="1118"/>
      <c r="L26" s="1118"/>
      <c r="M26" s="1118"/>
      <c r="N26" s="1118"/>
      <c r="O26" s="1118"/>
      <c r="P26" s="1118"/>
      <c r="Q26" s="1118"/>
    </row>
    <row r="27" spans="1:17" x14ac:dyDescent="0.2">
      <c r="A27" s="189"/>
      <c r="B27" s="15"/>
      <c r="C27" s="15"/>
      <c r="D27" s="10"/>
      <c r="F27" s="108"/>
      <c r="G27" s="108"/>
      <c r="H27" s="108"/>
      <c r="I27" s="108"/>
      <c r="J27" s="108"/>
      <c r="K27" s="108"/>
      <c r="L27" s="108"/>
      <c r="M27" s="108"/>
      <c r="N27" s="1048"/>
      <c r="O27" s="1048"/>
      <c r="P27" s="1048"/>
      <c r="Q27" s="1048"/>
    </row>
    <row r="28" spans="1:17" ht="27" customHeight="1" x14ac:dyDescent="0.2">
      <c r="A28" s="1119" t="s">
        <v>241</v>
      </c>
      <c r="B28" s="1119"/>
      <c r="C28" s="1119"/>
      <c r="D28" s="1119"/>
      <c r="E28" s="1119"/>
      <c r="F28" s="1119"/>
      <c r="G28" s="1119"/>
      <c r="H28" s="1119"/>
      <c r="I28" s="1119"/>
      <c r="J28" s="1119"/>
      <c r="K28" s="1119"/>
      <c r="L28" s="1119"/>
      <c r="M28" s="1119"/>
      <c r="N28" s="24"/>
      <c r="O28" s="24"/>
      <c r="P28" s="24"/>
      <c r="Q28" s="24"/>
    </row>
    <row r="29" spans="1:17" x14ac:dyDescent="0.2">
      <c r="A29" s="189"/>
      <c r="B29" s="16"/>
      <c r="C29" s="16"/>
      <c r="D29" s="10"/>
      <c r="E29" s="1048"/>
      <c r="F29" s="1048"/>
      <c r="G29" s="1048"/>
      <c r="H29" s="1048"/>
      <c r="I29" s="1048"/>
      <c r="J29" s="1048"/>
      <c r="K29" s="1048"/>
      <c r="L29" s="1048"/>
      <c r="M29" s="1048"/>
      <c r="N29" s="1048"/>
      <c r="O29" s="1048"/>
      <c r="P29" s="1048"/>
      <c r="Q29" s="1048"/>
    </row>
    <row r="30" spans="1:17" x14ac:dyDescent="0.2">
      <c r="A30" s="189"/>
      <c r="B30" s="10"/>
      <c r="C30" s="10"/>
      <c r="D30" s="10"/>
      <c r="E30" s="1113"/>
      <c r="F30" s="1113"/>
      <c r="G30" s="1113"/>
      <c r="H30" s="1113"/>
      <c r="I30" s="1113"/>
      <c r="J30" s="1113"/>
      <c r="K30" s="1113"/>
      <c r="L30" s="1113"/>
      <c r="M30" s="1113"/>
      <c r="N30" s="1113"/>
      <c r="O30" s="1113"/>
      <c r="P30" s="1113"/>
      <c r="Q30" s="1113"/>
    </row>
  </sheetData>
  <mergeCells count="19">
    <mergeCell ref="H4:Q4"/>
    <mergeCell ref="A1:B1"/>
    <mergeCell ref="E1:P1"/>
    <mergeCell ref="A2:B2"/>
    <mergeCell ref="E2:P2"/>
    <mergeCell ref="A3:Q3"/>
    <mergeCell ref="E30:Q30"/>
    <mergeCell ref="Q5:Q6"/>
    <mergeCell ref="A25:B25"/>
    <mergeCell ref="E26:Q26"/>
    <mergeCell ref="N27:Q27"/>
    <mergeCell ref="A28:M28"/>
    <mergeCell ref="E29:Q29"/>
    <mergeCell ref="A5:A6"/>
    <mergeCell ref="B5:B6"/>
    <mergeCell ref="D5:D6"/>
    <mergeCell ref="E5:H5"/>
    <mergeCell ref="I5:L5"/>
    <mergeCell ref="M5:P5"/>
  </mergeCells>
  <pageMargins left="0.34" right="0.2" top="0.45" bottom="0.34" header="0.45" footer="0.21"/>
  <pageSetup paperSize="9" orientation="landscape"/>
  <ignoredErrors>
    <ignoredError sqref="J25" emptyCellReference="1"/>
  </ignoredErrors>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Q29"/>
  <sheetViews>
    <sheetView zoomScale="115" zoomScaleNormal="115" zoomScalePageLayoutView="115" workbookViewId="0">
      <pane xSplit="2" ySplit="7" topLeftCell="C15" activePane="bottomRight" state="frozen"/>
      <selection pane="topRight" activeCell="C1" sqref="C1"/>
      <selection pane="bottomLeft" activeCell="A8" sqref="A8"/>
      <selection pane="bottomRight" activeCell="I26" sqref="I26"/>
    </sheetView>
  </sheetViews>
  <sheetFormatPr defaultColWidth="8.85546875" defaultRowHeight="12.75" x14ac:dyDescent="0.2"/>
  <cols>
    <col min="1" max="1" width="5.42578125" style="1" customWidth="1"/>
    <col min="2" max="2" width="28.42578125" style="2" customWidth="1"/>
    <col min="3" max="3" width="7.85546875" style="2" customWidth="1"/>
    <col min="4" max="4" width="6.42578125" style="2" customWidth="1"/>
    <col min="5" max="6" width="5.7109375" customWidth="1"/>
    <col min="7" max="7" width="6.42578125" customWidth="1"/>
    <col min="8" max="8" width="6.7109375" customWidth="1"/>
    <col min="9" max="10" width="5.7109375" customWidth="1"/>
    <col min="11" max="11" width="6.140625" customWidth="1"/>
    <col min="12" max="12" width="7.85546875" customWidth="1"/>
    <col min="13" max="13" width="5.7109375" customWidth="1"/>
    <col min="14" max="15" width="6.42578125" customWidth="1"/>
    <col min="16" max="16" width="7.140625" customWidth="1"/>
    <col min="17" max="17" width="20.4257812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1017</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55" t="s">
        <v>14</v>
      </c>
      <c r="F6" s="55" t="s">
        <v>11</v>
      </c>
      <c r="G6" s="55" t="s">
        <v>12</v>
      </c>
      <c r="H6" s="55" t="s">
        <v>13</v>
      </c>
      <c r="I6" s="55" t="s">
        <v>14</v>
      </c>
      <c r="J6" s="55" t="s">
        <v>11</v>
      </c>
      <c r="K6" s="55" t="s">
        <v>12</v>
      </c>
      <c r="L6" s="55" t="s">
        <v>13</v>
      </c>
      <c r="M6" s="55" t="s">
        <v>14</v>
      </c>
      <c r="N6" s="55" t="s">
        <v>11</v>
      </c>
      <c r="O6" s="55" t="s">
        <v>12</v>
      </c>
      <c r="P6" s="55"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22.5" customHeight="1" x14ac:dyDescent="0.2">
      <c r="A8" s="92"/>
      <c r="B8" s="20" t="s">
        <v>565</v>
      </c>
      <c r="C8" s="20"/>
      <c r="D8" s="23"/>
      <c r="E8" s="23"/>
      <c r="F8" s="23"/>
      <c r="G8" s="23"/>
      <c r="H8" s="23"/>
      <c r="I8" s="23"/>
      <c r="J8" s="23"/>
      <c r="K8" s="23"/>
      <c r="L8" s="23"/>
      <c r="M8" s="23"/>
      <c r="N8" s="23"/>
      <c r="O8" s="23"/>
      <c r="P8" s="23"/>
      <c r="Q8" s="93"/>
    </row>
    <row r="9" spans="1:17" s="19" customFormat="1" ht="18.75" customHeight="1" x14ac:dyDescent="0.2">
      <c r="A9" s="94"/>
      <c r="B9" s="22" t="s">
        <v>568</v>
      </c>
      <c r="C9" s="22"/>
      <c r="D9" s="21"/>
      <c r="E9" s="21"/>
      <c r="F9" s="21"/>
      <c r="G9" s="21"/>
      <c r="H9" s="21"/>
      <c r="I9" s="21"/>
      <c r="J9" s="21"/>
      <c r="K9" s="21"/>
      <c r="L9" s="21"/>
      <c r="M9" s="21"/>
      <c r="N9" s="21"/>
      <c r="O9" s="21"/>
      <c r="P9" s="21"/>
      <c r="Q9" s="95"/>
    </row>
    <row r="10" spans="1:17" s="19" customFormat="1" ht="18.75" customHeight="1" x14ac:dyDescent="0.2">
      <c r="A10" s="94"/>
      <c r="B10" s="22" t="s">
        <v>567</v>
      </c>
      <c r="C10" s="22"/>
      <c r="D10" s="21"/>
      <c r="E10" s="21"/>
      <c r="F10" s="21"/>
      <c r="G10" s="21"/>
      <c r="H10" s="21"/>
      <c r="I10" s="21"/>
      <c r="J10" s="21"/>
      <c r="K10" s="21"/>
      <c r="L10" s="21"/>
      <c r="M10" s="21"/>
      <c r="N10" s="21"/>
      <c r="O10" s="21"/>
      <c r="P10" s="21"/>
      <c r="Q10" s="95"/>
    </row>
    <row r="11" spans="1:17" s="19" customFormat="1" ht="24.75" customHeight="1" x14ac:dyDescent="0.2">
      <c r="A11" s="94"/>
      <c r="B11" s="22" t="s">
        <v>300</v>
      </c>
      <c r="C11" s="22"/>
      <c r="D11" s="21"/>
      <c r="E11" s="21"/>
      <c r="F11" s="21"/>
      <c r="G11" s="21"/>
      <c r="H11" s="21"/>
      <c r="I11" s="21"/>
      <c r="J11" s="21"/>
      <c r="K11" s="21"/>
      <c r="L11" s="21"/>
      <c r="M11" s="21"/>
      <c r="N11" s="21"/>
      <c r="O11" s="21"/>
      <c r="P11" s="21"/>
      <c r="Q11" s="95"/>
    </row>
    <row r="12" spans="1:17" s="19" customFormat="1" ht="30.75" customHeight="1" x14ac:dyDescent="0.2">
      <c r="A12" s="94"/>
      <c r="B12" s="22" t="s">
        <v>301</v>
      </c>
      <c r="C12" s="22"/>
      <c r="D12" s="21"/>
      <c r="E12" s="21"/>
      <c r="F12" s="21"/>
      <c r="G12" s="21"/>
      <c r="H12" s="21"/>
      <c r="I12" s="21"/>
      <c r="J12" s="21"/>
      <c r="K12" s="21"/>
      <c r="L12" s="21"/>
      <c r="M12" s="21"/>
      <c r="N12" s="21"/>
      <c r="O12" s="21"/>
      <c r="P12" s="21"/>
      <c r="Q12" s="95"/>
    </row>
    <row r="13" spans="1:17" s="19" customFormat="1" ht="21" customHeight="1" x14ac:dyDescent="0.2">
      <c r="A13" s="94"/>
      <c r="B13" s="22" t="s">
        <v>302</v>
      </c>
      <c r="C13" s="22"/>
      <c r="D13" s="21"/>
      <c r="E13" s="21"/>
      <c r="F13" s="21"/>
      <c r="G13" s="21"/>
      <c r="H13" s="21"/>
      <c r="I13" s="21"/>
      <c r="J13" s="21"/>
      <c r="K13" s="21"/>
      <c r="L13" s="21"/>
      <c r="M13" s="21"/>
      <c r="N13" s="21"/>
      <c r="O13" s="21"/>
      <c r="P13" s="21"/>
      <c r="Q13" s="95"/>
    </row>
    <row r="14" spans="1:17" s="3" customFormat="1" ht="15.75" customHeight="1" x14ac:dyDescent="0.2">
      <c r="A14" s="96">
        <v>1</v>
      </c>
      <c r="B14" s="195" t="s">
        <v>303</v>
      </c>
      <c r="C14" s="196">
        <v>6.2</v>
      </c>
      <c r="D14" s="204" t="s">
        <v>316</v>
      </c>
      <c r="E14" s="197">
        <f>F14+G14+H14</f>
        <v>705</v>
      </c>
      <c r="F14" s="197">
        <v>270</v>
      </c>
      <c r="G14" s="197">
        <f>IF(C14&lt;3.33,165,IF(C14&lt;4.32,175,IF(C14&lt;4.4,200,IF(C14&lt;5.76,220,IF(C14&lt;6.2,260,315)))))</f>
        <v>315</v>
      </c>
      <c r="H14" s="197">
        <f>IF(C14&lt;3.33,70,IF(C14&lt;4.32,90,IF(C14&lt;4.4,100,120)))</f>
        <v>120</v>
      </c>
      <c r="I14" s="197">
        <f>J14+K14+L14</f>
        <v>146.25</v>
      </c>
      <c r="J14" s="197">
        <f>IF(D14="CTHSVT",F14*0.6,IF(D14="TK",F14*0.3,IF(D14="PK",F14*0.25,IF(OR(D14="TBM",D14="BTLCD"),F14*0.2,IF(OR(D14="PCTCD",D14="CTCD"),F14*0.1,IF(OR(D14="TLĐT",D14="CVHT"),F14*0.15,IF(D14="NCS",F14*0.7,0)))))))</f>
        <v>67.5</v>
      </c>
      <c r="K14" s="197">
        <f>IF(D14="CTHSVT",G14*0.6,IF(D14="TK",G14*0.3,IF(D14="PK",G14*0.25,IF(OR(D14="TBM",D14="BTLCD"),G14*0.2,IF(OR(D14="PCTCD",D14="CTCD"),F14*0.1,IF(OR(D14="TLĐT",D14="NCS,TLĐT",D14="NCS,CVHT",D14="CVHT"),G14*0.15,0))))))</f>
        <v>78.75</v>
      </c>
      <c r="L14" s="197">
        <f>IF(OR(D14="NCS",D14="NCS,TLĐT"),H14*0.7,0)</f>
        <v>0</v>
      </c>
      <c r="M14" s="197">
        <f>N14+O14+P14</f>
        <v>558.75</v>
      </c>
      <c r="N14" s="197">
        <f>F14-J14</f>
        <v>202.5</v>
      </c>
      <c r="O14" s="197">
        <f>G14-K14</f>
        <v>236.25</v>
      </c>
      <c r="P14" s="197">
        <f>H14-L14</f>
        <v>120</v>
      </c>
      <c r="Q14" s="198" t="s">
        <v>304</v>
      </c>
    </row>
    <row r="15" spans="1:17" s="3" customFormat="1" ht="15.75" customHeight="1" x14ac:dyDescent="0.2">
      <c r="A15" s="96">
        <v>2</v>
      </c>
      <c r="B15" s="195" t="s">
        <v>305</v>
      </c>
      <c r="C15" s="196">
        <v>5.08</v>
      </c>
      <c r="D15" s="204" t="s">
        <v>317</v>
      </c>
      <c r="E15" s="197">
        <f t="shared" ref="E15:E22" si="0">F15+G15+H15</f>
        <v>610</v>
      </c>
      <c r="F15" s="197">
        <v>270</v>
      </c>
      <c r="G15" s="197">
        <f t="shared" ref="G15:G22" si="1">IF(C15&lt;3.33,165,IF(C15&lt;4.32,175,IF(C15&lt;4.4,200,IF(C15&lt;5.76,220,IF(C15&lt;6.2,260,315)))))</f>
        <v>220</v>
      </c>
      <c r="H15" s="197">
        <f t="shared" ref="H15:H22" si="2">IF(C15&lt;3.33,70,IF(C15&lt;4.32,90,IF(C15&lt;4.4,100,120)))</f>
        <v>120</v>
      </c>
      <c r="I15" s="197">
        <f t="shared" ref="I15:I22" si="3">J15+K15+L15</f>
        <v>98</v>
      </c>
      <c r="J15" s="197">
        <f t="shared" ref="J15:J22" si="4">IF(D15="CTHSVT",F15*0.6,IF(D15="TK",F15*0.3,IF(D15="PK",F15*0.25,IF(OR(D15="TBM",D15="BTLCD"),F15*0.2,IF(OR(D15="PCTCD",D15="CTCD"),F15*0.1,IF(OR(D15="TLĐT",D15="CVHT"),F15*0.15,IF(D15="NCS",F15*0.7,0)))))))</f>
        <v>54</v>
      </c>
      <c r="K15" s="197">
        <f t="shared" ref="K15:K22" si="5">IF(D15="CTHSVT",G15*0.6,IF(D15="TK",G15*0.3,IF(D15="PK",G15*0.25,IF(OR(D15="TBM",D15="BTLCD"),G15*0.2,IF(OR(D15="PCTCD",D15="CTCD"),F15*0.1,IF(OR(D15="TLĐT",D15="NCS,TLĐT",D15="NCS,CVHT",D15="CVHT"),G15*0.15,0))))))</f>
        <v>44</v>
      </c>
      <c r="L15" s="197">
        <f t="shared" ref="L15:L22" si="6">IF(OR(D15="NCS",D15="NCS,TLĐT"),H15*0.7,0)</f>
        <v>0</v>
      </c>
      <c r="M15" s="197">
        <f t="shared" ref="M15:M22" si="7">N15+O15+P15</f>
        <v>512</v>
      </c>
      <c r="N15" s="197">
        <f t="shared" ref="N15:N22" si="8">F15-J15</f>
        <v>216</v>
      </c>
      <c r="O15" s="197">
        <f t="shared" ref="O15:O22" si="9">G15-K15</f>
        <v>176</v>
      </c>
      <c r="P15" s="197">
        <f t="shared" ref="P15:P22" si="10">H15-L15</f>
        <v>120</v>
      </c>
      <c r="Q15" s="199" t="s">
        <v>306</v>
      </c>
    </row>
    <row r="16" spans="1:17" s="3" customFormat="1" ht="15.75" customHeight="1" x14ac:dyDescent="0.2">
      <c r="A16" s="96">
        <v>3</v>
      </c>
      <c r="B16" s="195" t="s">
        <v>307</v>
      </c>
      <c r="C16" s="196">
        <v>3.99</v>
      </c>
      <c r="D16" s="204" t="s">
        <v>318</v>
      </c>
      <c r="E16" s="197">
        <f t="shared" si="0"/>
        <v>535</v>
      </c>
      <c r="F16" s="197">
        <v>270</v>
      </c>
      <c r="G16" s="197">
        <f t="shared" si="1"/>
        <v>175</v>
      </c>
      <c r="H16" s="197">
        <f t="shared" si="2"/>
        <v>90</v>
      </c>
      <c r="I16" s="197">
        <f t="shared" si="3"/>
        <v>66.75</v>
      </c>
      <c r="J16" s="197">
        <f t="shared" si="4"/>
        <v>40.5</v>
      </c>
      <c r="K16" s="197">
        <f t="shared" si="5"/>
        <v>26.25</v>
      </c>
      <c r="L16" s="197">
        <f t="shared" si="6"/>
        <v>0</v>
      </c>
      <c r="M16" s="197">
        <f t="shared" si="7"/>
        <v>468.25</v>
      </c>
      <c r="N16" s="197">
        <f t="shared" si="8"/>
        <v>229.5</v>
      </c>
      <c r="O16" s="197">
        <f t="shared" si="9"/>
        <v>148.75</v>
      </c>
      <c r="P16" s="197">
        <f t="shared" si="10"/>
        <v>90</v>
      </c>
      <c r="Q16" s="199" t="s">
        <v>308</v>
      </c>
    </row>
    <row r="17" spans="1:17" s="3" customFormat="1" ht="21" customHeight="1" x14ac:dyDescent="0.2">
      <c r="A17" s="96">
        <v>4</v>
      </c>
      <c r="B17" s="200" t="s">
        <v>309</v>
      </c>
      <c r="C17" s="201">
        <v>2.34</v>
      </c>
      <c r="D17" s="204" t="s">
        <v>1016</v>
      </c>
      <c r="E17" s="197">
        <f t="shared" si="0"/>
        <v>505</v>
      </c>
      <c r="F17" s="197">
        <v>270</v>
      </c>
      <c r="G17" s="197">
        <f t="shared" si="1"/>
        <v>165</v>
      </c>
      <c r="H17" s="197">
        <f t="shared" si="2"/>
        <v>70</v>
      </c>
      <c r="I17" s="197">
        <f t="shared" si="3"/>
        <v>87</v>
      </c>
      <c r="J17" s="197">
        <f t="shared" si="4"/>
        <v>54</v>
      </c>
      <c r="K17" s="197">
        <f t="shared" si="5"/>
        <v>33</v>
      </c>
      <c r="L17" s="197">
        <f t="shared" si="6"/>
        <v>0</v>
      </c>
      <c r="M17" s="197">
        <f t="shared" si="7"/>
        <v>418</v>
      </c>
      <c r="N17" s="197">
        <f t="shared" si="8"/>
        <v>216</v>
      </c>
      <c r="O17" s="197">
        <f t="shared" si="9"/>
        <v>132</v>
      </c>
      <c r="P17" s="197">
        <f t="shared" si="10"/>
        <v>70</v>
      </c>
      <c r="Q17" s="244" t="s">
        <v>1018</v>
      </c>
    </row>
    <row r="18" spans="1:17" s="3" customFormat="1" ht="15.75" customHeight="1" x14ac:dyDescent="0.2">
      <c r="A18" s="96">
        <v>5</v>
      </c>
      <c r="B18" s="195" t="s">
        <v>311</v>
      </c>
      <c r="C18" s="196">
        <v>3.33</v>
      </c>
      <c r="D18" s="204"/>
      <c r="E18" s="197">
        <f t="shared" si="0"/>
        <v>535</v>
      </c>
      <c r="F18" s="197">
        <v>270</v>
      </c>
      <c r="G18" s="197">
        <f t="shared" si="1"/>
        <v>175</v>
      </c>
      <c r="H18" s="197">
        <f t="shared" si="2"/>
        <v>90</v>
      </c>
      <c r="I18" s="197">
        <f t="shared" si="3"/>
        <v>0</v>
      </c>
      <c r="J18" s="197">
        <f t="shared" si="4"/>
        <v>0</v>
      </c>
      <c r="K18" s="197">
        <f t="shared" si="5"/>
        <v>0</v>
      </c>
      <c r="L18" s="197">
        <f t="shared" si="6"/>
        <v>0</v>
      </c>
      <c r="M18" s="197">
        <f t="shared" si="7"/>
        <v>535</v>
      </c>
      <c r="N18" s="197">
        <f t="shared" si="8"/>
        <v>270</v>
      </c>
      <c r="O18" s="197">
        <f t="shared" si="9"/>
        <v>175</v>
      </c>
      <c r="P18" s="197">
        <f t="shared" si="10"/>
        <v>90</v>
      </c>
      <c r="Q18" s="194"/>
    </row>
    <row r="19" spans="1:17" s="3" customFormat="1" ht="15.75" customHeight="1" x14ac:dyDescent="0.2">
      <c r="A19" s="96">
        <v>6</v>
      </c>
      <c r="B19" s="195" t="s">
        <v>310</v>
      </c>
      <c r="C19" s="196">
        <v>3</v>
      </c>
      <c r="D19" s="204" t="s">
        <v>319</v>
      </c>
      <c r="E19" s="197">
        <f t="shared" si="0"/>
        <v>505</v>
      </c>
      <c r="F19" s="197">
        <v>270</v>
      </c>
      <c r="G19" s="197">
        <f t="shared" si="1"/>
        <v>165</v>
      </c>
      <c r="H19" s="197">
        <f t="shared" si="2"/>
        <v>70</v>
      </c>
      <c r="I19" s="197">
        <f t="shared" si="3"/>
        <v>238</v>
      </c>
      <c r="J19" s="197">
        <f t="shared" si="4"/>
        <v>189</v>
      </c>
      <c r="K19" s="197">
        <f t="shared" si="5"/>
        <v>0</v>
      </c>
      <c r="L19" s="197">
        <f>IF(D19="NCS",H19*0.7,0)</f>
        <v>49</v>
      </c>
      <c r="M19" s="197">
        <f t="shared" si="7"/>
        <v>267</v>
      </c>
      <c r="N19" s="197">
        <f t="shared" si="8"/>
        <v>81</v>
      </c>
      <c r="O19" s="197">
        <f t="shared" si="9"/>
        <v>165</v>
      </c>
      <c r="P19" s="197">
        <f t="shared" si="10"/>
        <v>21</v>
      </c>
      <c r="Q19" s="199" t="s">
        <v>312</v>
      </c>
    </row>
    <row r="20" spans="1:17" s="3" customFormat="1" ht="15.75" customHeight="1" x14ac:dyDescent="0.2">
      <c r="A20" s="96">
        <v>7</v>
      </c>
      <c r="B20" s="195" t="s">
        <v>313</v>
      </c>
      <c r="C20" s="196">
        <v>4.6500000000000004</v>
      </c>
      <c r="D20" s="204" t="s">
        <v>618</v>
      </c>
      <c r="E20" s="197">
        <f t="shared" si="0"/>
        <v>472</v>
      </c>
      <c r="F20" s="197">
        <v>472</v>
      </c>
      <c r="G20" s="197">
        <v>0</v>
      </c>
      <c r="H20" s="197">
        <v>0</v>
      </c>
      <c r="I20" s="197">
        <f t="shared" si="3"/>
        <v>0</v>
      </c>
      <c r="J20" s="197">
        <f t="shared" si="4"/>
        <v>0</v>
      </c>
      <c r="K20" s="197">
        <f t="shared" si="5"/>
        <v>0</v>
      </c>
      <c r="L20" s="197">
        <f t="shared" si="6"/>
        <v>0</v>
      </c>
      <c r="M20" s="197">
        <f t="shared" si="7"/>
        <v>472</v>
      </c>
      <c r="N20" s="197">
        <f t="shared" si="8"/>
        <v>472</v>
      </c>
      <c r="O20" s="197">
        <f t="shared" si="9"/>
        <v>0</v>
      </c>
      <c r="P20" s="197">
        <f t="shared" si="10"/>
        <v>0</v>
      </c>
      <c r="Q20" s="204" t="s">
        <v>618</v>
      </c>
    </row>
    <row r="21" spans="1:17" s="3" customFormat="1" ht="15.75" customHeight="1" x14ac:dyDescent="0.2">
      <c r="A21" s="96">
        <v>8</v>
      </c>
      <c r="B21" s="202" t="s">
        <v>314</v>
      </c>
      <c r="C21" s="203">
        <v>3.66</v>
      </c>
      <c r="D21" s="204"/>
      <c r="E21" s="197">
        <f t="shared" si="0"/>
        <v>535</v>
      </c>
      <c r="F21" s="197">
        <v>270</v>
      </c>
      <c r="G21" s="197">
        <f t="shared" si="1"/>
        <v>175</v>
      </c>
      <c r="H21" s="197">
        <f t="shared" si="2"/>
        <v>90</v>
      </c>
      <c r="I21" s="197">
        <f t="shared" si="3"/>
        <v>0</v>
      </c>
      <c r="J21" s="197">
        <f t="shared" si="4"/>
        <v>0</v>
      </c>
      <c r="K21" s="197">
        <f t="shared" si="5"/>
        <v>0</v>
      </c>
      <c r="L21" s="197">
        <f t="shared" si="6"/>
        <v>0</v>
      </c>
      <c r="M21" s="197">
        <f t="shared" si="7"/>
        <v>535</v>
      </c>
      <c r="N21" s="197">
        <f t="shared" si="8"/>
        <v>270</v>
      </c>
      <c r="O21" s="197">
        <f t="shared" si="9"/>
        <v>175</v>
      </c>
      <c r="P21" s="197">
        <f t="shared" si="10"/>
        <v>90</v>
      </c>
      <c r="Q21" s="199"/>
    </row>
    <row r="22" spans="1:17" s="3" customFormat="1" ht="15.75" customHeight="1" x14ac:dyDescent="0.2">
      <c r="A22" s="96">
        <v>9</v>
      </c>
      <c r="B22" s="102" t="s">
        <v>315</v>
      </c>
      <c r="C22" s="103">
        <v>4.32</v>
      </c>
      <c r="D22" s="103" t="s">
        <v>316</v>
      </c>
      <c r="E22" s="197">
        <f t="shared" si="0"/>
        <v>570</v>
      </c>
      <c r="F22" s="197">
        <v>270</v>
      </c>
      <c r="G22" s="197">
        <f t="shared" si="1"/>
        <v>200</v>
      </c>
      <c r="H22" s="197">
        <f t="shared" si="2"/>
        <v>100</v>
      </c>
      <c r="I22" s="197">
        <f t="shared" si="3"/>
        <v>117.5</v>
      </c>
      <c r="J22" s="197">
        <f t="shared" si="4"/>
        <v>67.5</v>
      </c>
      <c r="K22" s="197">
        <f t="shared" si="5"/>
        <v>50</v>
      </c>
      <c r="L22" s="197">
        <f t="shared" si="6"/>
        <v>0</v>
      </c>
      <c r="M22" s="197">
        <f t="shared" si="7"/>
        <v>452.5</v>
      </c>
      <c r="N22" s="197">
        <f t="shared" si="8"/>
        <v>202.5</v>
      </c>
      <c r="O22" s="197">
        <f t="shared" si="9"/>
        <v>150</v>
      </c>
      <c r="P22" s="197">
        <f t="shared" si="10"/>
        <v>100</v>
      </c>
      <c r="Q22" s="198" t="s">
        <v>304</v>
      </c>
    </row>
    <row r="23" spans="1:17" s="3" customFormat="1" ht="15.75" customHeight="1" x14ac:dyDescent="0.2">
      <c r="A23" s="101"/>
      <c r="B23" s="102"/>
      <c r="C23" s="102"/>
      <c r="D23" s="103"/>
      <c r="E23" s="104"/>
      <c r="F23" s="104"/>
      <c r="G23" s="104"/>
      <c r="H23" s="104"/>
      <c r="I23" s="104"/>
      <c r="J23" s="104"/>
      <c r="K23" s="104"/>
      <c r="L23" s="104"/>
      <c r="M23" s="104"/>
      <c r="N23" s="104"/>
      <c r="O23" s="104"/>
      <c r="P23" s="104"/>
      <c r="Q23" s="105"/>
    </row>
    <row r="24" spans="1:17" s="3" customFormat="1" ht="15.75" customHeight="1" thickBot="1" x14ac:dyDescent="0.25">
      <c r="A24" s="1116" t="s">
        <v>327</v>
      </c>
      <c r="B24" s="1117"/>
      <c r="C24" s="191"/>
      <c r="D24" s="106"/>
      <c r="E24" s="205">
        <f>SUM(E14:E22)</f>
        <v>4972</v>
      </c>
      <c r="F24" s="205">
        <f t="shared" ref="F24:P24" si="11">SUM(F14:F22)</f>
        <v>2632</v>
      </c>
      <c r="G24" s="205">
        <f t="shared" si="11"/>
        <v>1590</v>
      </c>
      <c r="H24" s="205">
        <f t="shared" si="11"/>
        <v>750</v>
      </c>
      <c r="I24" s="205">
        <f t="shared" si="11"/>
        <v>753.5</v>
      </c>
      <c r="J24" s="205">
        <f t="shared" si="11"/>
        <v>472.5</v>
      </c>
      <c r="K24" s="205">
        <f t="shared" si="11"/>
        <v>232</v>
      </c>
      <c r="L24" s="205">
        <f t="shared" si="11"/>
        <v>49</v>
      </c>
      <c r="M24" s="205">
        <f t="shared" si="11"/>
        <v>4218.5</v>
      </c>
      <c r="N24" s="565">
        <f>F24-J24</f>
        <v>2159.5</v>
      </c>
      <c r="O24" s="205">
        <f t="shared" si="11"/>
        <v>1358</v>
      </c>
      <c r="P24" s="205">
        <f t="shared" si="11"/>
        <v>701</v>
      </c>
      <c r="Q24" s="107"/>
    </row>
    <row r="25" spans="1:17" ht="13.5" thickTop="1" x14ac:dyDescent="0.2">
      <c r="A25" s="14"/>
      <c r="B25" s="10"/>
      <c r="C25" s="10"/>
      <c r="D25" s="10"/>
      <c r="E25" s="1118" t="s">
        <v>917</v>
      </c>
      <c r="F25" s="1118"/>
      <c r="G25" s="1118"/>
      <c r="H25" s="1118"/>
      <c r="I25" s="1118"/>
      <c r="J25" s="1118"/>
      <c r="K25" s="1118"/>
      <c r="L25" s="1118"/>
      <c r="M25" s="1118"/>
      <c r="N25" s="1118"/>
      <c r="O25" s="1118"/>
      <c r="P25" s="1118"/>
      <c r="Q25" s="1118"/>
    </row>
    <row r="26" spans="1:17" x14ac:dyDescent="0.2">
      <c r="A26" s="14"/>
      <c r="B26" s="15"/>
      <c r="C26" s="15"/>
      <c r="D26" s="10"/>
      <c r="F26" s="108"/>
      <c r="G26" s="108"/>
      <c r="H26" s="108"/>
      <c r="I26" s="108"/>
      <c r="J26" s="108"/>
      <c r="K26" s="108"/>
      <c r="L26" s="108"/>
      <c r="M26" s="108"/>
      <c r="N26" s="1048"/>
      <c r="O26" s="1048"/>
      <c r="P26" s="1048"/>
      <c r="Q26" s="1048"/>
    </row>
    <row r="27" spans="1:17" ht="27" customHeight="1" x14ac:dyDescent="0.2">
      <c r="A27" s="1119" t="s">
        <v>241</v>
      </c>
      <c r="B27" s="1119"/>
      <c r="C27" s="1119"/>
      <c r="D27" s="1119"/>
      <c r="E27" s="1119"/>
      <c r="F27" s="1119"/>
      <c r="G27" s="1119"/>
      <c r="H27" s="1119"/>
      <c r="I27" s="1119"/>
      <c r="J27" s="1119"/>
      <c r="K27" s="1119"/>
      <c r="L27" s="1119"/>
      <c r="M27" s="1119"/>
      <c r="N27" s="24"/>
      <c r="O27" s="24"/>
      <c r="P27" s="24"/>
      <c r="Q27" s="24"/>
    </row>
    <row r="28" spans="1:17" x14ac:dyDescent="0.2">
      <c r="A28" s="14"/>
      <c r="B28" s="16"/>
      <c r="C28" s="16"/>
      <c r="D28" s="10"/>
      <c r="E28" s="1048"/>
      <c r="F28" s="1048"/>
      <c r="G28" s="1048"/>
      <c r="H28" s="1048"/>
      <c r="I28" s="1048"/>
      <c r="J28" s="1048"/>
      <c r="K28" s="1048"/>
      <c r="L28" s="1048"/>
      <c r="M28" s="1048"/>
      <c r="N28" s="1048"/>
      <c r="O28" s="1048"/>
      <c r="P28" s="1048"/>
      <c r="Q28" s="1048"/>
    </row>
    <row r="29" spans="1:17" x14ac:dyDescent="0.2">
      <c r="A29" s="14"/>
      <c r="B29" s="10"/>
      <c r="C29" s="10"/>
      <c r="D29" s="10"/>
      <c r="E29" s="1113"/>
      <c r="F29" s="1113"/>
      <c r="G29" s="1113"/>
      <c r="H29" s="1113"/>
      <c r="I29" s="1113"/>
      <c r="J29" s="1113"/>
      <c r="K29" s="1113"/>
      <c r="L29" s="1113"/>
      <c r="M29" s="1113"/>
      <c r="N29" s="1113"/>
      <c r="O29" s="1113"/>
      <c r="P29" s="1113"/>
      <c r="Q29" s="1113"/>
    </row>
  </sheetData>
  <mergeCells count="19">
    <mergeCell ref="E28:Q28"/>
    <mergeCell ref="E29:Q29"/>
    <mergeCell ref="E25:Q25"/>
    <mergeCell ref="E2:P2"/>
    <mergeCell ref="E1:P1"/>
    <mergeCell ref="N26:Q26"/>
    <mergeCell ref="A27:M27"/>
    <mergeCell ref="H4:Q4"/>
    <mergeCell ref="Q5:Q6"/>
    <mergeCell ref="M5:P5"/>
    <mergeCell ref="I5:L5"/>
    <mergeCell ref="A5:A6"/>
    <mergeCell ref="B5:B6"/>
    <mergeCell ref="D5:D6"/>
    <mergeCell ref="A1:B1"/>
    <mergeCell ref="A2:B2"/>
    <mergeCell ref="A24:B24"/>
    <mergeCell ref="A3:Q3"/>
    <mergeCell ref="E5:H5"/>
  </mergeCells>
  <phoneticPr fontId="3" type="noConversion"/>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zoomScale="115" zoomScaleNormal="115" zoomScalePageLayoutView="115" workbookViewId="0">
      <pane xSplit="2" ySplit="5" topLeftCell="C12" activePane="bottomRight" state="frozen"/>
      <selection pane="topRight" activeCell="C1" sqref="C1"/>
      <selection pane="bottomLeft" activeCell="A8" sqref="A8"/>
      <selection pane="bottomRight" activeCell="H27" sqref="H27"/>
    </sheetView>
  </sheetViews>
  <sheetFormatPr defaultColWidth="8.85546875" defaultRowHeight="12.75" x14ac:dyDescent="0.2"/>
  <cols>
    <col min="1" max="1" width="5.42578125" style="911" customWidth="1"/>
    <col min="2" max="2" width="52" style="912" customWidth="1"/>
    <col min="3" max="3" width="9.85546875" style="912" customWidth="1"/>
    <col min="4" max="4" width="12.28515625" style="912" customWidth="1"/>
    <col min="5" max="5" width="12.42578125" style="912" customWidth="1"/>
    <col min="6" max="6" width="7.85546875" style="912" customWidth="1"/>
    <col min="7" max="7" width="8.7109375" style="912" customWidth="1"/>
    <col min="8" max="8" width="13.7109375" style="783" customWidth="1"/>
    <col min="9" max="9" width="18" style="911" customWidth="1"/>
    <col min="10" max="16384" width="8.85546875" style="907"/>
  </cols>
  <sheetData>
    <row r="1" spans="1:14" ht="14.25" customHeight="1" x14ac:dyDescent="0.2">
      <c r="A1" s="1134" t="s">
        <v>137</v>
      </c>
      <c r="B1" s="1134"/>
      <c r="C1" s="1127"/>
      <c r="D1" s="1127"/>
      <c r="E1" s="1127"/>
      <c r="F1" s="1127"/>
      <c r="G1" s="1127"/>
      <c r="H1" s="785"/>
      <c r="I1" s="838" t="s">
        <v>31</v>
      </c>
      <c r="J1" s="6"/>
      <c r="K1" s="6"/>
      <c r="L1" s="6"/>
      <c r="M1" s="6"/>
      <c r="N1" s="6"/>
    </row>
    <row r="2" spans="1:14" x14ac:dyDescent="0.2">
      <c r="A2" s="1135" t="s">
        <v>351</v>
      </c>
      <c r="B2" s="1135"/>
      <c r="C2" s="1127"/>
      <c r="D2" s="1127"/>
      <c r="E2" s="1127"/>
      <c r="F2" s="1127"/>
      <c r="G2" s="1127"/>
      <c r="H2" s="785"/>
      <c r="I2" s="785"/>
      <c r="J2" s="6"/>
      <c r="K2" s="6"/>
      <c r="L2" s="6"/>
      <c r="M2" s="6"/>
      <c r="N2" s="6"/>
    </row>
    <row r="3" spans="1:14" ht="27" customHeight="1" x14ac:dyDescent="0.2">
      <c r="A3" s="1136" t="s">
        <v>1044</v>
      </c>
      <c r="B3" s="1136"/>
      <c r="C3" s="1136"/>
      <c r="D3" s="1136"/>
      <c r="E3" s="1136"/>
      <c r="F3" s="1136"/>
      <c r="G3" s="1136"/>
      <c r="H3" s="1136"/>
      <c r="I3" s="1136"/>
      <c r="J3" s="6"/>
      <c r="K3" s="6"/>
      <c r="L3" s="6"/>
      <c r="M3" s="6"/>
      <c r="N3" s="6"/>
    </row>
    <row r="4" spans="1:14" ht="13.5" thickBot="1" x14ac:dyDescent="0.25">
      <c r="A4" s="908"/>
      <c r="B4" s="908"/>
      <c r="C4" s="908"/>
      <c r="D4" s="908"/>
      <c r="E4" s="908"/>
      <c r="F4" s="908"/>
      <c r="G4" s="908"/>
      <c r="H4" s="917"/>
      <c r="I4" s="908" t="s">
        <v>549</v>
      </c>
      <c r="J4" s="6"/>
      <c r="K4" s="6"/>
      <c r="L4" s="6"/>
      <c r="M4" s="6"/>
      <c r="N4" s="6"/>
    </row>
    <row r="5" spans="1:14" ht="75" customHeight="1" thickTop="1" x14ac:dyDescent="0.2">
      <c r="A5" s="787" t="s">
        <v>0</v>
      </c>
      <c r="B5" s="788" t="s">
        <v>111</v>
      </c>
      <c r="C5" s="788" t="s">
        <v>80</v>
      </c>
      <c r="D5" s="788" t="s">
        <v>18</v>
      </c>
      <c r="E5" s="788" t="s">
        <v>75</v>
      </c>
      <c r="F5" s="788" t="s">
        <v>26</v>
      </c>
      <c r="G5" s="788" t="s">
        <v>71</v>
      </c>
      <c r="H5" s="788" t="s">
        <v>23</v>
      </c>
      <c r="I5" s="909" t="s">
        <v>2</v>
      </c>
      <c r="J5" s="6"/>
      <c r="K5" s="6"/>
      <c r="L5" s="6"/>
      <c r="M5" s="6"/>
      <c r="N5" s="6"/>
    </row>
    <row r="6" spans="1:14" ht="17.25" customHeight="1" x14ac:dyDescent="0.2">
      <c r="A6" s="254" t="s">
        <v>6</v>
      </c>
      <c r="B6" s="255" t="s">
        <v>78</v>
      </c>
      <c r="C6" s="256"/>
      <c r="D6" s="256"/>
      <c r="E6" s="256"/>
      <c r="F6" s="256"/>
      <c r="G6" s="256"/>
      <c r="H6" s="256"/>
      <c r="I6" s="256"/>
      <c r="J6" s="6"/>
      <c r="K6" s="6"/>
      <c r="L6" s="6"/>
      <c r="M6" s="6"/>
      <c r="N6" s="6"/>
    </row>
    <row r="7" spans="1:14" s="3" customFormat="1" ht="18" customHeight="1" x14ac:dyDescent="0.2">
      <c r="A7" s="532" t="s">
        <v>19</v>
      </c>
      <c r="B7" s="537" t="s">
        <v>104</v>
      </c>
      <c r="C7" s="537"/>
      <c r="D7" s="537"/>
      <c r="E7" s="532"/>
      <c r="F7" s="532"/>
      <c r="G7" s="532"/>
      <c r="H7" s="532"/>
      <c r="I7" s="254"/>
      <c r="J7" s="8"/>
      <c r="K7" s="8"/>
      <c r="L7" s="8"/>
      <c r="M7" s="8"/>
      <c r="N7" s="8"/>
    </row>
    <row r="8" spans="1:14" s="3" customFormat="1" ht="18" customHeight="1" x14ac:dyDescent="0.2">
      <c r="A8" s="536" t="s">
        <v>7</v>
      </c>
      <c r="B8" s="537" t="s">
        <v>79</v>
      </c>
      <c r="C8" s="535"/>
      <c r="D8" s="535"/>
      <c r="E8" s="532"/>
      <c r="F8" s="532"/>
      <c r="G8" s="532"/>
      <c r="H8" s="918">
        <f>SUM(H9:H10)</f>
        <v>29420</v>
      </c>
      <c r="I8" s="254"/>
      <c r="J8" s="8"/>
      <c r="K8" s="8"/>
      <c r="L8" s="8"/>
      <c r="M8" s="8"/>
      <c r="N8" s="8"/>
    </row>
    <row r="9" spans="1:14" s="3" customFormat="1" ht="18" customHeight="1" x14ac:dyDescent="0.2">
      <c r="A9" s="536"/>
      <c r="B9" s="537" t="s">
        <v>834</v>
      </c>
      <c r="C9" s="535"/>
      <c r="D9" s="535"/>
      <c r="E9" s="251" t="s">
        <v>353</v>
      </c>
      <c r="F9" s="532">
        <v>2</v>
      </c>
      <c r="G9" s="532"/>
      <c r="H9" s="919">
        <v>21560</v>
      </c>
      <c r="I9" s="256" t="s">
        <v>361</v>
      </c>
      <c r="J9" s="8"/>
      <c r="K9" s="8"/>
      <c r="L9" s="8"/>
      <c r="M9" s="8"/>
      <c r="N9" s="8"/>
    </row>
    <row r="10" spans="1:14" s="3" customFormat="1" ht="18" customHeight="1" x14ac:dyDescent="0.2">
      <c r="A10" s="536"/>
      <c r="B10" s="535" t="s">
        <v>530</v>
      </c>
      <c r="C10" s="251" t="s">
        <v>508</v>
      </c>
      <c r="D10" s="251" t="s">
        <v>970</v>
      </c>
      <c r="E10" s="532"/>
      <c r="F10" s="532">
        <v>2</v>
      </c>
      <c r="G10" s="532"/>
      <c r="H10" s="920">
        <v>7860</v>
      </c>
      <c r="I10" s="256" t="s">
        <v>361</v>
      </c>
      <c r="J10" s="8"/>
      <c r="K10" s="8"/>
      <c r="L10" s="8"/>
      <c r="M10" s="8"/>
      <c r="N10" s="8"/>
    </row>
    <row r="11" spans="1:14" s="3" customFormat="1" ht="18" customHeight="1" x14ac:dyDescent="0.2">
      <c r="A11" s="516" t="s">
        <v>8</v>
      </c>
      <c r="B11" s="517" t="s">
        <v>354</v>
      </c>
      <c r="C11" s="517"/>
      <c r="D11" s="518"/>
      <c r="E11" s="519"/>
      <c r="F11" s="519"/>
      <c r="G11" s="519"/>
      <c r="H11" s="921"/>
      <c r="I11" s="520"/>
      <c r="J11" s="8"/>
      <c r="K11" s="8"/>
      <c r="L11" s="8"/>
      <c r="M11" s="8"/>
      <c r="N11" s="8"/>
    </row>
    <row r="12" spans="1:14" s="3" customFormat="1" ht="18" customHeight="1" x14ac:dyDescent="0.2">
      <c r="A12" s="516">
        <v>1</v>
      </c>
      <c r="B12" s="517" t="s">
        <v>355</v>
      </c>
      <c r="C12" s="517"/>
      <c r="D12" s="518"/>
      <c r="E12" s="519"/>
      <c r="F12" s="519"/>
      <c r="G12" s="519"/>
      <c r="H12" s="922">
        <f>SUM(H13:H14)</f>
        <v>223434</v>
      </c>
      <c r="I12" s="520"/>
      <c r="J12" s="8"/>
      <c r="K12" s="8"/>
      <c r="L12" s="8"/>
      <c r="M12" s="8"/>
      <c r="N12" s="8"/>
    </row>
    <row r="13" spans="1:14" s="3" customFormat="1" ht="18" customHeight="1" x14ac:dyDescent="0.2">
      <c r="A13" s="521">
        <v>1.1000000000000001</v>
      </c>
      <c r="B13" s="522" t="s">
        <v>973</v>
      </c>
      <c r="C13" s="523" t="s">
        <v>364</v>
      </c>
      <c r="D13" s="523" t="s">
        <v>694</v>
      </c>
      <c r="E13" s="523" t="s">
        <v>974</v>
      </c>
      <c r="F13" s="523">
        <v>2</v>
      </c>
      <c r="G13" s="523">
        <v>4</v>
      </c>
      <c r="H13" s="923">
        <v>175450</v>
      </c>
      <c r="I13" s="520" t="s">
        <v>361</v>
      </c>
      <c r="J13" s="8"/>
      <c r="K13" s="8"/>
      <c r="L13" s="8"/>
      <c r="M13" s="8"/>
      <c r="N13" s="8"/>
    </row>
    <row r="14" spans="1:14" s="3" customFormat="1" ht="18" customHeight="1" x14ac:dyDescent="0.25">
      <c r="A14" s="521">
        <v>1.2</v>
      </c>
      <c r="B14" s="522" t="s">
        <v>975</v>
      </c>
      <c r="C14" s="523" t="s">
        <v>364</v>
      </c>
      <c r="D14" s="523" t="s">
        <v>693</v>
      </c>
      <c r="E14" s="523" t="s">
        <v>976</v>
      </c>
      <c r="F14" s="523" t="s">
        <v>365</v>
      </c>
      <c r="G14" s="523">
        <v>2</v>
      </c>
      <c r="H14" s="924">
        <v>47984</v>
      </c>
      <c r="I14" s="520" t="s">
        <v>361</v>
      </c>
      <c r="J14" s="8"/>
      <c r="K14" s="8"/>
      <c r="L14" s="8"/>
      <c r="M14" s="8"/>
      <c r="N14" s="8"/>
    </row>
    <row r="15" spans="1:14" s="3" customFormat="1" ht="18" customHeight="1" x14ac:dyDescent="0.2">
      <c r="A15" s="262">
        <v>2</v>
      </c>
      <c r="B15" s="263" t="s">
        <v>356</v>
      </c>
      <c r="C15" s="263"/>
      <c r="D15" s="264"/>
      <c r="E15" s="265"/>
      <c r="F15" s="249"/>
      <c r="G15" s="249"/>
      <c r="H15" s="918">
        <f>SUM(H16:H18)</f>
        <v>210054</v>
      </c>
      <c r="I15" s="256"/>
      <c r="J15" s="8"/>
      <c r="K15" s="8"/>
      <c r="L15" s="8"/>
      <c r="M15" s="8"/>
      <c r="N15" s="8"/>
    </row>
    <row r="16" spans="1:14" s="3" customFormat="1" ht="27" customHeight="1" x14ac:dyDescent="0.2">
      <c r="A16" s="526">
        <v>2.1</v>
      </c>
      <c r="B16" s="527" t="s">
        <v>1041</v>
      </c>
      <c r="C16" s="526" t="s">
        <v>352</v>
      </c>
      <c r="D16" s="526" t="s">
        <v>1042</v>
      </c>
      <c r="E16" s="526" t="s">
        <v>1045</v>
      </c>
      <c r="F16" s="526">
        <v>2</v>
      </c>
      <c r="G16" s="526">
        <v>2</v>
      </c>
      <c r="H16" s="925">
        <v>72840</v>
      </c>
      <c r="I16" s="520" t="s">
        <v>361</v>
      </c>
      <c r="J16" s="8"/>
      <c r="K16" s="8"/>
      <c r="L16" s="8"/>
      <c r="M16" s="8"/>
      <c r="N16" s="8"/>
    </row>
    <row r="17" spans="1:14" s="3" customFormat="1" ht="18" customHeight="1" x14ac:dyDescent="0.2">
      <c r="A17" s="526">
        <v>2.2000000000000002</v>
      </c>
      <c r="B17" s="528" t="s">
        <v>357</v>
      </c>
      <c r="C17" s="526" t="s">
        <v>352</v>
      </c>
      <c r="D17" s="526" t="s">
        <v>1043</v>
      </c>
      <c r="E17" s="526" t="s">
        <v>358</v>
      </c>
      <c r="F17" s="526">
        <v>2</v>
      </c>
      <c r="G17" s="526">
        <v>4</v>
      </c>
      <c r="H17" s="926">
        <v>124054</v>
      </c>
      <c r="I17" s="520" t="s">
        <v>361</v>
      </c>
      <c r="J17" s="8"/>
      <c r="K17" s="8"/>
      <c r="L17" s="8"/>
      <c r="M17" s="8"/>
      <c r="N17" s="8"/>
    </row>
    <row r="18" spans="1:14" s="3" customFormat="1" ht="18" customHeight="1" x14ac:dyDescent="0.2">
      <c r="A18" s="526">
        <v>2.2999999999999998</v>
      </c>
      <c r="B18" s="528" t="s">
        <v>362</v>
      </c>
      <c r="C18" s="526" t="s">
        <v>352</v>
      </c>
      <c r="D18" s="526" t="s">
        <v>363</v>
      </c>
      <c r="E18" s="526" t="s">
        <v>353</v>
      </c>
      <c r="F18" s="526">
        <v>2</v>
      </c>
      <c r="G18" s="526"/>
      <c r="H18" s="927">
        <v>13160</v>
      </c>
      <c r="I18" s="520" t="s">
        <v>361</v>
      </c>
      <c r="J18" s="8"/>
      <c r="K18" s="8"/>
      <c r="L18" s="8"/>
      <c r="M18" s="8"/>
      <c r="N18" s="8"/>
    </row>
    <row r="19" spans="1:14" s="3" customFormat="1" ht="18" customHeight="1" x14ac:dyDescent="0.2">
      <c r="A19" s="249"/>
      <c r="B19" s="266"/>
      <c r="C19" s="249"/>
      <c r="D19" s="250"/>
      <c r="E19" s="249"/>
      <c r="F19" s="249"/>
      <c r="G19" s="249"/>
      <c r="H19" s="928"/>
      <c r="I19" s="256"/>
      <c r="J19" s="8"/>
      <c r="K19" s="8"/>
      <c r="L19" s="8"/>
      <c r="M19" s="8"/>
      <c r="N19" s="8"/>
    </row>
    <row r="20" spans="1:14" s="3" customFormat="1" ht="18" customHeight="1" x14ac:dyDescent="0.2">
      <c r="A20" s="529">
        <v>3</v>
      </c>
      <c r="B20" s="530" t="s">
        <v>359</v>
      </c>
      <c r="C20" s="531"/>
      <c r="D20" s="532"/>
      <c r="E20" s="533"/>
      <c r="F20" s="533"/>
      <c r="G20" s="533"/>
      <c r="H20" s="918">
        <f>SUM(H21:H23)</f>
        <v>41722</v>
      </c>
      <c r="I20" s="256"/>
      <c r="J20" s="8"/>
      <c r="K20" s="8"/>
      <c r="L20" s="8"/>
      <c r="M20" s="8"/>
      <c r="N20" s="8"/>
    </row>
    <row r="21" spans="1:14" s="3" customFormat="1" ht="18" customHeight="1" x14ac:dyDescent="0.2">
      <c r="A21" s="534"/>
      <c r="B21" s="524" t="s">
        <v>971</v>
      </c>
      <c r="C21" s="382" t="s">
        <v>508</v>
      </c>
      <c r="D21" s="382"/>
      <c r="E21" s="518"/>
      <c r="F21" s="518"/>
      <c r="G21" s="518"/>
      <c r="H21" s="929"/>
      <c r="I21" s="520"/>
      <c r="J21" s="8"/>
      <c r="K21" s="8"/>
      <c r="L21" s="8"/>
      <c r="M21" s="8"/>
      <c r="N21" s="8"/>
    </row>
    <row r="22" spans="1:14" s="910" customFormat="1" ht="18" customHeight="1" x14ac:dyDescent="0.2">
      <c r="A22" s="534"/>
      <c r="B22" s="524" t="s">
        <v>972</v>
      </c>
      <c r="C22" s="382" t="s">
        <v>508</v>
      </c>
      <c r="D22" s="382"/>
      <c r="E22" s="518"/>
      <c r="F22" s="518"/>
      <c r="G22" s="518"/>
      <c r="H22" s="930"/>
      <c r="I22" s="520"/>
      <c r="J22" s="9"/>
      <c r="K22" s="9"/>
      <c r="L22" s="9"/>
      <c r="M22" s="9"/>
      <c r="N22" s="9"/>
    </row>
    <row r="23" spans="1:14" s="910" customFormat="1" ht="18" customHeight="1" x14ac:dyDescent="0.2">
      <c r="A23" s="534"/>
      <c r="B23" s="524" t="s">
        <v>509</v>
      </c>
      <c r="C23" s="382" t="s">
        <v>508</v>
      </c>
      <c r="D23" s="382"/>
      <c r="E23" s="518"/>
      <c r="F23" s="518">
        <v>2</v>
      </c>
      <c r="G23" s="518">
        <v>5</v>
      </c>
      <c r="H23" s="930">
        <v>41722</v>
      </c>
      <c r="I23" s="520" t="s">
        <v>361</v>
      </c>
      <c r="J23" s="9"/>
      <c r="K23" s="9"/>
      <c r="L23" s="9"/>
      <c r="M23" s="9"/>
      <c r="N23" s="9"/>
    </row>
    <row r="24" spans="1:14" s="910" customFormat="1" ht="18" customHeight="1" x14ac:dyDescent="0.2">
      <c r="A24" s="534"/>
      <c r="B24" s="535"/>
      <c r="C24" s="261"/>
      <c r="D24" s="251"/>
      <c r="E24" s="251"/>
      <c r="F24" s="251"/>
      <c r="G24" s="251"/>
      <c r="H24" s="931"/>
      <c r="I24" s="256"/>
      <c r="J24" s="9"/>
      <c r="K24" s="9"/>
      <c r="L24" s="9"/>
      <c r="M24" s="9"/>
      <c r="N24" s="9"/>
    </row>
    <row r="25" spans="1:14" s="910" customFormat="1" ht="18" customHeight="1" x14ac:dyDescent="0.2">
      <c r="A25" s="536">
        <v>4</v>
      </c>
      <c r="B25" s="537" t="s">
        <v>366</v>
      </c>
      <c r="C25" s="261"/>
      <c r="D25" s="251"/>
      <c r="E25" s="251"/>
      <c r="F25" s="251"/>
      <c r="G25" s="251"/>
      <c r="H25" s="932">
        <f>H26</f>
        <v>0</v>
      </c>
      <c r="I25" s="256"/>
      <c r="J25" s="9"/>
      <c r="K25" s="9"/>
      <c r="L25" s="9"/>
      <c r="M25" s="9"/>
      <c r="N25" s="9"/>
    </row>
    <row r="26" spans="1:14" s="910" customFormat="1" ht="24.95" customHeight="1" x14ac:dyDescent="0.25">
      <c r="A26" s="534"/>
      <c r="B26" s="267"/>
      <c r="C26" s="535"/>
      <c r="D26" s="535"/>
      <c r="E26" s="251"/>
      <c r="F26" s="251"/>
      <c r="G26" s="251"/>
      <c r="H26" s="933"/>
      <c r="I26" s="256"/>
      <c r="J26" s="9"/>
      <c r="K26" s="9"/>
      <c r="L26" s="9"/>
      <c r="M26" s="9"/>
      <c r="N26" s="9"/>
    </row>
    <row r="27" spans="1:14" s="910" customFormat="1" ht="18" customHeight="1" x14ac:dyDescent="0.2">
      <c r="A27" s="529">
        <v>5</v>
      </c>
      <c r="B27" s="531" t="s">
        <v>403</v>
      </c>
      <c r="F27" s="1041"/>
      <c r="G27" s="1041"/>
      <c r="H27" s="934">
        <f>H8+H15+H20+H12</f>
        <v>504630</v>
      </c>
      <c r="I27" s="256"/>
      <c r="J27" s="9"/>
      <c r="K27" s="9"/>
      <c r="L27" s="9"/>
      <c r="M27" s="9"/>
      <c r="N27" s="9"/>
    </row>
    <row r="28" spans="1:14" x14ac:dyDescent="0.2">
      <c r="A28" s="90"/>
      <c r="B28" s="1131" t="s">
        <v>1097</v>
      </c>
      <c r="C28" s="1132"/>
      <c r="D28" s="1132"/>
      <c r="E28" s="1132"/>
      <c r="F28" s="1133"/>
      <c r="G28" s="118"/>
      <c r="H28" s="210"/>
      <c r="I28" s="786"/>
      <c r="J28" s="6"/>
      <c r="K28" s="6"/>
      <c r="L28" s="6"/>
      <c r="M28" s="6"/>
      <c r="N28" s="6"/>
    </row>
    <row r="29" spans="1:14" x14ac:dyDescent="0.2">
      <c r="G29" s="913"/>
      <c r="H29" s="1129" t="s">
        <v>1047</v>
      </c>
      <c r="I29" s="1129"/>
      <c r="J29" s="914"/>
      <c r="K29" s="914"/>
      <c r="L29" s="6"/>
      <c r="M29" s="6"/>
      <c r="N29" s="6"/>
    </row>
    <row r="30" spans="1:14" ht="15" customHeight="1" x14ac:dyDescent="0.2">
      <c r="A30" s="1128"/>
      <c r="B30" s="1128"/>
      <c r="C30" s="915"/>
      <c r="D30" s="915"/>
      <c r="E30" s="915"/>
      <c r="F30" s="915"/>
      <c r="G30" s="915"/>
      <c r="H30" s="1127" t="s">
        <v>21</v>
      </c>
      <c r="I30" s="1127"/>
      <c r="J30" s="867"/>
      <c r="K30" s="867"/>
      <c r="L30" s="6"/>
      <c r="M30" s="6"/>
      <c r="N30" s="6"/>
    </row>
    <row r="31" spans="1:14" ht="59.25" customHeight="1" x14ac:dyDescent="0.2">
      <c r="A31" s="1130" t="s">
        <v>1046</v>
      </c>
      <c r="B31" s="1130"/>
      <c r="C31" s="1130"/>
      <c r="D31" s="1130"/>
      <c r="E31" s="1130"/>
      <c r="F31" s="1130"/>
      <c r="G31" s="7"/>
      <c r="I31" s="916"/>
      <c r="J31" s="6"/>
      <c r="K31" s="6"/>
      <c r="L31" s="6"/>
      <c r="M31" s="6"/>
      <c r="N31" s="6"/>
    </row>
    <row r="32" spans="1:14" ht="25.5" customHeight="1" x14ac:dyDescent="0.2">
      <c r="A32" s="5"/>
      <c r="B32" s="7"/>
      <c r="C32" s="7"/>
      <c r="D32" s="7"/>
      <c r="E32" s="7"/>
      <c r="F32" s="7"/>
      <c r="G32" s="7"/>
      <c r="H32" s="1127" t="s">
        <v>858</v>
      </c>
      <c r="I32" s="1127"/>
      <c r="J32" s="6"/>
      <c r="K32" s="6"/>
      <c r="L32" s="6"/>
      <c r="M32" s="6"/>
      <c r="N32" s="6"/>
    </row>
    <row r="33" spans="1:14" x14ac:dyDescent="0.2">
      <c r="A33" s="5"/>
      <c r="B33" s="7"/>
      <c r="C33" s="7"/>
      <c r="D33" s="7"/>
      <c r="E33" s="7"/>
      <c r="F33" s="7"/>
      <c r="G33" s="7"/>
      <c r="H33" s="210"/>
      <c r="I33" s="5"/>
      <c r="J33" s="6"/>
      <c r="K33" s="6"/>
      <c r="L33" s="6"/>
      <c r="M33" s="6"/>
      <c r="N33" s="6"/>
    </row>
    <row r="34" spans="1:14" x14ac:dyDescent="0.2">
      <c r="A34" s="5"/>
      <c r="B34" s="7"/>
      <c r="C34" s="7"/>
      <c r="D34" s="7"/>
      <c r="E34" s="7"/>
      <c r="F34" s="7"/>
      <c r="G34" s="7"/>
      <c r="H34" s="210"/>
      <c r="I34" s="5"/>
      <c r="J34" s="6"/>
      <c r="K34" s="6"/>
      <c r="L34" s="6"/>
      <c r="M34" s="6"/>
      <c r="N34" s="6"/>
    </row>
    <row r="35" spans="1:14" x14ac:dyDescent="0.2">
      <c r="A35" s="5"/>
      <c r="B35" s="7"/>
      <c r="C35" s="7"/>
      <c r="D35" s="7"/>
      <c r="E35" s="7"/>
      <c r="F35" s="7"/>
      <c r="G35" s="7"/>
      <c r="H35" s="210"/>
      <c r="I35" s="5"/>
      <c r="J35" s="6"/>
      <c r="K35" s="6"/>
      <c r="L35" s="6"/>
      <c r="M35" s="6"/>
      <c r="N35" s="6"/>
    </row>
    <row r="36" spans="1:14" ht="13.5" customHeight="1" x14ac:dyDescent="0.2">
      <c r="A36" s="5"/>
      <c r="B36" s="7"/>
      <c r="C36" s="7"/>
      <c r="D36" s="7"/>
      <c r="E36" s="7"/>
      <c r="F36" s="7"/>
      <c r="G36" s="7"/>
      <c r="H36" s="210"/>
      <c r="I36" s="5"/>
      <c r="J36" s="6"/>
      <c r="K36" s="6"/>
      <c r="L36" s="6"/>
      <c r="M36" s="6"/>
      <c r="N36" s="6"/>
    </row>
    <row r="37" spans="1:14" x14ac:dyDescent="0.2">
      <c r="A37" s="5"/>
      <c r="B37" s="7"/>
      <c r="C37" s="7"/>
      <c r="D37" s="7"/>
      <c r="E37" s="7"/>
      <c r="F37" s="7"/>
      <c r="G37" s="7"/>
      <c r="H37" s="210"/>
      <c r="I37" s="5"/>
      <c r="J37" s="6"/>
      <c r="K37" s="6"/>
      <c r="L37" s="6"/>
      <c r="M37" s="6"/>
      <c r="N37" s="6"/>
    </row>
    <row r="38" spans="1:14" x14ac:dyDescent="0.2">
      <c r="A38" s="5"/>
      <c r="B38" s="7"/>
      <c r="C38" s="7"/>
      <c r="D38" s="7"/>
      <c r="E38" s="7"/>
      <c r="F38" s="7"/>
      <c r="G38" s="7"/>
      <c r="H38" s="210"/>
      <c r="I38" s="5"/>
      <c r="J38" s="6"/>
      <c r="K38" s="6"/>
      <c r="L38" s="6"/>
      <c r="M38" s="6"/>
      <c r="N38" s="6"/>
    </row>
    <row r="39" spans="1:14" x14ac:dyDescent="0.2">
      <c r="A39" s="5"/>
      <c r="B39" s="7"/>
      <c r="C39" s="7"/>
      <c r="D39" s="7"/>
      <c r="E39" s="7"/>
      <c r="F39" s="7"/>
      <c r="G39" s="7"/>
      <c r="H39" s="210"/>
      <c r="I39" s="5"/>
      <c r="J39" s="6"/>
      <c r="K39" s="6"/>
      <c r="L39" s="6"/>
      <c r="M39" s="6"/>
      <c r="N39" s="6"/>
    </row>
    <row r="40" spans="1:14" x14ac:dyDescent="0.2">
      <c r="A40" s="5"/>
      <c r="B40" s="7"/>
      <c r="C40" s="7"/>
      <c r="D40" s="7"/>
      <c r="E40" s="7"/>
      <c r="F40" s="7"/>
      <c r="G40" s="7"/>
      <c r="H40" s="210"/>
      <c r="I40" s="5"/>
      <c r="J40" s="6"/>
      <c r="K40" s="6"/>
      <c r="L40" s="6"/>
      <c r="M40" s="6"/>
      <c r="N40" s="6"/>
    </row>
    <row r="41" spans="1:14" x14ac:dyDescent="0.2">
      <c r="A41" s="5"/>
      <c r="B41" s="7"/>
      <c r="C41" s="7"/>
      <c r="D41" s="7"/>
      <c r="E41" s="7"/>
      <c r="F41" s="7"/>
      <c r="G41" s="7"/>
      <c r="H41" s="210"/>
      <c r="I41" s="5"/>
      <c r="J41" s="6"/>
      <c r="K41" s="6"/>
      <c r="L41" s="6"/>
      <c r="M41" s="6"/>
      <c r="N41" s="6"/>
    </row>
    <row r="42" spans="1:14" x14ac:dyDescent="0.2">
      <c r="A42" s="5"/>
      <c r="B42" s="7"/>
      <c r="C42" s="7"/>
      <c r="D42" s="7"/>
      <c r="E42" s="7"/>
      <c r="F42" s="7"/>
      <c r="G42" s="7"/>
      <c r="H42" s="210"/>
      <c r="I42" s="5"/>
      <c r="J42" s="6"/>
      <c r="K42" s="6"/>
      <c r="L42" s="6"/>
      <c r="M42" s="6"/>
      <c r="N42" s="6"/>
    </row>
    <row r="43" spans="1:14" x14ac:dyDescent="0.2">
      <c r="A43" s="5"/>
      <c r="B43" s="7"/>
      <c r="C43" s="7"/>
      <c r="D43" s="7"/>
      <c r="E43" s="7"/>
      <c r="F43" s="7"/>
      <c r="G43" s="7"/>
      <c r="H43" s="210"/>
      <c r="I43" s="5"/>
      <c r="J43" s="6"/>
      <c r="K43" s="6"/>
      <c r="L43" s="6"/>
      <c r="M43" s="6"/>
      <c r="N43" s="6"/>
    </row>
    <row r="44" spans="1:14" x14ac:dyDescent="0.2">
      <c r="A44" s="5"/>
      <c r="B44" s="7"/>
      <c r="C44" s="7"/>
      <c r="D44" s="7"/>
      <c r="E44" s="7"/>
      <c r="F44" s="7"/>
      <c r="G44" s="7"/>
      <c r="H44" s="210"/>
      <c r="I44" s="5"/>
      <c r="J44" s="6"/>
      <c r="K44" s="6"/>
      <c r="L44" s="6"/>
      <c r="M44" s="6"/>
      <c r="N44" s="6"/>
    </row>
    <row r="45" spans="1:14" x14ac:dyDescent="0.2">
      <c r="A45" s="5"/>
      <c r="B45" s="7"/>
      <c r="C45" s="7"/>
      <c r="D45" s="7"/>
      <c r="E45" s="7"/>
      <c r="F45" s="7"/>
      <c r="G45" s="7"/>
      <c r="H45" s="210"/>
      <c r="I45" s="5"/>
      <c r="J45" s="6"/>
      <c r="K45" s="6"/>
      <c r="L45" s="6"/>
      <c r="M45" s="6"/>
      <c r="N45" s="6"/>
    </row>
    <row r="46" spans="1:14" x14ac:dyDescent="0.2">
      <c r="A46" s="5"/>
      <c r="B46" s="7"/>
      <c r="C46" s="7"/>
      <c r="D46" s="7"/>
      <c r="E46" s="7"/>
      <c r="F46" s="7"/>
      <c r="G46" s="7"/>
      <c r="H46" s="210"/>
      <c r="I46" s="5"/>
      <c r="J46" s="6"/>
      <c r="K46" s="6"/>
      <c r="L46" s="6"/>
      <c r="M46" s="6"/>
      <c r="N46" s="6"/>
    </row>
    <row r="47" spans="1:14" x14ac:dyDescent="0.2">
      <c r="A47" s="5"/>
      <c r="B47" s="7"/>
      <c r="C47" s="7"/>
      <c r="D47" s="7"/>
      <c r="E47" s="7"/>
      <c r="F47" s="7"/>
      <c r="G47" s="7"/>
      <c r="H47" s="210"/>
      <c r="I47" s="5"/>
      <c r="J47" s="6"/>
      <c r="K47" s="6"/>
      <c r="L47" s="6"/>
      <c r="M47" s="6"/>
      <c r="N47" s="6"/>
    </row>
    <row r="48" spans="1:14" x14ac:dyDescent="0.2">
      <c r="A48" s="5"/>
      <c r="B48" s="7"/>
      <c r="C48" s="7"/>
      <c r="D48" s="7"/>
      <c r="E48" s="7"/>
      <c r="F48" s="7"/>
      <c r="G48" s="7"/>
      <c r="H48" s="210"/>
      <c r="I48" s="5"/>
      <c r="J48" s="6"/>
      <c r="K48" s="6"/>
      <c r="L48" s="6"/>
      <c r="M48" s="6"/>
      <c r="N48" s="6"/>
    </row>
    <row r="49" spans="1:14" x14ac:dyDescent="0.2">
      <c r="A49" s="5"/>
      <c r="B49" s="7"/>
      <c r="C49" s="7"/>
      <c r="D49" s="7"/>
      <c r="E49" s="7"/>
      <c r="F49" s="7"/>
      <c r="G49" s="7"/>
      <c r="H49" s="210"/>
      <c r="I49" s="5"/>
      <c r="J49" s="6"/>
      <c r="K49" s="6"/>
      <c r="L49" s="6"/>
      <c r="M49" s="6"/>
      <c r="N49" s="6"/>
    </row>
    <row r="50" spans="1:14" x14ac:dyDescent="0.2">
      <c r="A50" s="5"/>
      <c r="B50" s="7"/>
      <c r="C50" s="7"/>
      <c r="D50" s="7"/>
      <c r="E50" s="7"/>
      <c r="F50" s="7"/>
      <c r="G50" s="7"/>
      <c r="H50" s="210"/>
      <c r="I50" s="5"/>
      <c r="J50" s="6"/>
      <c r="K50" s="6"/>
      <c r="L50" s="6"/>
      <c r="M50" s="6"/>
      <c r="N50" s="6"/>
    </row>
    <row r="51" spans="1:14" x14ac:dyDescent="0.2">
      <c r="A51" s="5"/>
      <c r="B51" s="7"/>
      <c r="C51" s="7"/>
      <c r="D51" s="7"/>
      <c r="E51" s="7"/>
      <c r="F51" s="7"/>
      <c r="G51" s="7"/>
      <c r="H51" s="210"/>
      <c r="I51" s="5"/>
      <c r="J51" s="6"/>
      <c r="K51" s="6"/>
      <c r="L51" s="6"/>
      <c r="M51" s="6"/>
      <c r="N51" s="6"/>
    </row>
    <row r="52" spans="1:14" x14ac:dyDescent="0.2">
      <c r="A52" s="5"/>
      <c r="B52" s="7"/>
      <c r="C52" s="7"/>
      <c r="D52" s="7"/>
      <c r="E52" s="7"/>
      <c r="F52" s="7"/>
      <c r="G52" s="7"/>
      <c r="H52" s="210"/>
      <c r="I52" s="5"/>
      <c r="J52" s="6"/>
      <c r="K52" s="6"/>
      <c r="L52" s="6"/>
      <c r="M52" s="6"/>
      <c r="N52" s="6"/>
    </row>
    <row r="53" spans="1:14" x14ac:dyDescent="0.2">
      <c r="A53" s="5"/>
      <c r="B53" s="7"/>
      <c r="C53" s="7"/>
      <c r="D53" s="7"/>
      <c r="E53" s="7"/>
      <c r="F53" s="7"/>
      <c r="G53" s="7"/>
      <c r="H53" s="210"/>
      <c r="I53" s="5"/>
      <c r="J53" s="6"/>
      <c r="K53" s="6"/>
      <c r="L53" s="6"/>
      <c r="M53" s="6"/>
      <c r="N53" s="6"/>
    </row>
    <row r="54" spans="1:14" x14ac:dyDescent="0.2">
      <c r="A54" s="5"/>
      <c r="B54" s="7"/>
      <c r="C54" s="7"/>
      <c r="D54" s="7"/>
      <c r="E54" s="7"/>
      <c r="F54" s="7"/>
      <c r="G54" s="7"/>
      <c r="H54" s="210"/>
      <c r="I54" s="5"/>
      <c r="J54" s="6"/>
      <c r="K54" s="6"/>
      <c r="L54" s="6"/>
      <c r="M54" s="6"/>
      <c r="N54" s="6"/>
    </row>
    <row r="55" spans="1:14" x14ac:dyDescent="0.2">
      <c r="A55" s="5"/>
      <c r="B55" s="7"/>
      <c r="C55" s="7"/>
      <c r="D55" s="7"/>
      <c r="E55" s="7"/>
      <c r="F55" s="7"/>
      <c r="G55" s="7"/>
      <c r="H55" s="210"/>
      <c r="I55" s="5"/>
      <c r="J55" s="6"/>
      <c r="K55" s="6"/>
      <c r="L55" s="6"/>
      <c r="M55" s="6"/>
      <c r="N55" s="6"/>
    </row>
    <row r="56" spans="1:14" x14ac:dyDescent="0.2">
      <c r="A56" s="5"/>
      <c r="B56" s="7"/>
      <c r="C56" s="7"/>
      <c r="D56" s="7"/>
      <c r="E56" s="7"/>
      <c r="F56" s="7"/>
      <c r="G56" s="7"/>
      <c r="H56" s="210"/>
      <c r="I56" s="5"/>
      <c r="J56" s="6"/>
      <c r="K56" s="6"/>
      <c r="L56" s="6"/>
      <c r="M56" s="6"/>
      <c r="N56" s="6"/>
    </row>
    <row r="57" spans="1:14" x14ac:dyDescent="0.2">
      <c r="A57" s="5"/>
      <c r="B57" s="7"/>
      <c r="C57" s="7"/>
      <c r="D57" s="7"/>
      <c r="E57" s="7"/>
      <c r="F57" s="7"/>
      <c r="G57" s="7"/>
      <c r="H57" s="210"/>
      <c r="I57" s="5"/>
      <c r="J57" s="6"/>
      <c r="K57" s="6"/>
      <c r="L57" s="6"/>
      <c r="M57" s="6"/>
      <c r="N57" s="6"/>
    </row>
    <row r="58" spans="1:14" x14ac:dyDescent="0.2">
      <c r="A58" s="5"/>
      <c r="B58" s="7"/>
      <c r="C58" s="7"/>
      <c r="D58" s="7"/>
      <c r="E58" s="7"/>
      <c r="F58" s="7"/>
      <c r="G58" s="7"/>
      <c r="H58" s="210"/>
      <c r="I58" s="5"/>
      <c r="J58" s="6"/>
      <c r="K58" s="6"/>
      <c r="L58" s="6"/>
      <c r="M58" s="6"/>
      <c r="N58" s="6"/>
    </row>
  </sheetData>
  <mergeCells count="11">
    <mergeCell ref="B28:F28"/>
    <mergeCell ref="A1:B1"/>
    <mergeCell ref="A2:B2"/>
    <mergeCell ref="C1:G1"/>
    <mergeCell ref="C2:G2"/>
    <mergeCell ref="A3:I3"/>
    <mergeCell ref="H32:I32"/>
    <mergeCell ref="H30:I30"/>
    <mergeCell ref="A30:B30"/>
    <mergeCell ref="H29:I29"/>
    <mergeCell ref="A31:F31"/>
  </mergeCells>
  <pageMargins left="0.38" right="0.2" top="0.38" bottom="0.22" header="0.38" footer="0.21"/>
  <pageSetup paperSize="9" orientation="landscape"/>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52"/>
  <sheetViews>
    <sheetView tabSelected="1" zoomScale="115" zoomScaleNormal="115" zoomScalePageLayoutView="115" workbookViewId="0">
      <pane xSplit="2" ySplit="5" topLeftCell="C6" activePane="bottomRight" state="frozen"/>
      <selection pane="topRight" activeCell="C1" sqref="C1"/>
      <selection pane="bottomLeft" activeCell="A8" sqref="A8"/>
      <selection pane="bottomRight" activeCell="H21" sqref="H21"/>
    </sheetView>
  </sheetViews>
  <sheetFormatPr defaultColWidth="9.140625" defaultRowHeight="12.75" x14ac:dyDescent="0.2"/>
  <cols>
    <col min="1" max="1" width="5.42578125" style="801" customWidth="1"/>
    <col min="2" max="2" width="35.85546875" style="782" customWidth="1"/>
    <col min="3" max="3" width="8.85546875" style="782" customWidth="1"/>
    <col min="4" max="4" width="7.7109375" style="783" customWidth="1"/>
    <col min="5" max="5" width="9.42578125" style="782" customWidth="1"/>
    <col min="6" max="6" width="10.7109375" style="782" customWidth="1"/>
    <col min="7" max="7" width="18" style="784" customWidth="1"/>
    <col min="8" max="16384" width="9.140625" style="784"/>
  </cols>
  <sheetData>
    <row r="1" spans="1:12" ht="15.75" x14ac:dyDescent="0.2">
      <c r="A1" s="1134" t="s">
        <v>139</v>
      </c>
      <c r="B1" s="1134"/>
      <c r="G1" s="762" t="s">
        <v>33</v>
      </c>
    </row>
    <row r="2" spans="1:12" ht="14.25" customHeight="1" x14ac:dyDescent="0.2">
      <c r="A2" s="1135" t="s">
        <v>593</v>
      </c>
      <c r="B2" s="1135"/>
      <c r="C2" s="1127"/>
      <c r="D2" s="1127"/>
      <c r="E2" s="1127"/>
      <c r="F2" s="1127"/>
      <c r="G2" s="1127"/>
      <c r="H2" s="114"/>
      <c r="I2" s="114"/>
      <c r="J2" s="114"/>
      <c r="K2" s="114"/>
      <c r="L2" s="114"/>
    </row>
    <row r="3" spans="1:12" ht="30" customHeight="1" x14ac:dyDescent="0.2">
      <c r="A3" s="1136" t="s">
        <v>868</v>
      </c>
      <c r="B3" s="1136"/>
      <c r="C3" s="1136"/>
      <c r="D3" s="1136"/>
      <c r="E3" s="1136"/>
      <c r="F3" s="1136"/>
      <c r="G3" s="1136"/>
      <c r="H3" s="114"/>
      <c r="I3" s="114"/>
      <c r="J3" s="114"/>
      <c r="K3" s="114"/>
      <c r="L3" s="114"/>
    </row>
    <row r="4" spans="1:12" ht="14.25" thickBot="1" x14ac:dyDescent="0.25">
      <c r="A4" s="383"/>
      <c r="B4" s="383"/>
      <c r="C4" s="383"/>
      <c r="D4" s="786"/>
      <c r="E4" s="383"/>
      <c r="F4" s="380" t="s">
        <v>86</v>
      </c>
      <c r="G4" s="383"/>
      <c r="H4" s="114"/>
      <c r="I4" s="114"/>
      <c r="J4" s="114"/>
      <c r="K4" s="114"/>
      <c r="L4" s="114"/>
    </row>
    <row r="5" spans="1:12" ht="38.25" customHeight="1" thickTop="1" x14ac:dyDescent="0.2">
      <c r="A5" s="787" t="s">
        <v>0</v>
      </c>
      <c r="B5" s="788" t="s">
        <v>27</v>
      </c>
      <c r="C5" s="788" t="s">
        <v>1</v>
      </c>
      <c r="D5" s="789" t="s">
        <v>396</v>
      </c>
      <c r="E5" s="789" t="s">
        <v>28</v>
      </c>
      <c r="F5" s="789" t="s">
        <v>29</v>
      </c>
      <c r="G5" s="789" t="s">
        <v>2</v>
      </c>
      <c r="H5" s="114"/>
      <c r="I5" s="114"/>
      <c r="J5" s="114"/>
      <c r="K5" s="114"/>
      <c r="L5" s="114"/>
    </row>
    <row r="6" spans="1:12" ht="21.75" customHeight="1" x14ac:dyDescent="0.2">
      <c r="A6" s="520">
        <v>1</v>
      </c>
      <c r="B6" s="1008" t="s">
        <v>42</v>
      </c>
      <c r="C6" s="1009"/>
      <c r="D6" s="1010"/>
      <c r="E6" s="1010"/>
      <c r="F6" s="1010">
        <f>SUM(F7:F15)</f>
        <v>64200</v>
      </c>
      <c r="G6" s="1011"/>
      <c r="H6" s="114"/>
      <c r="I6" s="114"/>
      <c r="J6" s="114"/>
      <c r="K6" s="114"/>
      <c r="L6" s="114"/>
    </row>
    <row r="7" spans="1:12" ht="35.1" customHeight="1" x14ac:dyDescent="0.2">
      <c r="A7" s="520" t="s">
        <v>392</v>
      </c>
      <c r="B7" s="1012" t="s">
        <v>869</v>
      </c>
      <c r="C7" s="1013" t="s">
        <v>887</v>
      </c>
      <c r="D7" s="1010">
        <v>2</v>
      </c>
      <c r="E7" s="1010">
        <v>100</v>
      </c>
      <c r="F7" s="1014">
        <f t="shared" ref="F7:F12" si="0">D7*E7</f>
        <v>200</v>
      </c>
      <c r="G7" s="1010"/>
      <c r="I7" s="114"/>
      <c r="J7" s="114"/>
      <c r="K7" s="114"/>
      <c r="L7" s="114"/>
    </row>
    <row r="8" spans="1:12" ht="36" customHeight="1" x14ac:dyDescent="0.2">
      <c r="A8" s="520">
        <v>1.2</v>
      </c>
      <c r="B8" s="1008" t="s">
        <v>870</v>
      </c>
      <c r="C8" s="1015" t="s">
        <v>871</v>
      </c>
      <c r="D8" s="1016" t="s">
        <v>888</v>
      </c>
      <c r="E8" s="1015"/>
      <c r="F8" s="1014">
        <f t="shared" si="0"/>
        <v>0</v>
      </c>
      <c r="G8" s="1015" t="s">
        <v>872</v>
      </c>
      <c r="I8" s="114"/>
      <c r="J8" s="114"/>
      <c r="K8" s="114"/>
      <c r="L8" s="114"/>
    </row>
    <row r="9" spans="1:12" ht="54" customHeight="1" x14ac:dyDescent="0.2">
      <c r="A9" s="520">
        <v>1.3</v>
      </c>
      <c r="B9" s="1008" t="s">
        <v>873</v>
      </c>
      <c r="C9" s="1015" t="s">
        <v>871</v>
      </c>
      <c r="D9" s="382">
        <v>1</v>
      </c>
      <c r="E9" s="1015"/>
      <c r="F9" s="1014">
        <f t="shared" si="0"/>
        <v>0</v>
      </c>
      <c r="G9" s="1015" t="s">
        <v>872</v>
      </c>
      <c r="I9" s="114"/>
      <c r="J9" s="114"/>
      <c r="K9" s="114"/>
      <c r="L9" s="114"/>
    </row>
    <row r="10" spans="1:12" ht="38.25" x14ac:dyDescent="0.2">
      <c r="A10" s="520">
        <v>1.4</v>
      </c>
      <c r="B10" s="1008" t="s">
        <v>874</v>
      </c>
      <c r="C10" s="1015" t="s">
        <v>393</v>
      </c>
      <c r="D10" s="382">
        <v>1</v>
      </c>
      <c r="E10" s="1015">
        <v>20000</v>
      </c>
      <c r="F10" s="1014">
        <f t="shared" si="0"/>
        <v>20000</v>
      </c>
      <c r="G10" s="1015" t="s">
        <v>875</v>
      </c>
      <c r="I10" s="114"/>
      <c r="J10" s="114"/>
      <c r="K10" s="114"/>
      <c r="L10" s="114"/>
    </row>
    <row r="11" spans="1:12" ht="27" customHeight="1" x14ac:dyDescent="0.2">
      <c r="A11" s="1017">
        <v>1.5</v>
      </c>
      <c r="B11" s="1018" t="s">
        <v>876</v>
      </c>
      <c r="C11" s="1015" t="s">
        <v>889</v>
      </c>
      <c r="D11" s="382">
        <v>1</v>
      </c>
      <c r="E11" s="1019">
        <v>14000</v>
      </c>
      <c r="F11" s="1014">
        <f t="shared" si="0"/>
        <v>14000</v>
      </c>
      <c r="G11" s="1015" t="s">
        <v>877</v>
      </c>
      <c r="I11" s="114"/>
      <c r="J11" s="114"/>
      <c r="K11" s="114"/>
      <c r="L11" s="114"/>
    </row>
    <row r="12" spans="1:12" ht="21.75" customHeight="1" x14ac:dyDescent="0.2">
      <c r="A12" s="520">
        <v>2</v>
      </c>
      <c r="B12" s="1020" t="s">
        <v>878</v>
      </c>
      <c r="C12" s="1013"/>
      <c r="D12" s="382"/>
      <c r="E12" s="1015"/>
      <c r="F12" s="1014">
        <f t="shared" si="0"/>
        <v>0</v>
      </c>
      <c r="I12" s="114"/>
      <c r="J12" s="114"/>
      <c r="K12" s="114"/>
      <c r="L12" s="114"/>
    </row>
    <row r="13" spans="1:12" s="117" customFormat="1" ht="26.1" customHeight="1" x14ac:dyDescent="0.2">
      <c r="A13" s="520">
        <v>2.1</v>
      </c>
      <c r="B13" s="1008" t="s">
        <v>879</v>
      </c>
      <c r="C13" s="1015" t="s">
        <v>890</v>
      </c>
      <c r="D13" s="1016" t="s">
        <v>891</v>
      </c>
      <c r="E13" s="1015">
        <v>200</v>
      </c>
      <c r="F13" s="1014">
        <f t="shared" ref="F13:F17" si="1">D13*E13</f>
        <v>20000</v>
      </c>
      <c r="G13" s="1015" t="s">
        <v>872</v>
      </c>
      <c r="I13" s="116"/>
      <c r="J13" s="116"/>
      <c r="K13" s="116"/>
      <c r="L13" s="116"/>
    </row>
    <row r="14" spans="1:12" s="117" customFormat="1" ht="25.5" x14ac:dyDescent="0.2">
      <c r="A14" s="520">
        <v>2.2000000000000002</v>
      </c>
      <c r="B14" s="538" t="s">
        <v>881</v>
      </c>
      <c r="C14" s="1015" t="s">
        <v>880</v>
      </c>
      <c r="D14" s="382">
        <v>100</v>
      </c>
      <c r="E14" s="1015">
        <v>100</v>
      </c>
      <c r="F14" s="1014">
        <f t="shared" si="1"/>
        <v>10000</v>
      </c>
      <c r="G14" s="1015"/>
      <c r="I14" s="116"/>
      <c r="J14" s="116"/>
      <c r="K14" s="116"/>
      <c r="L14" s="116"/>
    </row>
    <row r="15" spans="1:12" s="117" customFormat="1" ht="21.75" customHeight="1" x14ac:dyDescent="0.2">
      <c r="A15" s="520">
        <v>3</v>
      </c>
      <c r="B15" s="1008" t="s">
        <v>882</v>
      </c>
      <c r="C15" s="1015"/>
      <c r="D15" s="382">
        <v>1</v>
      </c>
      <c r="E15" s="1015"/>
      <c r="F15" s="1014">
        <f t="shared" si="1"/>
        <v>0</v>
      </c>
      <c r="G15" s="1015"/>
      <c r="I15" s="116"/>
      <c r="J15" s="116"/>
      <c r="K15" s="116"/>
      <c r="L15" s="116"/>
    </row>
    <row r="16" spans="1:12" s="117" customFormat="1" ht="21" customHeight="1" x14ac:dyDescent="0.2">
      <c r="A16" s="520">
        <v>4</v>
      </c>
      <c r="B16" s="1008" t="s">
        <v>43</v>
      </c>
      <c r="C16" s="524"/>
      <c r="D16" s="382">
        <v>1</v>
      </c>
      <c r="E16" s="382"/>
      <c r="F16" s="1014">
        <f t="shared" si="1"/>
        <v>0</v>
      </c>
      <c r="G16" s="1015" t="s">
        <v>883</v>
      </c>
      <c r="I16" s="116"/>
      <c r="J16" s="116"/>
      <c r="K16" s="116"/>
      <c r="L16" s="116"/>
    </row>
    <row r="17" spans="1:65" s="117" customFormat="1" ht="32.1" customHeight="1" x14ac:dyDescent="0.2">
      <c r="A17" s="520">
        <v>4.0999999999999996</v>
      </c>
      <c r="B17" s="1008" t="s">
        <v>884</v>
      </c>
      <c r="C17" s="524" t="s">
        <v>395</v>
      </c>
      <c r="D17" s="382">
        <v>2</v>
      </c>
      <c r="E17" s="1014">
        <v>12000</v>
      </c>
      <c r="F17" s="1014">
        <f t="shared" si="1"/>
        <v>24000</v>
      </c>
      <c r="G17" s="1008"/>
      <c r="I17" s="116"/>
      <c r="J17" s="116"/>
      <c r="K17" s="116"/>
      <c r="L17" s="116"/>
    </row>
    <row r="18" spans="1:65" s="117" customFormat="1" ht="21.75" customHeight="1" x14ac:dyDescent="0.2">
      <c r="A18" s="520">
        <v>4.2</v>
      </c>
      <c r="B18" s="1008" t="s">
        <v>885</v>
      </c>
      <c r="C18" s="524" t="s">
        <v>393</v>
      </c>
      <c r="D18" s="382">
        <v>1</v>
      </c>
      <c r="E18" s="382">
        <v>2000</v>
      </c>
      <c r="F18" s="1014">
        <f>D18*E18</f>
        <v>2000</v>
      </c>
      <c r="G18" s="1008"/>
      <c r="I18" s="116"/>
      <c r="J18" s="116"/>
      <c r="K18" s="116"/>
      <c r="L18" s="116"/>
    </row>
    <row r="19" spans="1:65" s="117" customFormat="1" ht="24" customHeight="1" x14ac:dyDescent="0.2">
      <c r="A19" s="520">
        <v>4.3</v>
      </c>
      <c r="B19" s="1008" t="s">
        <v>886</v>
      </c>
      <c r="C19" s="524" t="s">
        <v>395</v>
      </c>
      <c r="D19" s="382">
        <v>1</v>
      </c>
      <c r="E19" s="382">
        <v>600</v>
      </c>
      <c r="F19" s="1014">
        <f t="shared" ref="F19" si="2">D19*E19</f>
        <v>600</v>
      </c>
      <c r="G19" s="538"/>
      <c r="I19" s="116"/>
      <c r="J19" s="116"/>
      <c r="K19" s="116"/>
      <c r="L19" s="116"/>
    </row>
    <row r="20" spans="1:65" s="117" customFormat="1" ht="29.25" customHeight="1" x14ac:dyDescent="0.2">
      <c r="A20" s="520">
        <v>5</v>
      </c>
      <c r="B20" s="1008" t="s">
        <v>17</v>
      </c>
      <c r="C20" s="524"/>
      <c r="D20" s="382"/>
      <c r="E20" s="382"/>
      <c r="F20" s="1021"/>
      <c r="G20" s="538"/>
      <c r="I20" s="116"/>
      <c r="J20" s="116"/>
      <c r="K20" s="116"/>
      <c r="L20" s="116"/>
    </row>
    <row r="21" spans="1:65" s="117" customFormat="1" ht="21.75" customHeight="1" x14ac:dyDescent="0.2">
      <c r="A21" s="1142" t="s">
        <v>24</v>
      </c>
      <c r="B21" s="1142"/>
      <c r="C21" s="524"/>
      <c r="D21" s="1022">
        <f>SUM(D7:D20)</f>
        <v>111</v>
      </c>
      <c r="E21" s="1022">
        <f t="shared" ref="E21" si="3">SUM(E7:E20)</f>
        <v>49000</v>
      </c>
      <c r="F21" s="1174">
        <f>SUM(F7:F20)</f>
        <v>90800</v>
      </c>
      <c r="G21" s="1008"/>
      <c r="I21" s="116"/>
      <c r="J21" s="116"/>
      <c r="K21" s="116"/>
      <c r="L21" s="116"/>
    </row>
    <row r="22" spans="1:65" s="791" customFormat="1" ht="24" customHeight="1" x14ac:dyDescent="0.2">
      <c r="A22" s="384"/>
      <c r="B22" s="1141" t="s">
        <v>893</v>
      </c>
      <c r="C22" s="1141"/>
      <c r="D22" s="790"/>
      <c r="E22" s="792"/>
      <c r="F22" s="792"/>
      <c r="G22" s="786"/>
      <c r="H22" s="793"/>
      <c r="I22" s="793"/>
      <c r="J22" s="121"/>
      <c r="K22" s="121"/>
      <c r="L22" s="121"/>
    </row>
    <row r="23" spans="1:65" s="791" customFormat="1" x14ac:dyDescent="0.2">
      <c r="D23" s="794"/>
      <c r="E23" s="795"/>
      <c r="F23" s="1139" t="s">
        <v>894</v>
      </c>
      <c r="G23" s="1139"/>
      <c r="H23" s="796"/>
      <c r="I23" s="796"/>
      <c r="J23" s="121"/>
      <c r="K23" s="121"/>
      <c r="L23" s="121"/>
    </row>
    <row r="24" spans="1:65" s="791" customFormat="1" ht="15" customHeight="1" x14ac:dyDescent="0.2">
      <c r="A24" s="1140"/>
      <c r="B24" s="1140"/>
      <c r="C24" s="797"/>
      <c r="D24" s="790"/>
      <c r="E24" s="797"/>
      <c r="F24" s="1141" t="s">
        <v>21</v>
      </c>
      <c r="G24" s="1141"/>
      <c r="H24" s="121"/>
      <c r="I24" s="121"/>
      <c r="J24" s="121"/>
      <c r="K24" s="121"/>
      <c r="L24" s="121"/>
    </row>
    <row r="25" spans="1:65" s="791" customFormat="1" ht="33" customHeight="1" x14ac:dyDescent="0.2">
      <c r="A25" s="1138"/>
      <c r="B25" s="1138"/>
      <c r="C25" s="1138"/>
      <c r="D25" s="798"/>
      <c r="E25" s="799"/>
      <c r="F25" s="792"/>
      <c r="G25" s="800"/>
      <c r="H25" s="121"/>
      <c r="I25" s="121"/>
      <c r="J25" s="121"/>
      <c r="K25" s="121"/>
      <c r="L25" s="121"/>
    </row>
    <row r="26" spans="1:65" s="791" customFormat="1" ht="39" customHeight="1" x14ac:dyDescent="0.2">
      <c r="D26" s="794"/>
      <c r="E26" s="792"/>
      <c r="F26" s="1127" t="s">
        <v>858</v>
      </c>
      <c r="G26" s="1127"/>
      <c r="H26" s="114"/>
      <c r="I26" s="114"/>
      <c r="J26" s="114"/>
      <c r="K26" s="114"/>
      <c r="L26" s="114"/>
      <c r="M26" s="784"/>
      <c r="N26" s="784"/>
      <c r="O26" s="784"/>
      <c r="P26" s="784"/>
      <c r="Q26" s="784"/>
      <c r="R26" s="784"/>
      <c r="S26" s="784"/>
      <c r="T26" s="784"/>
      <c r="U26" s="784"/>
      <c r="V26" s="784"/>
      <c r="W26" s="784"/>
      <c r="X26" s="784"/>
      <c r="Y26" s="784"/>
      <c r="Z26" s="784"/>
      <c r="AA26" s="784"/>
      <c r="AB26" s="784"/>
      <c r="AC26" s="784"/>
      <c r="AD26" s="784"/>
      <c r="AE26" s="784"/>
      <c r="AF26" s="784"/>
      <c r="AG26" s="784"/>
      <c r="AH26" s="784"/>
      <c r="AI26" s="784"/>
      <c r="AJ26" s="784"/>
      <c r="AK26" s="784"/>
      <c r="AL26" s="784"/>
      <c r="AM26" s="784"/>
      <c r="AN26" s="784"/>
      <c r="AO26" s="784"/>
      <c r="AP26" s="784"/>
      <c r="AQ26" s="784"/>
      <c r="AR26" s="784"/>
      <c r="AS26" s="784"/>
      <c r="AT26" s="784"/>
      <c r="AU26" s="784"/>
      <c r="AV26" s="784"/>
      <c r="AW26" s="784"/>
      <c r="AX26" s="784"/>
      <c r="AY26" s="784"/>
      <c r="AZ26" s="784"/>
      <c r="BA26" s="784"/>
      <c r="BB26" s="784"/>
      <c r="BC26" s="784"/>
      <c r="BD26" s="784"/>
      <c r="BE26" s="784"/>
      <c r="BF26" s="784"/>
      <c r="BG26" s="784"/>
      <c r="BH26" s="784"/>
      <c r="BI26" s="784"/>
      <c r="BJ26" s="784"/>
      <c r="BK26" s="784"/>
      <c r="BL26" s="784"/>
      <c r="BM26" s="784"/>
    </row>
    <row r="27" spans="1:65" x14ac:dyDescent="0.2">
      <c r="A27" s="90"/>
      <c r="B27" s="118"/>
      <c r="C27" s="118"/>
      <c r="D27" s="210"/>
      <c r="E27" s="118"/>
      <c r="F27" s="118"/>
      <c r="G27" s="114"/>
      <c r="H27" s="114"/>
      <c r="I27" s="114"/>
      <c r="J27" s="114"/>
      <c r="K27" s="114"/>
      <c r="L27" s="114"/>
    </row>
    <row r="28" spans="1:65" ht="96" customHeight="1" x14ac:dyDescent="0.2">
      <c r="A28" s="1137" t="s">
        <v>892</v>
      </c>
      <c r="B28" s="1137"/>
      <c r="C28" s="1137"/>
      <c r="D28" s="1137"/>
      <c r="E28" s="1137"/>
      <c r="F28" s="1137"/>
      <c r="G28" s="114"/>
      <c r="H28" s="114"/>
      <c r="I28" s="114"/>
      <c r="J28" s="114"/>
      <c r="K28" s="114"/>
      <c r="L28" s="114"/>
    </row>
    <row r="29" spans="1:65" x14ac:dyDescent="0.2">
      <c r="A29" s="90"/>
      <c r="B29" s="118"/>
      <c r="C29" s="118"/>
      <c r="D29" s="210"/>
      <c r="E29" s="118"/>
      <c r="F29" s="118"/>
      <c r="G29" s="114"/>
      <c r="H29" s="114"/>
      <c r="I29" s="114"/>
      <c r="J29" s="114"/>
      <c r="K29" s="114"/>
      <c r="L29" s="114"/>
    </row>
    <row r="30" spans="1:65" ht="13.5" customHeight="1" x14ac:dyDescent="0.2">
      <c r="A30" s="90"/>
      <c r="B30" s="118"/>
      <c r="C30" s="118"/>
      <c r="D30" s="210"/>
      <c r="E30" s="118"/>
      <c r="F30" s="118"/>
      <c r="G30" s="114"/>
      <c r="H30" s="114"/>
      <c r="I30" s="114"/>
      <c r="J30" s="114"/>
      <c r="K30" s="114"/>
      <c r="L30" s="114"/>
    </row>
    <row r="31" spans="1:65" x14ac:dyDescent="0.2">
      <c r="A31" s="90"/>
      <c r="B31" s="118"/>
      <c r="C31" s="118"/>
      <c r="D31" s="210"/>
      <c r="E31" s="118"/>
      <c r="F31" s="118"/>
      <c r="G31" s="114"/>
      <c r="H31" s="114"/>
      <c r="I31" s="114"/>
      <c r="J31" s="114"/>
      <c r="K31" s="114"/>
      <c r="L31" s="114"/>
    </row>
    <row r="32" spans="1:65" x14ac:dyDescent="0.2">
      <c r="A32" s="90"/>
      <c r="B32" s="118"/>
      <c r="C32" s="118"/>
      <c r="D32" s="210"/>
      <c r="E32" s="118"/>
      <c r="F32" s="118"/>
      <c r="G32" s="114"/>
      <c r="H32" s="114"/>
      <c r="I32" s="114"/>
      <c r="J32" s="114"/>
      <c r="K32" s="114"/>
      <c r="L32" s="114"/>
    </row>
    <row r="33" spans="1:12" x14ac:dyDescent="0.2">
      <c r="A33" s="90"/>
      <c r="B33" s="118"/>
      <c r="C33" s="118"/>
      <c r="D33" s="210"/>
      <c r="E33" s="118"/>
      <c r="F33" s="118"/>
      <c r="G33" s="114"/>
      <c r="H33" s="114"/>
      <c r="I33" s="114"/>
      <c r="J33" s="114"/>
      <c r="K33" s="114"/>
      <c r="L33" s="114"/>
    </row>
    <row r="34" spans="1:12" x14ac:dyDescent="0.2">
      <c r="A34" s="90"/>
      <c r="B34" s="118"/>
      <c r="C34" s="118"/>
      <c r="D34" s="210"/>
      <c r="E34" s="118"/>
      <c r="F34" s="118"/>
      <c r="G34" s="114"/>
      <c r="H34" s="114"/>
      <c r="I34" s="114"/>
      <c r="J34" s="114"/>
      <c r="K34" s="114"/>
      <c r="L34" s="114"/>
    </row>
    <row r="35" spans="1:12" x14ac:dyDescent="0.2">
      <c r="A35" s="90"/>
      <c r="B35" s="118"/>
      <c r="C35" s="118"/>
      <c r="D35" s="210"/>
      <c r="E35" s="118"/>
      <c r="F35" s="118"/>
      <c r="G35" s="114"/>
      <c r="H35" s="114"/>
      <c r="I35" s="114"/>
      <c r="J35" s="114"/>
      <c r="K35" s="114"/>
      <c r="L35" s="114"/>
    </row>
    <row r="36" spans="1:12" x14ac:dyDescent="0.2">
      <c r="A36" s="90"/>
      <c r="B36" s="118"/>
      <c r="C36" s="118"/>
      <c r="D36" s="210"/>
      <c r="E36" s="118"/>
      <c r="F36" s="118"/>
      <c r="G36" s="114"/>
      <c r="H36" s="114"/>
      <c r="I36" s="114"/>
      <c r="J36" s="114"/>
      <c r="K36" s="114"/>
      <c r="L36" s="114"/>
    </row>
    <row r="37" spans="1:12" x14ac:dyDescent="0.2">
      <c r="A37" s="90"/>
      <c r="B37" s="118"/>
      <c r="C37" s="118"/>
      <c r="D37" s="210"/>
      <c r="E37" s="118"/>
      <c r="F37" s="118"/>
      <c r="G37" s="114"/>
      <c r="H37" s="114"/>
      <c r="I37" s="114"/>
      <c r="J37" s="114"/>
      <c r="K37" s="114"/>
      <c r="L37" s="114"/>
    </row>
    <row r="38" spans="1:12" x14ac:dyDescent="0.2">
      <c r="A38" s="90"/>
      <c r="B38" s="118"/>
      <c r="C38" s="118"/>
      <c r="D38" s="210"/>
      <c r="E38" s="118"/>
      <c r="F38" s="118"/>
      <c r="G38" s="114"/>
      <c r="H38" s="114"/>
      <c r="I38" s="114"/>
      <c r="J38" s="114"/>
      <c r="K38" s="114"/>
      <c r="L38" s="114"/>
    </row>
    <row r="39" spans="1:12" x14ac:dyDescent="0.2">
      <c r="A39" s="90"/>
      <c r="B39" s="118"/>
      <c r="C39" s="118"/>
      <c r="D39" s="210"/>
      <c r="E39" s="118"/>
      <c r="F39" s="118"/>
      <c r="G39" s="114"/>
      <c r="H39" s="114"/>
      <c r="I39" s="114"/>
      <c r="J39" s="114"/>
      <c r="K39" s="114"/>
      <c r="L39" s="114"/>
    </row>
    <row r="40" spans="1:12" x14ac:dyDescent="0.2">
      <c r="A40" s="90"/>
      <c r="B40" s="118"/>
      <c r="C40" s="118"/>
      <c r="D40" s="210"/>
      <c r="E40" s="118"/>
      <c r="F40" s="118"/>
      <c r="G40" s="114"/>
      <c r="H40" s="114"/>
      <c r="I40" s="114"/>
      <c r="J40" s="114"/>
      <c r="K40" s="114"/>
      <c r="L40" s="114"/>
    </row>
    <row r="41" spans="1:12" x14ac:dyDescent="0.2">
      <c r="A41" s="90"/>
      <c r="B41" s="118"/>
      <c r="C41" s="118"/>
      <c r="D41" s="210"/>
      <c r="E41" s="118"/>
      <c r="F41" s="118"/>
      <c r="G41" s="114"/>
      <c r="H41" s="114"/>
      <c r="I41" s="114"/>
      <c r="J41" s="114"/>
      <c r="K41" s="114"/>
      <c r="L41" s="114"/>
    </row>
    <row r="42" spans="1:12" x14ac:dyDescent="0.2">
      <c r="A42" s="90"/>
      <c r="B42" s="118"/>
      <c r="C42" s="118"/>
      <c r="D42" s="210"/>
      <c r="E42" s="118"/>
      <c r="F42" s="118"/>
      <c r="G42" s="114"/>
      <c r="H42" s="114"/>
      <c r="I42" s="114"/>
      <c r="J42" s="114"/>
      <c r="K42" s="114"/>
      <c r="L42" s="114"/>
    </row>
    <row r="43" spans="1:12" x14ac:dyDescent="0.2">
      <c r="A43" s="90"/>
      <c r="B43" s="118"/>
      <c r="C43" s="118"/>
      <c r="D43" s="210"/>
      <c r="E43" s="118"/>
      <c r="F43" s="118"/>
      <c r="G43" s="114"/>
      <c r="H43" s="114"/>
      <c r="I43" s="114"/>
      <c r="J43" s="114"/>
      <c r="K43" s="114"/>
      <c r="L43" s="114"/>
    </row>
    <row r="44" spans="1:12" x14ac:dyDescent="0.2">
      <c r="A44" s="90"/>
      <c r="B44" s="118"/>
      <c r="C44" s="118"/>
      <c r="D44" s="210"/>
      <c r="E44" s="118"/>
      <c r="F44" s="118"/>
      <c r="G44" s="114"/>
      <c r="H44" s="114"/>
      <c r="I44" s="114"/>
      <c r="J44" s="114"/>
      <c r="K44" s="114"/>
      <c r="L44" s="114"/>
    </row>
    <row r="45" spans="1:12" x14ac:dyDescent="0.2">
      <c r="A45" s="90"/>
      <c r="B45" s="118"/>
      <c r="C45" s="118"/>
      <c r="D45" s="210"/>
      <c r="E45" s="118"/>
      <c r="F45" s="118"/>
      <c r="G45" s="114"/>
      <c r="H45" s="114"/>
      <c r="I45" s="114"/>
      <c r="J45" s="114"/>
      <c r="K45" s="114"/>
      <c r="L45" s="114"/>
    </row>
    <row r="46" spans="1:12" x14ac:dyDescent="0.2">
      <c r="A46" s="90"/>
      <c r="B46" s="118"/>
      <c r="C46" s="118"/>
      <c r="D46" s="210"/>
      <c r="E46" s="118"/>
      <c r="F46" s="118"/>
      <c r="G46" s="114"/>
      <c r="H46" s="114"/>
      <c r="I46" s="114"/>
      <c r="J46" s="114"/>
      <c r="K46" s="114"/>
      <c r="L46" s="114"/>
    </row>
    <row r="47" spans="1:12" x14ac:dyDescent="0.2">
      <c r="A47" s="90"/>
      <c r="B47" s="118"/>
      <c r="C47" s="118"/>
      <c r="D47" s="210"/>
      <c r="E47" s="118"/>
      <c r="F47" s="118"/>
      <c r="G47" s="114"/>
      <c r="H47" s="114"/>
      <c r="I47" s="114"/>
      <c r="J47" s="114"/>
      <c r="K47" s="114"/>
      <c r="L47" s="114"/>
    </row>
    <row r="48" spans="1:12" x14ac:dyDescent="0.2">
      <c r="A48" s="90"/>
      <c r="B48" s="118"/>
      <c r="C48" s="118"/>
      <c r="D48" s="210"/>
      <c r="E48" s="118"/>
      <c r="F48" s="118"/>
      <c r="G48" s="114"/>
      <c r="H48" s="114"/>
      <c r="I48" s="114"/>
      <c r="J48" s="114"/>
      <c r="K48" s="114"/>
      <c r="L48" s="114"/>
    </row>
    <row r="49" spans="1:12" x14ac:dyDescent="0.2">
      <c r="A49" s="90"/>
      <c r="B49" s="118"/>
      <c r="C49" s="118"/>
      <c r="D49" s="210"/>
      <c r="E49" s="118"/>
      <c r="F49" s="118"/>
      <c r="G49" s="114"/>
      <c r="H49" s="114"/>
      <c r="I49" s="114"/>
      <c r="J49" s="114"/>
      <c r="K49" s="114"/>
      <c r="L49" s="114"/>
    </row>
    <row r="50" spans="1:12" x14ac:dyDescent="0.2">
      <c r="A50" s="90"/>
      <c r="B50" s="118"/>
      <c r="C50" s="118"/>
      <c r="D50" s="210"/>
      <c r="E50" s="118"/>
      <c r="F50" s="118"/>
      <c r="G50" s="114"/>
      <c r="H50" s="114"/>
      <c r="I50" s="114"/>
      <c r="J50" s="114"/>
      <c r="K50" s="114"/>
      <c r="L50" s="114"/>
    </row>
    <row r="51" spans="1:12" x14ac:dyDescent="0.2">
      <c r="A51" s="90"/>
      <c r="B51" s="118"/>
      <c r="C51" s="118"/>
      <c r="D51" s="210"/>
      <c r="E51" s="118"/>
      <c r="F51" s="118"/>
      <c r="G51" s="114"/>
      <c r="H51" s="114"/>
      <c r="I51" s="114"/>
      <c r="J51" s="114"/>
      <c r="K51" s="114"/>
      <c r="L51" s="114"/>
    </row>
    <row r="52" spans="1:12" x14ac:dyDescent="0.2">
      <c r="A52" s="90"/>
      <c r="B52" s="118"/>
      <c r="C52" s="118"/>
      <c r="D52" s="210"/>
      <c r="E52" s="118"/>
      <c r="F52" s="118"/>
      <c r="G52" s="114"/>
    </row>
  </sheetData>
  <mergeCells count="12">
    <mergeCell ref="A28:F28"/>
    <mergeCell ref="F26:G26"/>
    <mergeCell ref="A1:B1"/>
    <mergeCell ref="A2:B2"/>
    <mergeCell ref="C2:G2"/>
    <mergeCell ref="A25:C25"/>
    <mergeCell ref="F23:G23"/>
    <mergeCell ref="A24:B24"/>
    <mergeCell ref="F24:G24"/>
    <mergeCell ref="A3:G3"/>
    <mergeCell ref="B22:C22"/>
    <mergeCell ref="A21:B21"/>
  </mergeCells>
  <pageMargins left="0.44" right="0.33" top="0.35" bottom="0.22" header="0.54" footer="0.21"/>
  <pageSetup paperSize="9" orientation="portrait"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zoomScale="106" zoomScaleNormal="106" zoomScalePageLayoutView="106" workbookViewId="0">
      <pane xSplit="2" ySplit="5" topLeftCell="C54" activePane="bottomRight" state="frozen"/>
      <selection pane="topRight" activeCell="C1" sqref="C1"/>
      <selection pane="bottomLeft" activeCell="A8" sqref="A8"/>
      <selection pane="bottomRight" activeCell="B10" sqref="B10"/>
    </sheetView>
  </sheetViews>
  <sheetFormatPr defaultColWidth="9.140625" defaultRowHeight="12.75" x14ac:dyDescent="0.2"/>
  <cols>
    <col min="1" max="1" width="5.140625" style="91" customWidth="1"/>
    <col min="2" max="2" width="34.140625" style="119" customWidth="1"/>
    <col min="3" max="3" width="9.85546875" style="119" customWidth="1"/>
    <col min="4" max="4" width="9.42578125" style="119" customWidth="1"/>
    <col min="5" max="5" width="36.7109375" style="115" customWidth="1"/>
    <col min="6" max="16384" width="9.140625" style="115"/>
  </cols>
  <sheetData>
    <row r="1" spans="1:5" ht="14.25" customHeight="1" x14ac:dyDescent="0.2">
      <c r="A1" s="1134" t="s">
        <v>139</v>
      </c>
      <c r="B1" s="1134"/>
      <c r="C1" s="110"/>
      <c r="D1" s="110"/>
      <c r="E1" s="43" t="s">
        <v>34</v>
      </c>
    </row>
    <row r="2" spans="1:5" ht="14.25" customHeight="1" x14ac:dyDescent="0.2">
      <c r="A2" s="1144" t="s">
        <v>594</v>
      </c>
      <c r="B2" s="1144"/>
      <c r="C2" s="124"/>
      <c r="D2" s="124"/>
      <c r="E2" s="124"/>
    </row>
    <row r="3" spans="1:5" ht="28.5" customHeight="1" x14ac:dyDescent="0.2">
      <c r="A3" s="1046" t="s">
        <v>1065</v>
      </c>
      <c r="B3" s="1046"/>
      <c r="C3" s="1046"/>
      <c r="D3" s="1046"/>
      <c r="E3" s="1046"/>
    </row>
    <row r="4" spans="1:5" x14ac:dyDescent="0.2">
      <c r="A4" s="127"/>
      <c r="B4" s="127"/>
      <c r="C4" s="127"/>
      <c r="D4" s="127"/>
      <c r="E4" s="112"/>
    </row>
    <row r="5" spans="1:5" ht="36.75" customHeight="1" x14ac:dyDescent="0.2">
      <c r="A5" s="269" t="s">
        <v>0</v>
      </c>
      <c r="B5" s="269" t="s">
        <v>9</v>
      </c>
      <c r="C5" s="269" t="s">
        <v>35</v>
      </c>
      <c r="D5" s="269" t="s">
        <v>10</v>
      </c>
      <c r="E5" s="269" t="s">
        <v>72</v>
      </c>
    </row>
    <row r="6" spans="1:5" s="125" customFormat="1" ht="28.5" customHeight="1" x14ac:dyDescent="0.2">
      <c r="A6" s="269"/>
      <c r="B6" s="270" t="s">
        <v>827</v>
      </c>
      <c r="C6" s="269"/>
      <c r="D6" s="269"/>
      <c r="E6" s="269"/>
    </row>
    <row r="7" spans="1:5" s="120" customFormat="1" ht="18.75" customHeight="1" x14ac:dyDescent="0.2">
      <c r="A7" s="269"/>
      <c r="B7" s="270" t="s">
        <v>350</v>
      </c>
      <c r="C7" s="269"/>
      <c r="D7" s="269"/>
      <c r="E7" s="269"/>
    </row>
    <row r="8" spans="1:5" s="120" customFormat="1" ht="18.75" customHeight="1" x14ac:dyDescent="0.2">
      <c r="A8" s="269"/>
      <c r="B8" s="270" t="s">
        <v>828</v>
      </c>
      <c r="C8" s="269"/>
      <c r="D8" s="269"/>
      <c r="E8" s="269"/>
    </row>
    <row r="9" spans="1:5" s="120" customFormat="1" ht="30" customHeight="1" x14ac:dyDescent="0.2">
      <c r="A9" s="269"/>
      <c r="B9" s="271" t="s">
        <v>1077</v>
      </c>
      <c r="C9" s="269"/>
      <c r="D9" s="269"/>
      <c r="E9" s="269"/>
    </row>
    <row r="10" spans="1:5" s="120" customFormat="1" ht="29.25" customHeight="1" x14ac:dyDescent="0.2">
      <c r="A10" s="269"/>
      <c r="B10" s="271" t="s">
        <v>1066</v>
      </c>
      <c r="C10" s="269"/>
      <c r="D10" s="269"/>
      <c r="E10" s="269"/>
    </row>
    <row r="11" spans="1:5" s="120" customFormat="1" ht="18.75" customHeight="1" x14ac:dyDescent="0.2">
      <c r="A11" s="269"/>
      <c r="B11" s="257" t="s">
        <v>1067</v>
      </c>
      <c r="C11" s="269"/>
      <c r="D11" s="269"/>
      <c r="E11" s="269"/>
    </row>
    <row r="12" spans="1:5" s="120" customFormat="1" ht="18.75" customHeight="1" x14ac:dyDescent="0.2">
      <c r="A12" s="269"/>
      <c r="B12" s="272" t="s">
        <v>760</v>
      </c>
      <c r="C12" s="269"/>
      <c r="D12" s="269"/>
      <c r="E12" s="269"/>
    </row>
    <row r="13" spans="1:5" s="120" customFormat="1" ht="25.5" customHeight="1" x14ac:dyDescent="0.2">
      <c r="A13" s="269" t="s">
        <v>7</v>
      </c>
      <c r="B13" s="273" t="s">
        <v>175</v>
      </c>
      <c r="C13" s="269"/>
      <c r="D13" s="269"/>
      <c r="E13" s="269"/>
    </row>
    <row r="14" spans="1:5" s="120" customFormat="1" ht="25.5" customHeight="1" x14ac:dyDescent="0.2">
      <c r="A14" s="258">
        <v>1</v>
      </c>
      <c r="B14" s="271" t="s">
        <v>367</v>
      </c>
      <c r="C14" s="269"/>
      <c r="D14" s="269"/>
      <c r="E14" s="274" t="s">
        <v>520</v>
      </c>
    </row>
    <row r="15" spans="1:5" s="120" customFormat="1" ht="18.75" customHeight="1" x14ac:dyDescent="0.2">
      <c r="A15" s="258">
        <v>2</v>
      </c>
      <c r="B15" s="271" t="s">
        <v>368</v>
      </c>
      <c r="C15" s="269"/>
      <c r="D15" s="269"/>
      <c r="E15" s="269"/>
    </row>
    <row r="16" spans="1:5" s="117" customFormat="1" ht="15.75" customHeight="1" x14ac:dyDescent="0.2">
      <c r="A16" s="268" t="s">
        <v>7</v>
      </c>
      <c r="B16" s="259" t="s">
        <v>369</v>
      </c>
      <c r="C16" s="268"/>
      <c r="D16" s="268"/>
      <c r="E16" s="275"/>
    </row>
    <row r="17" spans="1:5" s="117" customFormat="1" ht="15.75" customHeight="1" x14ac:dyDescent="0.2">
      <c r="A17" s="260"/>
      <c r="B17" s="276" t="s">
        <v>826</v>
      </c>
      <c r="C17" s="260"/>
      <c r="D17" s="260"/>
      <c r="E17" s="277"/>
    </row>
    <row r="18" spans="1:5" s="117" customFormat="1" ht="15.75" customHeight="1" x14ac:dyDescent="0.2">
      <c r="A18" s="260"/>
      <c r="B18" s="276" t="s">
        <v>1048</v>
      </c>
      <c r="C18" s="260"/>
      <c r="D18" s="260"/>
      <c r="E18" s="277"/>
    </row>
    <row r="19" spans="1:5" s="117" customFormat="1" ht="17.25" customHeight="1" x14ac:dyDescent="0.2">
      <c r="A19" s="260"/>
      <c r="B19" s="276" t="s">
        <v>332</v>
      </c>
      <c r="C19" s="260" t="s">
        <v>337</v>
      </c>
      <c r="D19" s="260" t="s">
        <v>371</v>
      </c>
      <c r="E19" s="381" t="s">
        <v>1049</v>
      </c>
    </row>
    <row r="20" spans="1:5" s="117" customFormat="1" ht="15.75" customHeight="1" x14ac:dyDescent="0.2">
      <c r="A20" s="260"/>
      <c r="B20" s="276" t="s">
        <v>373</v>
      </c>
      <c r="C20" s="260"/>
      <c r="D20" s="260"/>
      <c r="E20" s="278"/>
    </row>
    <row r="21" spans="1:5" s="117" customFormat="1" ht="15.75" customHeight="1" x14ac:dyDescent="0.2">
      <c r="A21" s="260"/>
      <c r="B21" s="276" t="s">
        <v>374</v>
      </c>
      <c r="C21" s="260"/>
      <c r="D21" s="260"/>
      <c r="E21" s="278"/>
    </row>
    <row r="22" spans="1:5" s="117" customFormat="1" ht="15.75" customHeight="1" x14ac:dyDescent="0.2">
      <c r="A22" s="544" t="s">
        <v>8</v>
      </c>
      <c r="B22" s="517" t="s">
        <v>375</v>
      </c>
      <c r="C22" s="544"/>
      <c r="D22" s="544"/>
      <c r="E22" s="545"/>
    </row>
    <row r="23" spans="1:5" s="117" customFormat="1" ht="15.75" customHeight="1" x14ac:dyDescent="0.2">
      <c r="A23" s="519"/>
      <c r="B23" s="546" t="s">
        <v>1050</v>
      </c>
      <c r="C23" s="519"/>
      <c r="D23" s="519"/>
      <c r="E23" s="381"/>
    </row>
    <row r="24" spans="1:5" s="117" customFormat="1" ht="15.75" customHeight="1" x14ac:dyDescent="0.2">
      <c r="A24" s="519"/>
      <c r="B24" s="546" t="s">
        <v>1057</v>
      </c>
      <c r="C24" s="519"/>
      <c r="D24" s="519"/>
      <c r="E24" s="381"/>
    </row>
    <row r="25" spans="1:5" s="117" customFormat="1" ht="30" customHeight="1" x14ac:dyDescent="0.2">
      <c r="A25" s="519"/>
      <c r="B25" s="546" t="s">
        <v>376</v>
      </c>
      <c r="C25" s="519"/>
      <c r="D25" s="519" t="s">
        <v>371</v>
      </c>
      <c r="E25" s="381" t="s">
        <v>372</v>
      </c>
    </row>
    <row r="26" spans="1:5" s="117" customFormat="1" ht="27" customHeight="1" x14ac:dyDescent="0.2">
      <c r="A26" s="519"/>
      <c r="B26" s="546" t="s">
        <v>377</v>
      </c>
      <c r="C26" s="519"/>
      <c r="D26" s="519" t="s">
        <v>371</v>
      </c>
      <c r="E26" s="381" t="s">
        <v>389</v>
      </c>
    </row>
    <row r="27" spans="1:5" s="117" customFormat="1" ht="25.5" customHeight="1" x14ac:dyDescent="0.2">
      <c r="A27" s="519"/>
      <c r="B27" s="546" t="s">
        <v>378</v>
      </c>
      <c r="C27" s="519"/>
      <c r="D27" s="519" t="s">
        <v>371</v>
      </c>
      <c r="E27" s="381" t="s">
        <v>391</v>
      </c>
    </row>
    <row r="28" spans="1:5" s="117" customFormat="1" ht="25.5" customHeight="1" x14ac:dyDescent="0.2">
      <c r="A28" s="519"/>
      <c r="B28" s="546" t="s">
        <v>617</v>
      </c>
      <c r="C28" s="519"/>
      <c r="D28" s="519" t="s">
        <v>371</v>
      </c>
      <c r="E28" s="381" t="s">
        <v>1059</v>
      </c>
    </row>
    <row r="29" spans="1:5" s="117" customFormat="1" ht="25.5" customHeight="1" x14ac:dyDescent="0.2">
      <c r="A29" s="519"/>
      <c r="B29" s="546" t="s">
        <v>1058</v>
      </c>
      <c r="C29" s="519"/>
      <c r="D29" s="519" t="s">
        <v>371</v>
      </c>
      <c r="E29" s="381" t="s">
        <v>1059</v>
      </c>
    </row>
    <row r="30" spans="1:5" s="117" customFormat="1" ht="15.75" customHeight="1" x14ac:dyDescent="0.2">
      <c r="A30" s="519"/>
      <c r="B30" s="546" t="s">
        <v>379</v>
      </c>
      <c r="C30" s="519"/>
      <c r="D30" s="519"/>
      <c r="E30" s="381"/>
    </row>
    <row r="31" spans="1:5" s="117" customFormat="1" ht="21" customHeight="1" x14ac:dyDescent="0.2">
      <c r="A31" s="519"/>
      <c r="B31" s="546" t="s">
        <v>622</v>
      </c>
      <c r="C31" s="519"/>
      <c r="D31" s="519"/>
      <c r="E31" s="381"/>
    </row>
    <row r="32" spans="1:5" s="117" customFormat="1" ht="30.95" customHeight="1" x14ac:dyDescent="0.2">
      <c r="A32" s="531" t="s">
        <v>25</v>
      </c>
      <c r="B32" s="530" t="s">
        <v>297</v>
      </c>
      <c r="C32" s="533"/>
      <c r="D32" s="533"/>
      <c r="E32" s="547"/>
    </row>
    <row r="33" spans="1:5" s="117" customFormat="1" ht="15.75" customHeight="1" x14ac:dyDescent="0.2">
      <c r="A33" s="531"/>
      <c r="B33" s="546" t="s">
        <v>388</v>
      </c>
      <c r="C33" s="519"/>
      <c r="D33" s="519"/>
      <c r="E33" s="381"/>
    </row>
    <row r="34" spans="1:5" s="117" customFormat="1" ht="15.75" customHeight="1" x14ac:dyDescent="0.2">
      <c r="A34" s="531"/>
      <c r="B34" s="546" t="s">
        <v>385</v>
      </c>
      <c r="C34" s="519"/>
      <c r="D34" s="519"/>
      <c r="E34" s="381"/>
    </row>
    <row r="35" spans="1:5" s="117" customFormat="1" ht="25.5" customHeight="1" x14ac:dyDescent="0.2">
      <c r="A35" s="531"/>
      <c r="B35" s="546" t="s">
        <v>381</v>
      </c>
      <c r="C35" s="519"/>
      <c r="D35" s="519" t="s">
        <v>371</v>
      </c>
      <c r="E35" s="381" t="s">
        <v>390</v>
      </c>
    </row>
    <row r="36" spans="1:5" s="117" customFormat="1" ht="15.75" customHeight="1" x14ac:dyDescent="0.2">
      <c r="A36" s="531"/>
      <c r="B36" s="546" t="s">
        <v>379</v>
      </c>
      <c r="C36" s="519"/>
      <c r="D36" s="519"/>
      <c r="E36" s="381"/>
    </row>
    <row r="37" spans="1:5" s="117" customFormat="1" ht="27" customHeight="1" x14ac:dyDescent="0.2">
      <c r="A37" s="531"/>
      <c r="B37" s="546" t="s">
        <v>574</v>
      </c>
      <c r="C37" s="519"/>
      <c r="D37" s="519" t="s">
        <v>380</v>
      </c>
      <c r="E37" s="381" t="s">
        <v>575</v>
      </c>
    </row>
    <row r="38" spans="1:5" s="117" customFormat="1" ht="15.75" customHeight="1" x14ac:dyDescent="0.2">
      <c r="A38" s="531" t="s">
        <v>36</v>
      </c>
      <c r="B38" s="530" t="s">
        <v>383</v>
      </c>
      <c r="C38" s="533"/>
      <c r="D38" s="533"/>
      <c r="E38" s="547"/>
    </row>
    <row r="39" spans="1:5" s="117" customFormat="1" ht="15.75" customHeight="1" x14ac:dyDescent="0.2">
      <c r="A39" s="531"/>
      <c r="B39" s="546" t="s">
        <v>384</v>
      </c>
      <c r="C39" s="519"/>
      <c r="D39" s="519"/>
      <c r="E39" s="381"/>
    </row>
    <row r="40" spans="1:5" s="117" customFormat="1" ht="15.75" customHeight="1" x14ac:dyDescent="0.2">
      <c r="A40" s="531"/>
      <c r="B40" s="546" t="s">
        <v>829</v>
      </c>
      <c r="C40" s="519"/>
      <c r="D40" s="519"/>
      <c r="E40" s="381"/>
    </row>
    <row r="41" spans="1:5" s="117" customFormat="1" ht="25.5" customHeight="1" x14ac:dyDescent="0.2">
      <c r="A41" s="531"/>
      <c r="B41" s="546" t="s">
        <v>386</v>
      </c>
      <c r="C41" s="519"/>
      <c r="D41" s="519" t="s">
        <v>371</v>
      </c>
      <c r="E41" s="381" t="s">
        <v>646</v>
      </c>
    </row>
    <row r="42" spans="1:5" s="117" customFormat="1" ht="25.5" customHeight="1" x14ac:dyDescent="0.2">
      <c r="A42" s="544"/>
      <c r="B42" s="546" t="s">
        <v>348</v>
      </c>
      <c r="C42" s="519"/>
      <c r="D42" s="519" t="s">
        <v>371</v>
      </c>
      <c r="E42" s="381" t="s">
        <v>1060</v>
      </c>
    </row>
    <row r="43" spans="1:5" s="117" customFormat="1" ht="15.75" customHeight="1" x14ac:dyDescent="0.2">
      <c r="A43" s="531"/>
      <c r="B43" s="546" t="s">
        <v>1056</v>
      </c>
      <c r="C43" s="519"/>
      <c r="D43" s="519"/>
      <c r="E43" s="381"/>
    </row>
    <row r="44" spans="1:5" s="117" customFormat="1" ht="34.5" customHeight="1" x14ac:dyDescent="0.2">
      <c r="A44" s="531"/>
      <c r="B44" s="546" t="s">
        <v>574</v>
      </c>
      <c r="C44" s="519"/>
      <c r="D44" s="519"/>
      <c r="E44" s="381" t="s">
        <v>761</v>
      </c>
    </row>
    <row r="45" spans="1:5" s="117" customFormat="1" ht="15.75" customHeight="1" x14ac:dyDescent="0.2">
      <c r="A45" s="279" t="s">
        <v>40</v>
      </c>
      <c r="B45" s="530" t="s">
        <v>387</v>
      </c>
      <c r="C45" s="533"/>
      <c r="D45" s="533"/>
      <c r="E45" s="547"/>
    </row>
    <row r="46" spans="1:5" s="117" customFormat="1" ht="15.75" customHeight="1" x14ac:dyDescent="0.2">
      <c r="A46" s="548"/>
      <c r="B46" s="546" t="s">
        <v>370</v>
      </c>
      <c r="C46" s="519"/>
      <c r="D46" s="519"/>
      <c r="E46" s="381"/>
    </row>
    <row r="47" spans="1:5" s="117" customFormat="1" ht="15.75" customHeight="1" x14ac:dyDescent="0.2">
      <c r="A47" s="548"/>
      <c r="B47" s="546" t="s">
        <v>379</v>
      </c>
      <c r="C47" s="549"/>
      <c r="D47" s="549"/>
      <c r="E47" s="549"/>
    </row>
    <row r="48" spans="1:5" s="117" customFormat="1" ht="50.25" customHeight="1" x14ac:dyDescent="0.2">
      <c r="A48" s="550"/>
      <c r="B48" s="524" t="s">
        <v>382</v>
      </c>
      <c r="C48" s="551"/>
      <c r="D48" s="551"/>
      <c r="E48" s="538" t="s">
        <v>527</v>
      </c>
    </row>
    <row r="49" spans="1:6" s="117" customFormat="1" ht="34.5" customHeight="1" x14ac:dyDescent="0.2">
      <c r="A49" s="752" t="s">
        <v>615</v>
      </c>
      <c r="B49" s="749" t="s">
        <v>510</v>
      </c>
      <c r="C49" s="748"/>
      <c r="D49" s="748"/>
      <c r="E49" s="751"/>
    </row>
    <row r="50" spans="1:6" s="117" customFormat="1" ht="34.5" customHeight="1" x14ac:dyDescent="0.2">
      <c r="A50" s="748"/>
      <c r="B50" s="750" t="s">
        <v>831</v>
      </c>
      <c r="C50" s="748"/>
      <c r="D50" s="748"/>
      <c r="E50" s="750" t="s">
        <v>830</v>
      </c>
    </row>
    <row r="51" spans="1:6" s="117" customFormat="1" ht="34.5" customHeight="1" x14ac:dyDescent="0.2">
      <c r="A51" s="748"/>
      <c r="B51" s="750" t="s">
        <v>832</v>
      </c>
      <c r="C51" s="748"/>
      <c r="D51" s="748"/>
      <c r="E51" s="750" t="s">
        <v>1062</v>
      </c>
    </row>
    <row r="52" spans="1:6" s="117" customFormat="1" ht="34.5" customHeight="1" x14ac:dyDescent="0.2">
      <c r="A52" s="748"/>
      <c r="B52" s="552" t="s">
        <v>1061</v>
      </c>
      <c r="C52" s="748"/>
      <c r="D52" s="748"/>
      <c r="E52" s="750"/>
    </row>
    <row r="53" spans="1:6" s="117" customFormat="1" ht="36.75" customHeight="1" x14ac:dyDescent="0.2">
      <c r="A53" s="553"/>
      <c r="B53" s="1145" t="s">
        <v>1063</v>
      </c>
      <c r="C53" s="1145"/>
      <c r="D53" s="1145"/>
      <c r="E53" s="1145"/>
    </row>
    <row r="54" spans="1:6" ht="18.75" customHeight="1" x14ac:dyDescent="0.2">
      <c r="A54" s="89"/>
      <c r="B54" s="109"/>
      <c r="C54" s="109"/>
      <c r="D54" s="109"/>
      <c r="E54" s="126" t="s">
        <v>1064</v>
      </c>
    </row>
    <row r="55" spans="1:6" ht="13.5" customHeight="1" x14ac:dyDescent="0.2">
      <c r="A55" s="89"/>
      <c r="B55" s="110"/>
      <c r="C55" s="109"/>
      <c r="D55" s="109"/>
      <c r="E55" s="54" t="s">
        <v>21</v>
      </c>
    </row>
    <row r="56" spans="1:6" ht="71.25" customHeight="1" x14ac:dyDescent="0.2">
      <c r="A56" s="1143" t="s">
        <v>81</v>
      </c>
      <c r="B56" s="1143"/>
      <c r="C56" s="1143"/>
      <c r="D56" s="1143"/>
      <c r="E56" s="54"/>
    </row>
    <row r="57" spans="1:6" x14ac:dyDescent="0.2">
      <c r="A57" s="89"/>
      <c r="B57" s="109"/>
      <c r="C57" s="109"/>
      <c r="D57" s="109"/>
      <c r="E57" s="283" t="s">
        <v>858</v>
      </c>
      <c r="F57" s="110"/>
    </row>
    <row r="58" spans="1:6" x14ac:dyDescent="0.2">
      <c r="A58" s="89"/>
      <c r="B58" s="109"/>
      <c r="C58" s="109"/>
      <c r="D58" s="109"/>
      <c r="E58" s="113"/>
    </row>
    <row r="59" spans="1:6" x14ac:dyDescent="0.2">
      <c r="A59" s="89"/>
      <c r="B59" s="109"/>
      <c r="C59" s="109"/>
      <c r="D59" s="109"/>
      <c r="E59" s="113"/>
    </row>
    <row r="60" spans="1:6" x14ac:dyDescent="0.2">
      <c r="A60" s="89"/>
      <c r="B60" s="109"/>
      <c r="C60" s="109"/>
      <c r="D60" s="109"/>
      <c r="E60" s="113"/>
    </row>
    <row r="61" spans="1:6" ht="13.5" customHeight="1" x14ac:dyDescent="0.2">
      <c r="A61" s="89"/>
      <c r="B61" s="109"/>
      <c r="C61" s="109"/>
      <c r="D61" s="109"/>
      <c r="E61" s="113"/>
    </row>
    <row r="62" spans="1:6" x14ac:dyDescent="0.2">
      <c r="A62" s="89"/>
      <c r="B62" s="109"/>
      <c r="C62" s="109"/>
      <c r="D62" s="109"/>
      <c r="E62" s="113"/>
    </row>
    <row r="63" spans="1:6" x14ac:dyDescent="0.2">
      <c r="A63" s="89"/>
      <c r="B63" s="109"/>
      <c r="C63" s="109"/>
      <c r="D63" s="109"/>
      <c r="E63" s="113"/>
    </row>
    <row r="64" spans="1:6" x14ac:dyDescent="0.2">
      <c r="A64" s="89"/>
      <c r="B64" s="109"/>
      <c r="C64" s="109"/>
      <c r="D64" s="109"/>
      <c r="E64" s="113"/>
    </row>
    <row r="65" spans="1:5" x14ac:dyDescent="0.2">
      <c r="A65" s="89"/>
      <c r="B65" s="109"/>
      <c r="C65" s="109"/>
      <c r="D65" s="109"/>
      <c r="E65" s="113"/>
    </row>
    <row r="66" spans="1:5" x14ac:dyDescent="0.2">
      <c r="A66" s="89"/>
      <c r="B66" s="109"/>
      <c r="C66" s="109"/>
      <c r="D66" s="109"/>
      <c r="E66" s="113"/>
    </row>
    <row r="67" spans="1:5" x14ac:dyDescent="0.2">
      <c r="A67" s="89"/>
      <c r="B67" s="109"/>
      <c r="C67" s="109"/>
      <c r="D67" s="109"/>
      <c r="E67" s="113"/>
    </row>
    <row r="68" spans="1:5" x14ac:dyDescent="0.2">
      <c r="A68" s="89"/>
      <c r="B68" s="109"/>
      <c r="C68" s="109"/>
      <c r="D68" s="109"/>
      <c r="E68" s="113"/>
    </row>
    <row r="69" spans="1:5" x14ac:dyDescent="0.2">
      <c r="A69" s="89"/>
      <c r="B69" s="109"/>
      <c r="C69" s="109"/>
      <c r="D69" s="109"/>
      <c r="E69" s="113"/>
    </row>
    <row r="70" spans="1:5" x14ac:dyDescent="0.2">
      <c r="A70" s="89"/>
      <c r="B70" s="109"/>
      <c r="C70" s="109"/>
      <c r="D70" s="109"/>
      <c r="E70" s="113"/>
    </row>
    <row r="71" spans="1:5" x14ac:dyDescent="0.2">
      <c r="A71" s="89"/>
      <c r="B71" s="109"/>
      <c r="C71" s="109"/>
      <c r="D71" s="109"/>
      <c r="E71" s="113"/>
    </row>
    <row r="72" spans="1:5" x14ac:dyDescent="0.2">
      <c r="A72" s="89"/>
      <c r="B72" s="109"/>
      <c r="C72" s="109"/>
      <c r="D72" s="109"/>
      <c r="E72" s="113"/>
    </row>
    <row r="73" spans="1:5" x14ac:dyDescent="0.2">
      <c r="A73" s="89"/>
      <c r="B73" s="109"/>
      <c r="C73" s="109"/>
      <c r="D73" s="109"/>
      <c r="E73" s="113"/>
    </row>
    <row r="74" spans="1:5" x14ac:dyDescent="0.2">
      <c r="A74" s="89"/>
      <c r="B74" s="109"/>
      <c r="C74" s="109"/>
      <c r="D74" s="109"/>
      <c r="E74" s="113"/>
    </row>
    <row r="75" spans="1:5" x14ac:dyDescent="0.2">
      <c r="A75" s="89"/>
      <c r="B75" s="109"/>
      <c r="C75" s="109"/>
      <c r="D75" s="109"/>
      <c r="E75" s="113"/>
    </row>
    <row r="76" spans="1:5" x14ac:dyDescent="0.2">
      <c r="A76" s="89"/>
      <c r="B76" s="109"/>
      <c r="C76" s="109"/>
      <c r="D76" s="109"/>
      <c r="E76" s="113"/>
    </row>
    <row r="77" spans="1:5" x14ac:dyDescent="0.2">
      <c r="A77" s="89"/>
      <c r="B77" s="109"/>
      <c r="C77" s="109"/>
      <c r="D77" s="109"/>
      <c r="E77" s="113"/>
    </row>
    <row r="78" spans="1:5" x14ac:dyDescent="0.2">
      <c r="A78" s="89"/>
      <c r="B78" s="109"/>
      <c r="C78" s="109"/>
      <c r="D78" s="109"/>
      <c r="E78" s="113"/>
    </row>
    <row r="79" spans="1:5" x14ac:dyDescent="0.2">
      <c r="A79" s="89"/>
      <c r="B79" s="109"/>
      <c r="C79" s="109"/>
      <c r="D79" s="109"/>
      <c r="E79" s="113"/>
    </row>
    <row r="80" spans="1:5" x14ac:dyDescent="0.2">
      <c r="A80" s="89"/>
      <c r="B80" s="109"/>
      <c r="C80" s="109"/>
      <c r="D80" s="109"/>
      <c r="E80" s="113"/>
    </row>
    <row r="81" spans="1:5" x14ac:dyDescent="0.2">
      <c r="A81" s="89"/>
      <c r="B81" s="109"/>
      <c r="C81" s="109"/>
      <c r="D81" s="109"/>
      <c r="E81" s="113"/>
    </row>
    <row r="82" spans="1:5" x14ac:dyDescent="0.2">
      <c r="A82" s="89"/>
      <c r="B82" s="109"/>
      <c r="C82" s="109"/>
      <c r="D82" s="109"/>
      <c r="E82" s="113"/>
    </row>
    <row r="83" spans="1:5" x14ac:dyDescent="0.2">
      <c r="A83" s="90"/>
      <c r="B83" s="118"/>
      <c r="C83" s="118"/>
      <c r="D83" s="118"/>
      <c r="E83" s="114"/>
    </row>
  </sheetData>
  <mergeCells count="5">
    <mergeCell ref="A3:E3"/>
    <mergeCell ref="A56:D56"/>
    <mergeCell ref="A1:B1"/>
    <mergeCell ref="A2:B2"/>
    <mergeCell ref="B53:E53"/>
  </mergeCells>
  <pageMargins left="0.46" right="0.33" top="0.51" bottom="0.42" header="0.51" footer="0.21"/>
  <pageSetup paperSize="9" orientation="portrait"/>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topLeftCell="A11" workbookViewId="0">
      <selection activeCell="G31" sqref="G31"/>
    </sheetView>
  </sheetViews>
  <sheetFormatPr defaultColWidth="9.140625" defaultRowHeight="12.75" x14ac:dyDescent="0.2"/>
  <cols>
    <col min="1" max="1" width="6.7109375" style="6" customWidth="1"/>
    <col min="2" max="2" width="47" style="6" customWidth="1"/>
    <col min="3" max="3" width="19.42578125" style="6" customWidth="1"/>
    <col min="4" max="4" width="14.7109375" style="5" customWidth="1"/>
    <col min="5" max="5" width="14" style="6" customWidth="1"/>
    <col min="6" max="16384" width="9.140625" style="6"/>
  </cols>
  <sheetData>
    <row r="1" spans="1:5" ht="20.100000000000001" customHeight="1" x14ac:dyDescent="0.25">
      <c r="A1" s="128" t="s">
        <v>139</v>
      </c>
      <c r="B1" s="554"/>
      <c r="C1" s="554"/>
      <c r="D1" s="555"/>
      <c r="E1" s="762" t="s">
        <v>242</v>
      </c>
    </row>
    <row r="2" spans="1:5" ht="20.100000000000001" customHeight="1" x14ac:dyDescent="0.25">
      <c r="A2" s="556" t="s">
        <v>590</v>
      </c>
      <c r="B2" s="554"/>
      <c r="C2" s="554"/>
      <c r="D2" s="557" t="s">
        <v>549</v>
      </c>
    </row>
    <row r="3" spans="1:5" ht="20.100000000000001" customHeight="1" x14ac:dyDescent="0.25">
      <c r="A3" s="1146" t="s">
        <v>895</v>
      </c>
      <c r="B3" s="1146"/>
      <c r="C3" s="1146"/>
      <c r="D3" s="1146"/>
      <c r="E3" s="1146"/>
    </row>
    <row r="4" spans="1:5" ht="13.5" thickBot="1" x14ac:dyDescent="0.25">
      <c r="A4" s="558"/>
      <c r="B4" s="558"/>
      <c r="C4" s="558"/>
      <c r="D4" s="559"/>
      <c r="E4" s="559"/>
    </row>
    <row r="5" spans="1:5" ht="37.5" customHeight="1" thickTop="1" x14ac:dyDescent="0.2">
      <c r="A5" s="809" t="s">
        <v>0</v>
      </c>
      <c r="B5" s="810" t="s">
        <v>37</v>
      </c>
      <c r="C5" s="810" t="s">
        <v>114</v>
      </c>
      <c r="D5" s="810" t="s">
        <v>38</v>
      </c>
      <c r="E5" s="811" t="s">
        <v>2</v>
      </c>
    </row>
    <row r="6" spans="1:5" ht="33" customHeight="1" x14ac:dyDescent="0.2">
      <c r="A6" s="812" t="s">
        <v>7</v>
      </c>
      <c r="B6" s="803" t="s">
        <v>82</v>
      </c>
      <c r="C6" s="813"/>
      <c r="D6" s="828"/>
      <c r="E6" s="814"/>
    </row>
    <row r="7" spans="1:5" ht="18.75" customHeight="1" x14ac:dyDescent="0.2">
      <c r="A7" s="815">
        <v>1</v>
      </c>
      <c r="B7" s="816" t="s">
        <v>84</v>
      </c>
      <c r="C7" s="816"/>
      <c r="D7" s="829"/>
      <c r="E7" s="817"/>
    </row>
    <row r="8" spans="1:5" ht="50.1" customHeight="1" x14ac:dyDescent="0.2">
      <c r="A8" s="477" t="s">
        <v>392</v>
      </c>
      <c r="B8" s="419" t="s">
        <v>652</v>
      </c>
      <c r="C8" s="419" t="s">
        <v>653</v>
      </c>
      <c r="D8" s="830">
        <v>1500000</v>
      </c>
      <c r="E8" s="818">
        <v>0.5</v>
      </c>
    </row>
    <row r="9" spans="1:5" ht="18.75" customHeight="1" x14ac:dyDescent="0.2">
      <c r="A9" s="815">
        <v>2</v>
      </c>
      <c r="B9" s="816" t="s">
        <v>83</v>
      </c>
      <c r="C9" s="816"/>
      <c r="D9" s="829"/>
      <c r="E9" s="817"/>
    </row>
    <row r="10" spans="1:5" ht="45.95" customHeight="1" x14ac:dyDescent="0.2">
      <c r="A10" s="477">
        <v>2.1</v>
      </c>
      <c r="B10" s="419" t="s">
        <v>591</v>
      </c>
      <c r="C10" s="420" t="s">
        <v>296</v>
      </c>
      <c r="D10" s="421">
        <v>150000</v>
      </c>
      <c r="E10" s="818">
        <v>0.5</v>
      </c>
    </row>
    <row r="11" spans="1:5" ht="45.95" customHeight="1" x14ac:dyDescent="0.2">
      <c r="A11" s="477" t="s">
        <v>896</v>
      </c>
      <c r="B11" s="419" t="s">
        <v>725</v>
      </c>
      <c r="C11" s="420" t="s">
        <v>762</v>
      </c>
      <c r="D11" s="421">
        <v>200000</v>
      </c>
      <c r="E11" s="478"/>
    </row>
    <row r="12" spans="1:5" ht="45.95" customHeight="1" x14ac:dyDescent="0.2">
      <c r="A12" s="477">
        <v>2.2999999999999998</v>
      </c>
      <c r="B12" s="419" t="s">
        <v>726</v>
      </c>
      <c r="C12" s="420" t="s">
        <v>897</v>
      </c>
      <c r="D12" s="421">
        <v>200000</v>
      </c>
      <c r="E12" s="478"/>
    </row>
    <row r="13" spans="1:5" ht="45.95" customHeight="1" x14ac:dyDescent="0.2">
      <c r="A13" s="804">
        <v>2.4</v>
      </c>
      <c r="B13" s="806" t="s">
        <v>898</v>
      </c>
      <c r="C13" s="806" t="s">
        <v>899</v>
      </c>
      <c r="D13" s="831">
        <v>175000</v>
      </c>
      <c r="E13" s="819">
        <v>0.5</v>
      </c>
    </row>
    <row r="14" spans="1:5" ht="18.75" customHeight="1" x14ac:dyDescent="0.2">
      <c r="D14" s="832"/>
      <c r="E14" s="832"/>
    </row>
    <row r="15" spans="1:5" ht="18.75" customHeight="1" x14ac:dyDescent="0.2">
      <c r="A15" s="815">
        <v>3</v>
      </c>
      <c r="B15" s="816" t="s">
        <v>85</v>
      </c>
      <c r="C15" s="816"/>
      <c r="D15" s="829"/>
      <c r="E15" s="817"/>
    </row>
    <row r="16" spans="1:5" ht="33.75" customHeight="1" x14ac:dyDescent="0.2">
      <c r="A16" s="820" t="s">
        <v>8</v>
      </c>
      <c r="B16" s="821" t="s">
        <v>115</v>
      </c>
      <c r="C16" s="821"/>
      <c r="D16" s="833"/>
      <c r="E16" s="822"/>
    </row>
    <row r="17" spans="1:5" ht="18.75" customHeight="1" x14ac:dyDescent="0.2">
      <c r="A17" s="802" t="s">
        <v>25</v>
      </c>
      <c r="B17" s="803" t="s">
        <v>900</v>
      </c>
      <c r="C17" s="803"/>
      <c r="D17" s="834"/>
      <c r="E17" s="823"/>
    </row>
    <row r="18" spans="1:5" ht="30" x14ac:dyDescent="0.2">
      <c r="A18" s="477">
        <v>3.1</v>
      </c>
      <c r="B18" s="419" t="s">
        <v>901</v>
      </c>
      <c r="C18" s="419" t="s">
        <v>902</v>
      </c>
      <c r="D18" s="830">
        <v>3000</v>
      </c>
      <c r="E18" s="560"/>
    </row>
    <row r="19" spans="1:5" ht="45" x14ac:dyDescent="0.2">
      <c r="A19" s="477">
        <v>3.2</v>
      </c>
      <c r="B19" s="419" t="s">
        <v>903</v>
      </c>
      <c r="C19" s="419" t="s">
        <v>904</v>
      </c>
      <c r="D19" s="830">
        <v>8000</v>
      </c>
      <c r="E19" s="560"/>
    </row>
    <row r="20" spans="1:5" ht="24.95" customHeight="1" x14ac:dyDescent="0.2">
      <c r="A20" s="802" t="s">
        <v>36</v>
      </c>
      <c r="B20" s="803" t="s">
        <v>905</v>
      </c>
      <c r="C20" s="803"/>
      <c r="D20" s="834"/>
      <c r="E20" s="823"/>
    </row>
    <row r="21" spans="1:5" ht="33" customHeight="1" x14ac:dyDescent="0.2">
      <c r="A21" s="804">
        <v>4.0999999999999996</v>
      </c>
      <c r="B21" s="805" t="s">
        <v>906</v>
      </c>
      <c r="C21" s="806" t="s">
        <v>907</v>
      </c>
      <c r="D21" s="831">
        <v>26000</v>
      </c>
      <c r="E21" s="823"/>
    </row>
    <row r="22" spans="1:5" ht="33" customHeight="1" x14ac:dyDescent="0.2">
      <c r="A22" s="804">
        <v>4.2</v>
      </c>
      <c r="B22" s="805" t="s">
        <v>908</v>
      </c>
      <c r="C22" s="806" t="s">
        <v>909</v>
      </c>
      <c r="D22" s="831">
        <v>15000</v>
      </c>
      <c r="E22" s="823"/>
    </row>
    <row r="23" spans="1:5" ht="33" customHeight="1" x14ac:dyDescent="0.2">
      <c r="A23" s="804">
        <v>4.3</v>
      </c>
      <c r="B23" s="805" t="s">
        <v>910</v>
      </c>
      <c r="C23" s="806" t="s">
        <v>911</v>
      </c>
      <c r="D23" s="831">
        <v>25000</v>
      </c>
      <c r="E23" s="823"/>
    </row>
    <row r="24" spans="1:5" ht="33" customHeight="1" x14ac:dyDescent="0.2">
      <c r="A24" s="804">
        <v>4.4000000000000004</v>
      </c>
      <c r="B24" s="805" t="s">
        <v>912</v>
      </c>
      <c r="C24" s="806" t="s">
        <v>913</v>
      </c>
      <c r="D24" s="831">
        <v>21000</v>
      </c>
      <c r="E24" s="823"/>
    </row>
    <row r="25" spans="1:5" ht="33" customHeight="1" x14ac:dyDescent="0.2">
      <c r="A25" s="804">
        <v>4.5</v>
      </c>
      <c r="B25" s="805" t="s">
        <v>914</v>
      </c>
      <c r="C25" s="806" t="s">
        <v>915</v>
      </c>
      <c r="D25" s="831">
        <v>24000</v>
      </c>
      <c r="E25" s="823"/>
    </row>
    <row r="26" spans="1:5" ht="33" customHeight="1" x14ac:dyDescent="0.2">
      <c r="A26" s="807">
        <v>4.5999999999999996</v>
      </c>
      <c r="B26" s="808" t="s">
        <v>916</v>
      </c>
      <c r="C26" s="808" t="s">
        <v>799</v>
      </c>
      <c r="D26" s="835">
        <v>20000</v>
      </c>
      <c r="E26" s="824"/>
    </row>
    <row r="27" spans="1:5" ht="18.75" customHeight="1" x14ac:dyDescent="0.2">
      <c r="A27" s="802" t="s">
        <v>40</v>
      </c>
      <c r="B27" s="803" t="s">
        <v>510</v>
      </c>
      <c r="C27" s="803"/>
      <c r="D27" s="834"/>
      <c r="E27" s="823"/>
    </row>
    <row r="28" spans="1:5" ht="15.75" thickBot="1" x14ac:dyDescent="0.25">
      <c r="A28" s="825"/>
      <c r="B28" s="826" t="s">
        <v>24</v>
      </c>
      <c r="C28" s="826"/>
      <c r="D28" s="836">
        <f>SUM(D8:D26)</f>
        <v>2367000</v>
      </c>
      <c r="E28" s="827"/>
    </row>
    <row r="29" spans="1:5" ht="15.75" thickTop="1" x14ac:dyDescent="0.25">
      <c r="A29" s="761"/>
      <c r="B29" s="561"/>
      <c r="C29" s="1147" t="s">
        <v>917</v>
      </c>
      <c r="D29" s="1147"/>
      <c r="E29" s="1147"/>
    </row>
    <row r="30" spans="1:5" ht="23.1" customHeight="1" x14ac:dyDescent="0.2">
      <c r="B30" s="837" t="s">
        <v>919</v>
      </c>
      <c r="C30" s="1148" t="s">
        <v>116</v>
      </c>
      <c r="D30" s="1148"/>
      <c r="E30" s="1148"/>
    </row>
    <row r="31" spans="1:5" ht="42.75" customHeight="1" x14ac:dyDescent="0.2"/>
    <row r="32" spans="1:5" x14ac:dyDescent="0.2">
      <c r="A32" s="5"/>
      <c r="B32" s="7"/>
      <c r="C32" s="7"/>
      <c r="D32" s="562"/>
    </row>
    <row r="33" spans="1:5" x14ac:dyDescent="0.2">
      <c r="A33" s="5"/>
      <c r="B33" s="7"/>
      <c r="C33" s="7"/>
      <c r="D33" s="562"/>
    </row>
    <row r="34" spans="1:5" x14ac:dyDescent="0.2">
      <c r="A34" s="5"/>
      <c r="B34" s="7"/>
      <c r="C34" s="1150" t="s">
        <v>1076</v>
      </c>
      <c r="D34" s="1150"/>
      <c r="E34" s="1150"/>
    </row>
    <row r="35" spans="1:5" ht="15.75" x14ac:dyDescent="0.25">
      <c r="A35" s="1149" t="s">
        <v>918</v>
      </c>
      <c r="B35" s="1149"/>
      <c r="C35" s="1149"/>
      <c r="D35" s="1149"/>
      <c r="E35" s="1149"/>
    </row>
  </sheetData>
  <mergeCells count="5">
    <mergeCell ref="A3:E3"/>
    <mergeCell ref="C29:E29"/>
    <mergeCell ref="C30:E30"/>
    <mergeCell ref="A35:E35"/>
    <mergeCell ref="C34:E34"/>
  </mergeCells>
  <pageMargins left="0.35" right="0.4" top="0.47" bottom="0.75" header="0.47"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workbookViewId="0">
      <selection activeCell="F30" sqref="F30"/>
    </sheetView>
  </sheetViews>
  <sheetFormatPr defaultColWidth="8.85546875" defaultRowHeight="12.75" x14ac:dyDescent="0.2"/>
  <cols>
    <col min="1" max="1" width="5.42578125" style="1" customWidth="1"/>
    <col min="2" max="2" width="31.42578125" style="2" customWidth="1"/>
    <col min="3" max="3" width="8.42578125" style="2" customWidth="1"/>
    <col min="4" max="6" width="9.28515625" style="2" customWidth="1"/>
    <col min="7" max="8" width="9.28515625" customWidth="1"/>
  </cols>
  <sheetData>
    <row r="1" spans="1:13" ht="14.25" customHeight="1" x14ac:dyDescent="0.25">
      <c r="A1" s="1047" t="s">
        <v>3</v>
      </c>
      <c r="B1" s="1047"/>
      <c r="C1" s="10"/>
      <c r="D1" s="10"/>
      <c r="E1" s="10"/>
      <c r="F1" s="10"/>
      <c r="G1" s="746" t="s">
        <v>246</v>
      </c>
      <c r="H1" s="746"/>
      <c r="J1" s="6"/>
      <c r="K1" s="6"/>
      <c r="L1" s="6"/>
      <c r="M1" s="6"/>
    </row>
    <row r="2" spans="1:13" x14ac:dyDescent="0.2">
      <c r="A2" s="1048" t="s">
        <v>607</v>
      </c>
      <c r="B2" s="1048"/>
      <c r="C2" s="10"/>
      <c r="D2" s="10"/>
      <c r="E2" s="10"/>
      <c r="F2" s="10"/>
      <c r="G2" s="10"/>
      <c r="H2" s="11"/>
      <c r="I2" s="11"/>
      <c r="J2" s="6"/>
      <c r="K2" s="6"/>
      <c r="L2" s="6"/>
      <c r="M2" s="6"/>
    </row>
    <row r="3" spans="1:13" x14ac:dyDescent="0.2">
      <c r="A3" s="1046" t="s">
        <v>838</v>
      </c>
      <c r="B3" s="1046"/>
      <c r="C3" s="1046"/>
      <c r="D3" s="1046"/>
      <c r="E3" s="1046"/>
      <c r="F3" s="1046"/>
      <c r="G3" s="1046"/>
      <c r="H3" s="1046"/>
      <c r="I3" s="1046"/>
      <c r="J3" s="6"/>
      <c r="K3" s="6"/>
      <c r="L3" s="6"/>
      <c r="M3" s="6"/>
    </row>
    <row r="4" spans="1:13" ht="13.5" thickBot="1" x14ac:dyDescent="0.25">
      <c r="A4" s="58"/>
      <c r="B4" s="58"/>
      <c r="C4" s="58"/>
      <c r="D4" s="58"/>
      <c r="E4" s="58"/>
      <c r="F4" s="1049" t="s">
        <v>606</v>
      </c>
      <c r="G4" s="1049"/>
      <c r="H4" s="1049"/>
      <c r="J4" s="6"/>
      <c r="K4" s="6"/>
      <c r="L4" s="6"/>
      <c r="M4" s="6"/>
    </row>
    <row r="5" spans="1:13" ht="37.5" customHeight="1" thickTop="1" x14ac:dyDescent="0.2">
      <c r="A5" s="59" t="s">
        <v>0</v>
      </c>
      <c r="B5" s="60" t="s">
        <v>41</v>
      </c>
      <c r="C5" s="60" t="s">
        <v>1</v>
      </c>
      <c r="D5" s="185" t="s">
        <v>249</v>
      </c>
      <c r="E5" s="185" t="s">
        <v>250</v>
      </c>
      <c r="F5" s="185" t="s">
        <v>251</v>
      </c>
      <c r="G5" s="60" t="s">
        <v>70</v>
      </c>
      <c r="H5" s="61" t="s">
        <v>2</v>
      </c>
      <c r="I5" s="11"/>
      <c r="J5" s="6"/>
      <c r="K5" s="6"/>
      <c r="L5" s="6"/>
      <c r="M5" s="6"/>
    </row>
    <row r="6" spans="1:13" s="1" customFormat="1" x14ac:dyDescent="0.2">
      <c r="A6" s="62" t="s">
        <v>117</v>
      </c>
      <c r="B6" s="57" t="s">
        <v>118</v>
      </c>
      <c r="C6" s="57" t="s">
        <v>119</v>
      </c>
      <c r="D6" s="57" t="s">
        <v>120</v>
      </c>
      <c r="E6" s="57" t="s">
        <v>121</v>
      </c>
      <c r="F6" s="57" t="s">
        <v>122</v>
      </c>
      <c r="G6" s="57" t="s">
        <v>123</v>
      </c>
      <c r="H6" s="63" t="s">
        <v>124</v>
      </c>
      <c r="I6" s="53"/>
      <c r="J6" s="5"/>
      <c r="K6" s="5"/>
      <c r="L6" s="5"/>
      <c r="M6" s="5"/>
    </row>
    <row r="7" spans="1:13" s="1" customFormat="1" x14ac:dyDescent="0.2">
      <c r="A7" s="173" t="s">
        <v>6</v>
      </c>
      <c r="B7" s="186" t="s">
        <v>216</v>
      </c>
      <c r="C7" s="179"/>
      <c r="D7" s="179">
        <f>D8+D42</f>
        <v>6116</v>
      </c>
      <c r="E7" s="179">
        <f t="shared" ref="E7:F7" si="0">E8+E42</f>
        <v>4034</v>
      </c>
      <c r="F7" s="179">
        <f t="shared" si="0"/>
        <v>742</v>
      </c>
      <c r="G7" s="179">
        <f>SUM(D7:F7)</f>
        <v>10892</v>
      </c>
      <c r="H7" s="180"/>
      <c r="I7" s="169"/>
      <c r="J7" s="5"/>
      <c r="K7" s="5"/>
      <c r="L7" s="5"/>
      <c r="M7" s="5"/>
    </row>
    <row r="8" spans="1:13" s="3" customFormat="1" x14ac:dyDescent="0.2">
      <c r="A8" s="173" t="s">
        <v>6</v>
      </c>
      <c r="B8" s="23" t="s">
        <v>216</v>
      </c>
      <c r="C8" s="17"/>
      <c r="D8" s="183">
        <f>D9+D17+D23+D30+D35+D40</f>
        <v>814</v>
      </c>
      <c r="E8" s="183">
        <f t="shared" ref="E8:F8" si="1">E9+E17+E23+E30+E35+E40</f>
        <v>776</v>
      </c>
      <c r="F8" s="183">
        <f t="shared" si="1"/>
        <v>662</v>
      </c>
      <c r="G8" s="179">
        <f>SUM(D8:F8)</f>
        <v>2252</v>
      </c>
      <c r="H8" s="65"/>
      <c r="I8" s="12"/>
      <c r="J8" s="8"/>
      <c r="K8" s="8"/>
      <c r="L8" s="8"/>
      <c r="M8" s="8"/>
    </row>
    <row r="9" spans="1:13" s="41" customFormat="1" ht="32.25" customHeight="1" x14ac:dyDescent="0.2">
      <c r="A9" s="64" t="s">
        <v>7</v>
      </c>
      <c r="B9" s="763" t="s">
        <v>4</v>
      </c>
      <c r="C9" s="79" t="s">
        <v>69</v>
      </c>
      <c r="D9" s="770">
        <f>D10+D16</f>
        <v>763</v>
      </c>
      <c r="E9" s="770">
        <f t="shared" ref="E9:F9" si="2">E10+E16</f>
        <v>741</v>
      </c>
      <c r="F9" s="770">
        <f t="shared" si="2"/>
        <v>132</v>
      </c>
      <c r="G9" s="179">
        <f>SUM(D9:F9)</f>
        <v>1636</v>
      </c>
      <c r="H9" s="80"/>
      <c r="I9" s="13"/>
      <c r="J9" s="9"/>
      <c r="K9" s="9"/>
      <c r="L9" s="9"/>
      <c r="M9" s="9"/>
    </row>
    <row r="10" spans="1:13" s="41" customFormat="1" x14ac:dyDescent="0.2">
      <c r="A10" s="77" t="s">
        <v>126</v>
      </c>
      <c r="B10" s="78" t="s">
        <v>839</v>
      </c>
      <c r="C10" s="79" t="s">
        <v>69</v>
      </c>
      <c r="D10" s="770">
        <f>SUM(D11:D15)</f>
        <v>643</v>
      </c>
      <c r="E10" s="770">
        <f>SUM(E11:E15)</f>
        <v>641</v>
      </c>
      <c r="F10" s="770">
        <f t="shared" ref="F10" si="3">SUM(F11:F15)</f>
        <v>82</v>
      </c>
      <c r="G10" s="111">
        <f>SUM(D10:F10)</f>
        <v>1366</v>
      </c>
      <c r="H10" s="80"/>
      <c r="I10" s="13"/>
      <c r="J10" s="9"/>
      <c r="K10" s="9"/>
      <c r="L10" s="9"/>
      <c r="M10" s="9"/>
    </row>
    <row r="11" spans="1:13" s="41" customFormat="1" x14ac:dyDescent="0.2">
      <c r="A11" s="77"/>
      <c r="B11" s="78" t="s">
        <v>840</v>
      </c>
      <c r="C11" s="79" t="s">
        <v>69</v>
      </c>
      <c r="D11" s="769">
        <v>67</v>
      </c>
      <c r="E11" s="769">
        <v>67</v>
      </c>
      <c r="F11" s="769">
        <v>29</v>
      </c>
      <c r="G11" s="79">
        <f t="shared" ref="G11:G16" si="4">SUM(D11:F11)</f>
        <v>163</v>
      </c>
      <c r="H11" s="80"/>
      <c r="I11" s="13"/>
      <c r="J11" s="9"/>
      <c r="K11" s="9"/>
      <c r="L11" s="9"/>
      <c r="M11" s="9"/>
    </row>
    <row r="12" spans="1:13" s="41" customFormat="1" x14ac:dyDescent="0.2">
      <c r="A12" s="77"/>
      <c r="B12" s="78" t="s">
        <v>841</v>
      </c>
      <c r="C12" s="79" t="s">
        <v>69</v>
      </c>
      <c r="D12" s="184">
        <v>0</v>
      </c>
      <c r="E12" s="184">
        <v>0</v>
      </c>
      <c r="F12" s="184">
        <v>0</v>
      </c>
      <c r="G12" s="79">
        <f t="shared" si="4"/>
        <v>0</v>
      </c>
      <c r="H12" s="80"/>
      <c r="I12" s="13"/>
      <c r="J12" s="9"/>
      <c r="K12" s="9"/>
      <c r="L12" s="9"/>
      <c r="M12" s="9"/>
    </row>
    <row r="13" spans="1:13" s="41" customFormat="1" x14ac:dyDescent="0.2">
      <c r="A13" s="77"/>
      <c r="B13" s="78" t="s">
        <v>151</v>
      </c>
      <c r="C13" s="79" t="s">
        <v>69</v>
      </c>
      <c r="D13" s="184">
        <v>224</v>
      </c>
      <c r="E13" s="184">
        <v>269</v>
      </c>
      <c r="F13" s="184">
        <v>0</v>
      </c>
      <c r="G13" s="79">
        <f t="shared" si="4"/>
        <v>493</v>
      </c>
      <c r="H13" s="80"/>
      <c r="I13" s="13"/>
      <c r="J13" s="9"/>
      <c r="K13" s="9"/>
      <c r="L13" s="9"/>
      <c r="M13" s="9"/>
    </row>
    <row r="14" spans="1:13" s="41" customFormat="1" x14ac:dyDescent="0.2">
      <c r="A14" s="77"/>
      <c r="B14" s="78" t="s">
        <v>608</v>
      </c>
      <c r="C14" s="79" t="s">
        <v>69</v>
      </c>
      <c r="D14" s="79">
        <v>151</v>
      </c>
      <c r="E14" s="79">
        <v>123</v>
      </c>
      <c r="F14" s="253">
        <v>31</v>
      </c>
      <c r="G14" s="79">
        <f t="shared" si="4"/>
        <v>305</v>
      </c>
      <c r="H14" s="80"/>
      <c r="I14" s="13"/>
      <c r="J14" s="9"/>
      <c r="K14" s="9"/>
      <c r="L14" s="9"/>
      <c r="M14" s="9"/>
    </row>
    <row r="15" spans="1:13" s="41" customFormat="1" x14ac:dyDescent="0.2">
      <c r="A15" s="77"/>
      <c r="B15" s="78" t="s">
        <v>837</v>
      </c>
      <c r="C15" s="79" t="s">
        <v>69</v>
      </c>
      <c r="D15" s="204">
        <v>201</v>
      </c>
      <c r="E15" s="204">
        <v>182</v>
      </c>
      <c r="F15" s="204">
        <v>22</v>
      </c>
      <c r="G15" s="79">
        <f t="shared" si="4"/>
        <v>405</v>
      </c>
      <c r="H15" s="80"/>
      <c r="I15" s="13"/>
      <c r="J15" s="9"/>
      <c r="K15" s="9"/>
      <c r="L15" s="9"/>
      <c r="M15" s="9"/>
    </row>
    <row r="16" spans="1:13" s="41" customFormat="1" ht="25.5" x14ac:dyDescent="0.2">
      <c r="A16" s="77" t="s">
        <v>614</v>
      </c>
      <c r="B16" s="78" t="s">
        <v>842</v>
      </c>
      <c r="C16" s="79"/>
      <c r="D16" s="111">
        <v>120</v>
      </c>
      <c r="E16" s="111">
        <v>100</v>
      </c>
      <c r="F16" s="111">
        <v>50</v>
      </c>
      <c r="G16" s="111">
        <f t="shared" si="4"/>
        <v>270</v>
      </c>
      <c r="H16" s="80"/>
      <c r="I16" s="13"/>
      <c r="J16" s="9"/>
      <c r="K16" s="9"/>
      <c r="L16" s="9"/>
      <c r="M16" s="9"/>
    </row>
    <row r="17" spans="1:13" s="41" customFormat="1" x14ac:dyDescent="0.2">
      <c r="A17" s="83" t="s">
        <v>8</v>
      </c>
      <c r="B17" s="764" t="s">
        <v>220</v>
      </c>
      <c r="C17" s="79" t="s">
        <v>67</v>
      </c>
      <c r="D17" s="771">
        <f>D18+D22</f>
        <v>51</v>
      </c>
      <c r="E17" s="771">
        <f t="shared" ref="E17:F17" si="5">E18+E22</f>
        <v>35</v>
      </c>
      <c r="F17" s="771">
        <f t="shared" si="5"/>
        <v>499</v>
      </c>
      <c r="G17" s="79">
        <f>SUM(D17:F17)</f>
        <v>585</v>
      </c>
      <c r="H17" s="80"/>
      <c r="I17" s="13"/>
      <c r="J17" s="9"/>
      <c r="K17" s="9"/>
      <c r="L17" s="9"/>
      <c r="M17" s="9"/>
    </row>
    <row r="18" spans="1:13" s="41" customFormat="1" ht="25.5" x14ac:dyDescent="0.2">
      <c r="A18" s="77" t="s">
        <v>126</v>
      </c>
      <c r="B18" s="78" t="s">
        <v>843</v>
      </c>
      <c r="C18" s="79" t="s">
        <v>67</v>
      </c>
      <c r="D18" s="111">
        <f>SUM(D19:D21)</f>
        <v>31</v>
      </c>
      <c r="E18" s="111">
        <f t="shared" ref="E18:F18" si="6">SUM(E19:E21)</f>
        <v>15</v>
      </c>
      <c r="F18" s="111">
        <f t="shared" si="6"/>
        <v>399</v>
      </c>
      <c r="G18" s="111">
        <f t="shared" ref="G18:G20" si="7">SUM(D18:F18)</f>
        <v>445</v>
      </c>
      <c r="H18" s="80"/>
      <c r="I18" s="13"/>
      <c r="J18" s="9"/>
      <c r="K18" s="9"/>
      <c r="L18" s="9"/>
      <c r="M18" s="9"/>
    </row>
    <row r="19" spans="1:13" s="41" customFormat="1" ht="25.5" x14ac:dyDescent="0.2">
      <c r="A19" s="77"/>
      <c r="B19" s="78" t="s">
        <v>844</v>
      </c>
      <c r="C19" s="79" t="s">
        <v>67</v>
      </c>
      <c r="D19" s="79">
        <v>8</v>
      </c>
      <c r="E19" s="79">
        <v>8</v>
      </c>
      <c r="F19" s="79">
        <v>0</v>
      </c>
      <c r="G19" s="79">
        <f t="shared" si="7"/>
        <v>16</v>
      </c>
      <c r="H19" s="80"/>
      <c r="I19" s="13"/>
      <c r="J19" s="9"/>
      <c r="K19" s="9"/>
      <c r="L19" s="9"/>
      <c r="M19" s="9"/>
    </row>
    <row r="20" spans="1:13" s="41" customFormat="1" x14ac:dyDescent="0.2">
      <c r="A20" s="77"/>
      <c r="B20" s="78" t="s">
        <v>609</v>
      </c>
      <c r="C20" s="79" t="s">
        <v>67</v>
      </c>
      <c r="D20" s="79">
        <v>23</v>
      </c>
      <c r="E20" s="79">
        <v>7</v>
      </c>
      <c r="F20" s="79">
        <v>272</v>
      </c>
      <c r="G20" s="79">
        <f t="shared" si="7"/>
        <v>302</v>
      </c>
      <c r="H20" s="80"/>
      <c r="I20" s="13"/>
      <c r="J20" s="9"/>
      <c r="K20" s="9"/>
      <c r="L20" s="9"/>
      <c r="M20" s="9"/>
    </row>
    <row r="21" spans="1:13" s="41" customFormat="1" x14ac:dyDescent="0.2">
      <c r="A21" s="77"/>
      <c r="B21" s="78" t="s">
        <v>845</v>
      </c>
      <c r="C21" s="79" t="s">
        <v>67</v>
      </c>
      <c r="D21" s="79">
        <v>0</v>
      </c>
      <c r="E21" s="253">
        <v>0</v>
      </c>
      <c r="F21" s="79">
        <v>127</v>
      </c>
      <c r="G21" s="79">
        <f>D21+E21+F21</f>
        <v>127</v>
      </c>
      <c r="H21" s="80"/>
      <c r="I21" s="13"/>
      <c r="J21" s="9"/>
      <c r="K21" s="9"/>
      <c r="L21" s="9"/>
      <c r="M21" s="9"/>
    </row>
    <row r="22" spans="1:13" s="41" customFormat="1" ht="25.5" x14ac:dyDescent="0.2">
      <c r="A22" s="77" t="s">
        <v>614</v>
      </c>
      <c r="B22" s="78" t="s">
        <v>846</v>
      </c>
      <c r="C22" s="79"/>
      <c r="D22" s="768">
        <v>20</v>
      </c>
      <c r="E22" s="768">
        <v>20</v>
      </c>
      <c r="F22" s="768">
        <v>100</v>
      </c>
      <c r="G22" s="111">
        <f>D22+E22+F22</f>
        <v>140</v>
      </c>
      <c r="H22" s="80"/>
      <c r="I22" s="13"/>
      <c r="J22" s="9"/>
      <c r="K22" s="9"/>
      <c r="L22" s="9"/>
      <c r="M22" s="9"/>
    </row>
    <row r="23" spans="1:13" s="41" customFormat="1" x14ac:dyDescent="0.2">
      <c r="A23" s="83" t="s">
        <v>25</v>
      </c>
      <c r="B23" s="764" t="s">
        <v>68</v>
      </c>
      <c r="C23" s="79" t="s">
        <v>67</v>
      </c>
      <c r="D23" s="111">
        <f>D24+D29</f>
        <v>0</v>
      </c>
      <c r="E23" s="111">
        <f t="shared" ref="E23:F23" si="8">E24+E29</f>
        <v>0</v>
      </c>
      <c r="F23" s="111">
        <f t="shared" si="8"/>
        <v>31</v>
      </c>
      <c r="G23" s="111">
        <f>SUM(D23:F23)</f>
        <v>31</v>
      </c>
      <c r="H23" s="80"/>
      <c r="I23" s="13"/>
      <c r="J23" s="9"/>
      <c r="K23" s="9"/>
      <c r="L23" s="9"/>
      <c r="M23" s="9"/>
    </row>
    <row r="24" spans="1:13" s="41" customFormat="1" ht="25.5" x14ac:dyDescent="0.2">
      <c r="A24" s="77" t="s">
        <v>126</v>
      </c>
      <c r="B24" s="78" t="s">
        <v>847</v>
      </c>
      <c r="C24" s="79"/>
      <c r="D24" s="111">
        <f>SUM(D25:D28)</f>
        <v>0</v>
      </c>
      <c r="E24" s="111">
        <f t="shared" ref="E24:F24" si="9">SUM(E25:E28)</f>
        <v>0</v>
      </c>
      <c r="F24" s="111">
        <f t="shared" si="9"/>
        <v>28</v>
      </c>
      <c r="G24" s="79">
        <f>SUM(D24:F24)</f>
        <v>28</v>
      </c>
      <c r="H24" s="80"/>
      <c r="I24" s="13"/>
      <c r="J24" s="9"/>
      <c r="K24" s="9"/>
      <c r="L24" s="9"/>
      <c r="M24" s="9"/>
    </row>
    <row r="25" spans="1:13" s="41" customFormat="1" x14ac:dyDescent="0.2">
      <c r="A25" s="77"/>
      <c r="B25" s="78" t="s">
        <v>848</v>
      </c>
      <c r="C25" s="79"/>
      <c r="D25" s="79">
        <v>0</v>
      </c>
      <c r="E25" s="79">
        <v>0</v>
      </c>
      <c r="F25" s="79">
        <v>3</v>
      </c>
      <c r="G25" s="79">
        <f t="shared" ref="G25:G28" si="10">SUM(D25:F25)</f>
        <v>3</v>
      </c>
      <c r="H25" s="80"/>
      <c r="I25" s="13"/>
      <c r="J25" s="9"/>
      <c r="K25" s="9"/>
      <c r="L25" s="9"/>
      <c r="M25" s="9"/>
    </row>
    <row r="26" spans="1:13" s="41" customFormat="1" x14ac:dyDescent="0.2">
      <c r="A26" s="77"/>
      <c r="B26" s="78" t="s">
        <v>610</v>
      </c>
      <c r="C26" s="79"/>
      <c r="D26" s="79">
        <v>0</v>
      </c>
      <c r="E26" s="79">
        <v>0</v>
      </c>
      <c r="F26" s="79">
        <v>8</v>
      </c>
      <c r="G26" s="79">
        <f t="shared" si="10"/>
        <v>8</v>
      </c>
      <c r="H26" s="80"/>
      <c r="I26" s="13"/>
      <c r="J26" s="9"/>
      <c r="K26" s="9"/>
      <c r="L26" s="9"/>
      <c r="M26" s="9"/>
    </row>
    <row r="27" spans="1:13" s="41" customFormat="1" x14ac:dyDescent="0.2">
      <c r="A27" s="77"/>
      <c r="B27" s="78" t="s">
        <v>611</v>
      </c>
      <c r="C27" s="79"/>
      <c r="D27" s="79">
        <v>0</v>
      </c>
      <c r="E27" s="79">
        <v>0</v>
      </c>
      <c r="F27" s="79">
        <v>12</v>
      </c>
      <c r="G27" s="79">
        <f t="shared" si="10"/>
        <v>12</v>
      </c>
      <c r="H27" s="80"/>
      <c r="I27" s="13"/>
      <c r="J27" s="9"/>
      <c r="K27" s="9"/>
      <c r="L27" s="9"/>
      <c r="M27" s="9"/>
    </row>
    <row r="28" spans="1:13" s="41" customFormat="1" x14ac:dyDescent="0.2">
      <c r="A28" s="77"/>
      <c r="B28" s="78" t="s">
        <v>849</v>
      </c>
      <c r="C28" s="79" t="s">
        <v>67</v>
      </c>
      <c r="D28" s="79">
        <v>0</v>
      </c>
      <c r="E28" s="79">
        <v>0</v>
      </c>
      <c r="F28" s="79">
        <v>5</v>
      </c>
      <c r="G28" s="79">
        <f t="shared" si="10"/>
        <v>5</v>
      </c>
      <c r="H28" s="80"/>
      <c r="I28" s="13"/>
      <c r="J28" s="9"/>
      <c r="K28" s="9"/>
      <c r="L28" s="9"/>
      <c r="M28" s="9"/>
    </row>
    <row r="29" spans="1:13" s="41" customFormat="1" ht="25.5" x14ac:dyDescent="0.2">
      <c r="A29" s="77" t="s">
        <v>614</v>
      </c>
      <c r="B29" s="78" t="s">
        <v>850</v>
      </c>
      <c r="C29" s="79" t="s">
        <v>221</v>
      </c>
      <c r="D29" s="111">
        <f>D30+D33</f>
        <v>0</v>
      </c>
      <c r="E29" s="111">
        <f>E30+E33</f>
        <v>0</v>
      </c>
      <c r="F29" s="111">
        <v>3</v>
      </c>
      <c r="G29" s="111">
        <f>G30+G33</f>
        <v>0</v>
      </c>
      <c r="H29" s="80"/>
      <c r="I29" s="13"/>
      <c r="J29" s="9"/>
      <c r="K29" s="9"/>
      <c r="L29" s="9"/>
      <c r="M29" s="9"/>
    </row>
    <row r="30" spans="1:13" s="41" customFormat="1" x14ac:dyDescent="0.2">
      <c r="A30" s="83" t="s">
        <v>36</v>
      </c>
      <c r="B30" s="174" t="s">
        <v>217</v>
      </c>
      <c r="C30" s="79">
        <f>C31+C32</f>
        <v>0</v>
      </c>
      <c r="D30" s="79">
        <f>D31+D32</f>
        <v>0</v>
      </c>
      <c r="E30" s="79">
        <f>E31+E32</f>
        <v>0</v>
      </c>
      <c r="F30" s="79">
        <f>F31+F32</f>
        <v>0</v>
      </c>
      <c r="G30" s="79">
        <f>G31+G32</f>
        <v>0</v>
      </c>
      <c r="H30" s="80"/>
      <c r="I30" s="13"/>
      <c r="J30" s="9"/>
      <c r="K30" s="9"/>
      <c r="L30" s="9"/>
      <c r="M30" s="9"/>
    </row>
    <row r="31" spans="1:13" s="41" customFormat="1" ht="25.5" x14ac:dyDescent="0.2">
      <c r="A31" s="77" t="s">
        <v>126</v>
      </c>
      <c r="B31" s="78" t="s">
        <v>851</v>
      </c>
      <c r="C31" s="79"/>
      <c r="D31" s="79"/>
      <c r="E31" s="79"/>
      <c r="F31" s="79"/>
      <c r="G31" s="79"/>
      <c r="H31" s="80"/>
      <c r="I31" s="13"/>
      <c r="J31" s="9"/>
      <c r="K31" s="9"/>
      <c r="L31" s="9"/>
      <c r="M31" s="9"/>
    </row>
    <row r="32" spans="1:13" s="41" customFormat="1" x14ac:dyDescent="0.2">
      <c r="A32" s="77"/>
      <c r="B32" s="78" t="s">
        <v>612</v>
      </c>
      <c r="C32" s="79"/>
      <c r="D32" s="79"/>
      <c r="E32" s="79"/>
      <c r="F32" s="79"/>
      <c r="G32" s="79"/>
      <c r="H32" s="80"/>
      <c r="I32" s="13"/>
      <c r="J32" s="9"/>
      <c r="K32" s="9"/>
      <c r="L32" s="9"/>
      <c r="M32" s="9"/>
    </row>
    <row r="33" spans="1:13" s="41" customFormat="1" x14ac:dyDescent="0.2">
      <c r="A33" s="77"/>
      <c r="B33" s="78" t="s">
        <v>852</v>
      </c>
      <c r="C33" s="79">
        <v>0</v>
      </c>
      <c r="D33" s="79">
        <v>0</v>
      </c>
      <c r="E33" s="79">
        <v>0</v>
      </c>
      <c r="F33" s="79">
        <v>0</v>
      </c>
      <c r="G33" s="79">
        <v>0</v>
      </c>
      <c r="H33" s="80"/>
      <c r="I33" s="13"/>
      <c r="J33" s="9"/>
      <c r="K33" s="9"/>
      <c r="L33" s="9"/>
      <c r="M33" s="9"/>
    </row>
    <row r="34" spans="1:13" s="41" customFormat="1" ht="25.5" x14ac:dyDescent="0.2">
      <c r="A34" s="77" t="s">
        <v>614</v>
      </c>
      <c r="B34" s="78" t="s">
        <v>853</v>
      </c>
      <c r="C34" s="79" t="s">
        <v>221</v>
      </c>
      <c r="D34" s="111">
        <f>D35+D38</f>
        <v>0</v>
      </c>
      <c r="E34" s="111">
        <f>E35+E38</f>
        <v>0</v>
      </c>
      <c r="F34" s="111">
        <f>F35+F38</f>
        <v>0</v>
      </c>
      <c r="G34" s="111">
        <f>G35+G38</f>
        <v>0</v>
      </c>
      <c r="H34" s="111"/>
      <c r="I34" s="13"/>
      <c r="J34" s="9"/>
      <c r="K34" s="9"/>
      <c r="L34" s="9"/>
      <c r="M34" s="9"/>
    </row>
    <row r="35" spans="1:13" s="41" customFormat="1" x14ac:dyDescent="0.2">
      <c r="A35" s="83" t="s">
        <v>40</v>
      </c>
      <c r="B35" s="174" t="s">
        <v>613</v>
      </c>
      <c r="C35" s="79">
        <f t="shared" ref="C35:G35" si="11">C36+C37</f>
        <v>0</v>
      </c>
      <c r="D35" s="79">
        <f t="shared" si="11"/>
        <v>0</v>
      </c>
      <c r="E35" s="79">
        <f t="shared" si="11"/>
        <v>0</v>
      </c>
      <c r="F35" s="79">
        <f t="shared" si="11"/>
        <v>0</v>
      </c>
      <c r="G35" s="79">
        <f t="shared" si="11"/>
        <v>0</v>
      </c>
      <c r="H35" s="79"/>
      <c r="I35" s="13"/>
      <c r="J35" s="9"/>
      <c r="K35" s="9"/>
      <c r="L35" s="9"/>
      <c r="M35" s="9"/>
    </row>
    <row r="36" spans="1:13" s="41" customFormat="1" ht="25.5" x14ac:dyDescent="0.2">
      <c r="A36" s="77" t="s">
        <v>126</v>
      </c>
      <c r="B36" s="78" t="s">
        <v>851</v>
      </c>
      <c r="C36" s="79"/>
      <c r="D36" s="79"/>
      <c r="E36" s="79"/>
      <c r="F36" s="79"/>
      <c r="G36" s="79"/>
      <c r="H36" s="79"/>
      <c r="I36" s="13"/>
      <c r="J36" s="9"/>
      <c r="K36" s="9"/>
      <c r="L36" s="9"/>
      <c r="M36" s="9"/>
    </row>
    <row r="37" spans="1:13" s="41" customFormat="1" x14ac:dyDescent="0.2">
      <c r="A37" s="77"/>
      <c r="B37" s="78" t="s">
        <v>612</v>
      </c>
      <c r="C37" s="79"/>
      <c r="D37" s="79"/>
      <c r="E37" s="79"/>
      <c r="F37" s="79"/>
      <c r="G37" s="79"/>
      <c r="H37" s="79"/>
      <c r="I37" s="13"/>
      <c r="J37" s="9"/>
      <c r="K37" s="9"/>
      <c r="L37" s="9"/>
      <c r="M37" s="9"/>
    </row>
    <row r="38" spans="1:13" s="41" customFormat="1" x14ac:dyDescent="0.2">
      <c r="A38" s="77"/>
      <c r="B38" s="78" t="s">
        <v>852</v>
      </c>
      <c r="C38" s="79">
        <v>0</v>
      </c>
      <c r="D38" s="79">
        <v>0</v>
      </c>
      <c r="E38" s="79">
        <v>0</v>
      </c>
      <c r="F38" s="79">
        <v>0</v>
      </c>
      <c r="G38" s="79">
        <v>0</v>
      </c>
      <c r="H38" s="79"/>
      <c r="I38" s="13"/>
      <c r="J38" s="9"/>
      <c r="K38" s="9"/>
      <c r="L38" s="9"/>
      <c r="M38" s="9"/>
    </row>
    <row r="39" spans="1:13" s="41" customFormat="1" ht="25.5" x14ac:dyDescent="0.2">
      <c r="A39" s="77" t="s">
        <v>614</v>
      </c>
      <c r="B39" s="78" t="s">
        <v>853</v>
      </c>
      <c r="C39" s="79" t="s">
        <v>222</v>
      </c>
      <c r="D39" s="79"/>
      <c r="E39" s="79"/>
      <c r="F39" s="79"/>
      <c r="G39" s="79"/>
      <c r="H39" s="80"/>
      <c r="I39" s="13"/>
      <c r="J39" s="9"/>
      <c r="K39" s="9"/>
      <c r="L39" s="9"/>
      <c r="M39" s="9"/>
    </row>
    <row r="40" spans="1:13" s="41" customFormat="1" x14ac:dyDescent="0.2">
      <c r="A40" s="83" t="s">
        <v>615</v>
      </c>
      <c r="B40" s="174" t="s">
        <v>218</v>
      </c>
      <c r="C40" s="79"/>
      <c r="D40" s="79"/>
      <c r="E40" s="79"/>
      <c r="F40" s="79"/>
      <c r="G40" s="79"/>
      <c r="H40" s="80"/>
      <c r="I40" s="13"/>
      <c r="J40" s="9"/>
      <c r="K40" s="9"/>
      <c r="L40" s="9"/>
      <c r="M40" s="9"/>
    </row>
    <row r="41" spans="1:13" s="41" customFormat="1" ht="38.25" x14ac:dyDescent="0.2">
      <c r="A41" s="77"/>
      <c r="B41" s="78" t="s">
        <v>854</v>
      </c>
      <c r="C41" s="79"/>
      <c r="D41" s="79">
        <v>0</v>
      </c>
      <c r="E41" s="79">
        <v>0</v>
      </c>
      <c r="F41" s="79">
        <v>0</v>
      </c>
      <c r="G41" s="79">
        <v>0</v>
      </c>
      <c r="H41" s="80"/>
      <c r="I41" s="13"/>
      <c r="J41" s="9"/>
      <c r="K41" s="9"/>
      <c r="L41" s="9"/>
      <c r="M41" s="9"/>
    </row>
    <row r="42" spans="1:13" s="4" customFormat="1" x14ac:dyDescent="0.2">
      <c r="A42" s="83" t="s">
        <v>19</v>
      </c>
      <c r="B42" s="174" t="s">
        <v>219</v>
      </c>
      <c r="C42" s="79"/>
      <c r="D42" s="111">
        <f>D43+D50+D57</f>
        <v>5302</v>
      </c>
      <c r="E42" s="111">
        <f t="shared" ref="E42:F42" si="12">E43+E50+E57</f>
        <v>3258</v>
      </c>
      <c r="F42" s="111">
        <f t="shared" si="12"/>
        <v>80</v>
      </c>
      <c r="G42" s="111">
        <f>SUM(D42:F42)</f>
        <v>8640</v>
      </c>
      <c r="H42" s="80"/>
      <c r="I42" s="13"/>
      <c r="J42" s="9"/>
      <c r="K42" s="9"/>
      <c r="L42" s="9"/>
      <c r="M42" s="9"/>
    </row>
    <row r="43" spans="1:13" s="4" customFormat="1" ht="27.75" customHeight="1" x14ac:dyDescent="0.2">
      <c r="A43" s="81" t="s">
        <v>7</v>
      </c>
      <c r="B43" s="765" t="s">
        <v>855</v>
      </c>
      <c r="C43" s="79" t="s">
        <v>69</v>
      </c>
      <c r="D43" s="111">
        <f>D44+D49</f>
        <v>5302</v>
      </c>
      <c r="E43" s="111">
        <f t="shared" ref="E43:F43" si="13">E44+E49</f>
        <v>3258</v>
      </c>
      <c r="F43" s="111">
        <f t="shared" si="13"/>
        <v>80</v>
      </c>
      <c r="G43" s="111">
        <f>SUM(D43:F43)</f>
        <v>8640</v>
      </c>
      <c r="H43" s="80"/>
      <c r="I43" s="13"/>
      <c r="J43" s="9"/>
      <c r="K43" s="9"/>
      <c r="L43" s="9"/>
      <c r="M43" s="9"/>
    </row>
    <row r="44" spans="1:13" s="4" customFormat="1" x14ac:dyDescent="0.2">
      <c r="A44" s="82" t="s">
        <v>126</v>
      </c>
      <c r="B44" s="78" t="s">
        <v>839</v>
      </c>
      <c r="C44" s="79" t="s">
        <v>69</v>
      </c>
      <c r="D44" s="111">
        <f>SUM(D45:D48)</f>
        <v>4731</v>
      </c>
      <c r="E44" s="111">
        <f t="shared" ref="E44:F44" si="14">SUM(E45:E48)</f>
        <v>3058</v>
      </c>
      <c r="F44" s="111">
        <f t="shared" si="14"/>
        <v>0</v>
      </c>
      <c r="G44" s="111">
        <f>SUM(D44:E44)</f>
        <v>7789</v>
      </c>
      <c r="H44" s="80"/>
      <c r="I44" s="13"/>
      <c r="J44" s="9"/>
      <c r="K44" s="9"/>
      <c r="L44" s="9"/>
      <c r="M44" s="9"/>
    </row>
    <row r="45" spans="1:13" s="4" customFormat="1" x14ac:dyDescent="0.2">
      <c r="A45" s="82"/>
      <c r="B45" s="78" t="s">
        <v>856</v>
      </c>
      <c r="C45" s="79" t="s">
        <v>69</v>
      </c>
      <c r="D45" s="79">
        <v>114</v>
      </c>
      <c r="E45" s="79">
        <v>0</v>
      </c>
      <c r="F45" s="745"/>
      <c r="G45" s="79">
        <f>SUM(D45:E45)</f>
        <v>114</v>
      </c>
      <c r="H45" s="80"/>
      <c r="I45" s="13"/>
      <c r="J45" s="9"/>
      <c r="K45" s="9"/>
      <c r="L45" s="9"/>
      <c r="M45" s="9"/>
    </row>
    <row r="46" spans="1:13" s="4" customFormat="1" x14ac:dyDescent="0.2">
      <c r="A46" s="82"/>
      <c r="B46" s="78" t="s">
        <v>151</v>
      </c>
      <c r="C46" s="79" t="s">
        <v>69</v>
      </c>
      <c r="D46" s="79">
        <v>841</v>
      </c>
      <c r="E46" s="79">
        <v>179</v>
      </c>
      <c r="F46" s="745"/>
      <c r="G46" s="79">
        <f t="shared" ref="G46:G48" si="15">SUM(D46:E46)</f>
        <v>1020</v>
      </c>
      <c r="H46" s="80"/>
      <c r="I46" s="13"/>
      <c r="J46" s="9"/>
      <c r="K46" s="9"/>
      <c r="L46" s="9"/>
      <c r="M46" s="9"/>
    </row>
    <row r="47" spans="1:13" s="4" customFormat="1" x14ac:dyDescent="0.2">
      <c r="A47" s="82"/>
      <c r="B47" s="78" t="s">
        <v>608</v>
      </c>
      <c r="C47" s="79" t="s">
        <v>69</v>
      </c>
      <c r="D47" s="79">
        <v>1743</v>
      </c>
      <c r="E47" s="79">
        <v>1021</v>
      </c>
      <c r="F47" s="745"/>
      <c r="G47" s="79">
        <f t="shared" si="15"/>
        <v>2764</v>
      </c>
      <c r="H47" s="80"/>
      <c r="I47" s="13"/>
      <c r="J47" s="9"/>
      <c r="K47" s="9"/>
      <c r="L47" s="9"/>
      <c r="M47" s="9"/>
    </row>
    <row r="48" spans="1:13" s="4" customFormat="1" ht="27" customHeight="1" x14ac:dyDescent="0.2">
      <c r="A48" s="82"/>
      <c r="B48" s="78" t="s">
        <v>837</v>
      </c>
      <c r="C48" s="79" t="s">
        <v>69</v>
      </c>
      <c r="D48" s="79">
        <v>2033</v>
      </c>
      <c r="E48" s="79">
        <v>1858</v>
      </c>
      <c r="F48" s="745"/>
      <c r="G48" s="79">
        <f t="shared" si="15"/>
        <v>3891</v>
      </c>
      <c r="H48" s="80"/>
      <c r="I48" s="13"/>
      <c r="J48" s="9"/>
      <c r="K48" s="9"/>
      <c r="L48" s="9"/>
      <c r="M48" s="9"/>
    </row>
    <row r="49" spans="1:13" s="4" customFormat="1" ht="12.75" customHeight="1" x14ac:dyDescent="0.2">
      <c r="A49" s="77" t="s">
        <v>614</v>
      </c>
      <c r="B49" s="78" t="s">
        <v>842</v>
      </c>
      <c r="C49" s="79"/>
      <c r="D49" s="111">
        <v>571</v>
      </c>
      <c r="E49" s="111">
        <v>200</v>
      </c>
      <c r="F49" s="111">
        <v>80</v>
      </c>
      <c r="G49" s="111">
        <f>D49+E49+F49</f>
        <v>851</v>
      </c>
      <c r="H49" s="80"/>
      <c r="I49" s="13"/>
      <c r="J49" s="9"/>
      <c r="K49" s="9"/>
      <c r="L49" s="9"/>
      <c r="M49" s="9"/>
    </row>
    <row r="50" spans="1:13" s="4" customFormat="1" x14ac:dyDescent="0.2">
      <c r="A50" s="83" t="s">
        <v>8</v>
      </c>
      <c r="B50" s="764" t="s">
        <v>87</v>
      </c>
      <c r="C50" s="79" t="s">
        <v>69</v>
      </c>
      <c r="D50" s="111">
        <f>D51+D56</f>
        <v>0</v>
      </c>
      <c r="E50" s="111">
        <f t="shared" ref="E50:F50" si="16">E51+E56</f>
        <v>0</v>
      </c>
      <c r="F50" s="111">
        <f t="shared" si="16"/>
        <v>0</v>
      </c>
      <c r="G50" s="111">
        <f t="shared" ref="G50:G52" si="17">D50+E50+F50</f>
        <v>0</v>
      </c>
      <c r="H50" s="80"/>
      <c r="I50" s="13"/>
      <c r="J50" s="9"/>
      <c r="K50" s="9"/>
      <c r="L50" s="9"/>
      <c r="M50" s="9"/>
    </row>
    <row r="51" spans="1:13" s="4" customFormat="1" x14ac:dyDescent="0.2">
      <c r="A51" s="77" t="s">
        <v>126</v>
      </c>
      <c r="B51" s="78" t="s">
        <v>839</v>
      </c>
      <c r="C51" s="79" t="s">
        <v>69</v>
      </c>
      <c r="D51" s="111">
        <f>SUM(D52:D55)</f>
        <v>0</v>
      </c>
      <c r="E51" s="111">
        <f t="shared" ref="E51:F51" si="18">SUM(E52:E55)</f>
        <v>0</v>
      </c>
      <c r="F51" s="111">
        <f t="shared" si="18"/>
        <v>0</v>
      </c>
      <c r="G51" s="111">
        <f t="shared" si="17"/>
        <v>0</v>
      </c>
      <c r="H51" s="80"/>
      <c r="I51" s="13"/>
      <c r="J51" s="9"/>
      <c r="K51" s="9"/>
      <c r="L51" s="9"/>
      <c r="M51" s="9"/>
    </row>
    <row r="52" spans="1:13" s="4" customFormat="1" x14ac:dyDescent="0.2">
      <c r="A52" s="77"/>
      <c r="B52" s="78" t="s">
        <v>856</v>
      </c>
      <c r="C52" s="79" t="s">
        <v>69</v>
      </c>
      <c r="D52" s="79">
        <v>0</v>
      </c>
      <c r="E52" s="79">
        <v>0</v>
      </c>
      <c r="F52" s="79">
        <v>0</v>
      </c>
      <c r="G52" s="111">
        <f t="shared" si="17"/>
        <v>0</v>
      </c>
      <c r="H52" s="80"/>
      <c r="I52" s="13"/>
      <c r="J52" s="9"/>
      <c r="K52" s="9"/>
      <c r="L52" s="9"/>
      <c r="M52" s="9"/>
    </row>
    <row r="53" spans="1:13" s="4" customFormat="1" x14ac:dyDescent="0.2">
      <c r="A53" s="77"/>
      <c r="B53" s="78" t="s">
        <v>151</v>
      </c>
      <c r="C53" s="79" t="s">
        <v>69</v>
      </c>
      <c r="F53" s="79">
        <v>0</v>
      </c>
      <c r="G53" s="111">
        <f>D46+E46+F53</f>
        <v>1020</v>
      </c>
      <c r="H53" s="80"/>
      <c r="I53" s="13"/>
      <c r="J53" s="9"/>
      <c r="K53" s="9"/>
      <c r="L53" s="9"/>
      <c r="M53" s="9"/>
    </row>
    <row r="54" spans="1:13" s="4" customFormat="1" x14ac:dyDescent="0.2">
      <c r="A54" s="77"/>
      <c r="B54" s="78" t="s">
        <v>608</v>
      </c>
      <c r="C54" s="79" t="s">
        <v>69</v>
      </c>
      <c r="F54" s="79">
        <v>0</v>
      </c>
      <c r="G54" s="111">
        <f>D47+E47+F54</f>
        <v>2764</v>
      </c>
      <c r="H54" s="80"/>
      <c r="I54" s="13"/>
      <c r="J54" s="9"/>
      <c r="K54" s="9"/>
      <c r="L54" s="9"/>
      <c r="M54" s="9"/>
    </row>
    <row r="55" spans="1:13" s="4" customFormat="1" x14ac:dyDescent="0.2">
      <c r="A55" s="77"/>
      <c r="B55" s="78" t="s">
        <v>837</v>
      </c>
      <c r="C55" s="79" t="s">
        <v>69</v>
      </c>
      <c r="F55" s="79">
        <v>0</v>
      </c>
      <c r="G55" s="187">
        <v>0</v>
      </c>
      <c r="H55" s="80"/>
      <c r="I55" s="13"/>
      <c r="J55" s="9"/>
      <c r="K55" s="9"/>
      <c r="L55" s="9"/>
      <c r="M55" s="9"/>
    </row>
    <row r="56" spans="1:13" s="4" customFormat="1" ht="25.5" x14ac:dyDescent="0.2">
      <c r="A56" s="77" t="s">
        <v>614</v>
      </c>
      <c r="B56" s="78" t="s">
        <v>842</v>
      </c>
      <c r="C56" s="84" t="s">
        <v>223</v>
      </c>
      <c r="D56" s="84">
        <f>SUM(D57:D57)</f>
        <v>0</v>
      </c>
      <c r="E56" s="84">
        <f>SUM(E57:E57)</f>
        <v>0</v>
      </c>
      <c r="F56" s="84">
        <f>SUM(F57:F57)</f>
        <v>0</v>
      </c>
      <c r="G56" s="79">
        <f>D56+E56+F56</f>
        <v>0</v>
      </c>
      <c r="H56" s="85"/>
      <c r="I56" s="13"/>
      <c r="J56" s="9"/>
      <c r="K56" s="9"/>
      <c r="L56" s="9"/>
      <c r="M56" s="9"/>
    </row>
    <row r="57" spans="1:13" s="4" customFormat="1" x14ac:dyDescent="0.2">
      <c r="A57" s="175" t="s">
        <v>25</v>
      </c>
      <c r="B57" s="766" t="s">
        <v>55</v>
      </c>
      <c r="C57" s="176"/>
      <c r="D57" s="176"/>
      <c r="E57" s="176"/>
      <c r="F57" s="176"/>
      <c r="G57" s="177"/>
      <c r="H57" s="178"/>
      <c r="I57" s="13"/>
      <c r="J57" s="9"/>
      <c r="K57" s="9"/>
      <c r="L57" s="9"/>
      <c r="M57" s="9"/>
    </row>
    <row r="58" spans="1:13" s="4" customFormat="1" ht="21.95" customHeight="1" thickBot="1" x14ac:dyDescent="0.25">
      <c r="A58" s="935" t="s">
        <v>126</v>
      </c>
      <c r="B58" s="767"/>
      <c r="C58" s="87"/>
      <c r="D58" s="252"/>
      <c r="E58" s="252"/>
      <c r="F58" s="252"/>
      <c r="G58" s="252"/>
      <c r="H58" s="88"/>
      <c r="I58" s="13"/>
      <c r="J58" s="9"/>
      <c r="K58" s="9"/>
      <c r="L58" s="9"/>
      <c r="M58" s="9"/>
    </row>
    <row r="59" spans="1:13" ht="39.75" thickTop="1" thickBot="1" x14ac:dyDescent="0.25">
      <c r="A59" s="936"/>
      <c r="B59" s="86" t="s">
        <v>857</v>
      </c>
      <c r="C59" s="87"/>
      <c r="D59" s="252">
        <f>D42+D8</f>
        <v>6116</v>
      </c>
      <c r="E59" s="252">
        <f t="shared" ref="E59:G59" si="19">E42+E8</f>
        <v>4034</v>
      </c>
      <c r="F59" s="252">
        <f t="shared" si="19"/>
        <v>742</v>
      </c>
      <c r="G59" s="252">
        <f t="shared" si="19"/>
        <v>10892</v>
      </c>
      <c r="H59" s="88"/>
      <c r="I59" s="11"/>
      <c r="J59" s="6"/>
      <c r="K59" s="6"/>
      <c r="L59" s="6"/>
      <c r="M59" s="6"/>
    </row>
    <row r="60" spans="1:13" ht="13.5" thickTop="1" x14ac:dyDescent="0.2">
      <c r="A60" s="31"/>
      <c r="B60" s="10"/>
      <c r="C60" s="10"/>
      <c r="D60" s="10"/>
      <c r="E60" s="10"/>
      <c r="F60" s="10"/>
      <c r="G60" s="11"/>
      <c r="H60" s="11"/>
      <c r="I60" s="11"/>
      <c r="J60" s="6"/>
      <c r="K60" s="6"/>
      <c r="L60" s="6"/>
      <c r="M60" s="6"/>
    </row>
    <row r="61" spans="1:13" x14ac:dyDescent="0.2">
      <c r="A61" s="31"/>
      <c r="B61" s="10"/>
      <c r="C61" s="10"/>
      <c r="D61" s="10"/>
      <c r="E61" s="10"/>
      <c r="F61" s="10"/>
      <c r="G61" s="11"/>
      <c r="H61" s="11"/>
      <c r="I61" s="11"/>
      <c r="J61" s="6"/>
      <c r="K61" s="6"/>
      <c r="L61" s="6"/>
      <c r="M61" s="6"/>
    </row>
    <row r="62" spans="1:13" x14ac:dyDescent="0.2">
      <c r="A62" s="31"/>
      <c r="B62" s="10"/>
      <c r="C62" s="10"/>
      <c r="D62" s="10"/>
      <c r="E62" s="10"/>
      <c r="F62" s="10"/>
      <c r="G62" s="11"/>
      <c r="H62" s="11"/>
      <c r="I62" s="11"/>
      <c r="J62" s="6"/>
      <c r="K62" s="6"/>
      <c r="L62" s="6"/>
      <c r="M62" s="6"/>
    </row>
    <row r="63" spans="1:13" x14ac:dyDescent="0.2">
      <c r="A63" s="31"/>
      <c r="B63" s="10"/>
      <c r="C63" s="10"/>
      <c r="D63" s="10"/>
      <c r="E63" s="10"/>
      <c r="F63" s="10"/>
      <c r="G63" s="11"/>
      <c r="H63" s="11"/>
      <c r="I63" s="11"/>
      <c r="J63" s="6"/>
      <c r="K63" s="6"/>
      <c r="L63" s="6"/>
      <c r="M63" s="6"/>
    </row>
    <row r="64" spans="1:13" x14ac:dyDescent="0.2">
      <c r="A64" s="31"/>
      <c r="B64" s="10"/>
      <c r="C64" s="10"/>
      <c r="D64" s="10"/>
      <c r="E64" s="10"/>
      <c r="F64" s="10"/>
      <c r="G64" s="11"/>
      <c r="H64" s="11"/>
      <c r="I64" s="11"/>
      <c r="J64" s="6"/>
      <c r="K64" s="6"/>
      <c r="L64" s="6"/>
      <c r="M64" s="6"/>
    </row>
    <row r="65" spans="1:13" x14ac:dyDescent="0.2">
      <c r="A65" s="31"/>
      <c r="B65" s="10"/>
      <c r="C65" s="10"/>
      <c r="D65" s="10"/>
      <c r="E65" s="10"/>
      <c r="F65" s="10"/>
      <c r="G65" s="11"/>
      <c r="H65" s="11"/>
      <c r="I65" s="11"/>
      <c r="J65" s="6"/>
      <c r="K65" s="6"/>
      <c r="L65" s="6"/>
      <c r="M65" s="6"/>
    </row>
    <row r="66" spans="1:13" x14ac:dyDescent="0.2">
      <c r="A66" s="31"/>
      <c r="B66" s="10"/>
      <c r="C66" s="10"/>
      <c r="D66" s="10"/>
      <c r="E66" s="10"/>
      <c r="F66" s="10"/>
      <c r="G66" s="11"/>
      <c r="H66" s="11"/>
      <c r="I66" s="11"/>
      <c r="J66" s="6"/>
      <c r="K66" s="6"/>
      <c r="L66" s="6"/>
      <c r="M66" s="6"/>
    </row>
    <row r="67" spans="1:13" x14ac:dyDescent="0.2">
      <c r="A67" s="31"/>
      <c r="B67" s="10"/>
      <c r="C67" s="10"/>
      <c r="D67" s="10"/>
      <c r="E67" s="10"/>
      <c r="F67" s="10"/>
      <c r="G67" s="11"/>
      <c r="H67" s="11"/>
      <c r="I67" s="11"/>
      <c r="J67" s="6"/>
      <c r="K67" s="6"/>
      <c r="L67" s="6"/>
      <c r="M67" s="6"/>
    </row>
    <row r="68" spans="1:13" x14ac:dyDescent="0.2">
      <c r="A68" s="31"/>
      <c r="B68" s="10"/>
      <c r="C68" s="10"/>
      <c r="D68" s="10"/>
      <c r="E68" s="10"/>
      <c r="F68" s="10"/>
      <c r="G68" s="11"/>
      <c r="H68" s="11"/>
      <c r="I68" s="11"/>
      <c r="J68" s="6"/>
      <c r="K68" s="6"/>
      <c r="L68" s="6"/>
      <c r="M68" s="6"/>
    </row>
    <row r="69" spans="1:13" x14ac:dyDescent="0.2">
      <c r="A69" s="31"/>
      <c r="B69" s="10"/>
      <c r="C69" s="10"/>
      <c r="D69" s="10"/>
      <c r="E69" s="10"/>
      <c r="F69" s="10"/>
      <c r="G69" s="11"/>
      <c r="H69" s="11"/>
      <c r="I69" s="11"/>
      <c r="J69" s="6"/>
      <c r="K69" s="6"/>
      <c r="L69" s="6"/>
      <c r="M69" s="6"/>
    </row>
    <row r="70" spans="1:13" x14ac:dyDescent="0.2">
      <c r="A70" s="31"/>
      <c r="B70" s="10"/>
      <c r="C70" s="10"/>
      <c r="D70" s="10"/>
      <c r="E70" s="10"/>
      <c r="F70" s="10"/>
      <c r="G70" s="11"/>
      <c r="H70" s="11"/>
      <c r="I70" s="11"/>
      <c r="J70" s="6"/>
      <c r="K70" s="6"/>
      <c r="L70" s="6"/>
      <c r="M70" s="6"/>
    </row>
    <row r="71" spans="1:13" x14ac:dyDescent="0.2">
      <c r="A71" s="31"/>
      <c r="B71" s="10"/>
      <c r="C71" s="10"/>
      <c r="D71" s="10"/>
      <c r="E71" s="10"/>
      <c r="F71" s="10"/>
      <c r="G71" s="11"/>
      <c r="H71" s="11"/>
      <c r="I71" s="11"/>
      <c r="J71" s="6"/>
      <c r="K71" s="6"/>
      <c r="L71" s="6"/>
      <c r="M71" s="6"/>
    </row>
    <row r="72" spans="1:13" x14ac:dyDescent="0.2">
      <c r="A72" s="31"/>
      <c r="B72" s="10"/>
      <c r="C72" s="10"/>
      <c r="D72" s="10"/>
      <c r="E72" s="10"/>
      <c r="F72" s="10"/>
      <c r="G72" s="11"/>
      <c r="H72" s="11"/>
      <c r="I72" s="11"/>
      <c r="J72" s="6"/>
      <c r="K72" s="6"/>
      <c r="L72" s="6"/>
      <c r="M72" s="6"/>
    </row>
    <row r="73" spans="1:13" x14ac:dyDescent="0.2">
      <c r="A73" s="31"/>
      <c r="B73" s="10"/>
      <c r="C73" s="10"/>
      <c r="D73" s="10"/>
      <c r="E73" s="10"/>
      <c r="F73" s="10"/>
      <c r="G73" s="11"/>
      <c r="H73" s="11"/>
      <c r="I73" s="11"/>
      <c r="J73" s="6"/>
      <c r="K73" s="6"/>
      <c r="L73" s="6"/>
      <c r="M73" s="6"/>
    </row>
    <row r="74" spans="1:13" x14ac:dyDescent="0.2">
      <c r="A74" s="31"/>
      <c r="B74" s="10"/>
      <c r="C74" s="10"/>
      <c r="D74" s="10"/>
      <c r="E74" s="10"/>
      <c r="F74" s="10"/>
      <c r="G74" s="11"/>
      <c r="H74" s="11"/>
      <c r="I74" s="11"/>
      <c r="J74" s="6"/>
      <c r="K74" s="6"/>
      <c r="L74" s="6"/>
      <c r="M74" s="6"/>
    </row>
    <row r="75" spans="1:13" x14ac:dyDescent="0.2">
      <c r="A75" s="31"/>
      <c r="B75" s="10"/>
      <c r="C75" s="10"/>
      <c r="D75" s="10"/>
      <c r="E75" s="10"/>
      <c r="F75" s="10"/>
      <c r="G75" s="11"/>
      <c r="H75" s="11"/>
      <c r="I75" s="11"/>
      <c r="J75" s="6"/>
      <c r="K75" s="6"/>
      <c r="L75" s="6"/>
      <c r="M75" s="6"/>
    </row>
    <row r="76" spans="1:13" x14ac:dyDescent="0.2">
      <c r="A76" s="31"/>
      <c r="B76" s="10"/>
      <c r="C76" s="10"/>
      <c r="D76" s="10"/>
      <c r="E76" s="10"/>
      <c r="F76" s="10"/>
      <c r="G76" s="11"/>
      <c r="H76" s="11"/>
      <c r="I76" s="11"/>
      <c r="J76" s="6"/>
      <c r="K76" s="6"/>
      <c r="L76" s="6"/>
      <c r="M76" s="6"/>
    </row>
    <row r="77" spans="1:13" x14ac:dyDescent="0.2">
      <c r="A77" s="31"/>
      <c r="B77" s="10"/>
      <c r="C77" s="10"/>
      <c r="D77" s="10"/>
      <c r="E77" s="10"/>
      <c r="F77" s="10"/>
      <c r="G77" s="11"/>
      <c r="H77" s="11"/>
      <c r="I77" s="11"/>
      <c r="J77" s="6"/>
      <c r="K77" s="6"/>
      <c r="L77" s="6"/>
      <c r="M77" s="6"/>
    </row>
    <row r="78" spans="1:13" x14ac:dyDescent="0.2">
      <c r="A78" s="5"/>
      <c r="B78" s="7"/>
      <c r="C78" s="7"/>
      <c r="D78" s="7"/>
      <c r="E78" s="7"/>
      <c r="F78" s="7"/>
      <c r="G78" s="6"/>
      <c r="H78" s="6"/>
      <c r="I78" s="6"/>
      <c r="J78" s="6"/>
      <c r="K78" s="6"/>
      <c r="L78" s="6"/>
      <c r="M78" s="6"/>
    </row>
  </sheetData>
  <mergeCells count="4">
    <mergeCell ref="A1:B1"/>
    <mergeCell ref="A2:B2"/>
    <mergeCell ref="A3:I3"/>
    <mergeCell ref="F4:H4"/>
  </mergeCells>
  <pageMargins left="0.64" right="0.27" top="0.42" bottom="0.53" header="0.42" footer="0.3"/>
  <pageSetup orientation="portrait"/>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F11" sqref="F11"/>
    </sheetView>
  </sheetViews>
  <sheetFormatPr defaultColWidth="9.140625" defaultRowHeight="15.75" x14ac:dyDescent="0.2"/>
  <cols>
    <col min="1" max="1" width="5.85546875" style="33" customWidth="1"/>
    <col min="2" max="2" width="39.28515625" style="33" customWidth="1"/>
    <col min="3" max="3" width="10.7109375" style="33" customWidth="1"/>
    <col min="4" max="5" width="12.42578125" style="33" customWidth="1"/>
    <col min="6" max="6" width="13.140625" style="33" customWidth="1"/>
    <col min="7" max="7" width="16" style="33" customWidth="1"/>
    <col min="8" max="16384" width="9.140625" style="33"/>
  </cols>
  <sheetData>
    <row r="1" spans="1:8" ht="17.100000000000001" customHeight="1" x14ac:dyDescent="0.2">
      <c r="A1" s="1151" t="s">
        <v>3</v>
      </c>
      <c r="B1" s="1151"/>
      <c r="C1" s="886"/>
      <c r="G1" s="887" t="s">
        <v>243</v>
      </c>
    </row>
    <row r="2" spans="1:8" ht="17.100000000000001" customHeight="1" x14ac:dyDescent="0.2">
      <c r="A2" s="1109" t="s">
        <v>522</v>
      </c>
      <c r="B2" s="1109"/>
      <c r="C2" s="885"/>
    </row>
    <row r="3" spans="1:8" ht="23.25" customHeight="1" x14ac:dyDescent="0.2">
      <c r="A3" s="1109" t="s">
        <v>180</v>
      </c>
      <c r="B3" s="1109"/>
      <c r="C3" s="1109"/>
      <c r="D3" s="1109"/>
      <c r="E3" s="1109"/>
      <c r="F3" s="1109"/>
      <c r="G3" s="1109"/>
    </row>
    <row r="4" spans="1:8" x14ac:dyDescent="0.2">
      <c r="F4" s="1152" t="s">
        <v>86</v>
      </c>
      <c r="G4" s="1152"/>
    </row>
    <row r="5" spans="1:8" s="885" customFormat="1" ht="63" x14ac:dyDescent="0.2">
      <c r="A5" s="385" t="s">
        <v>52</v>
      </c>
      <c r="B5" s="385" t="s">
        <v>181</v>
      </c>
      <c r="C5" s="386" t="s">
        <v>186</v>
      </c>
      <c r="D5" s="386" t="s">
        <v>185</v>
      </c>
      <c r="E5" s="386" t="s">
        <v>187</v>
      </c>
      <c r="F5" s="386" t="s">
        <v>29</v>
      </c>
      <c r="G5" s="385" t="s">
        <v>2</v>
      </c>
    </row>
    <row r="6" spans="1:8" s="35" customFormat="1" ht="31.5" x14ac:dyDescent="0.2">
      <c r="A6" s="30" t="s">
        <v>7</v>
      </c>
      <c r="B6" s="392" t="s">
        <v>182</v>
      </c>
      <c r="C6" s="38"/>
      <c r="D6" s="28"/>
      <c r="E6" s="28"/>
      <c r="F6" s="38"/>
      <c r="G6" s="38"/>
    </row>
    <row r="7" spans="1:8" ht="30.95" customHeight="1" x14ac:dyDescent="0.2">
      <c r="A7" s="30" t="s">
        <v>8</v>
      </c>
      <c r="B7" s="164" t="s">
        <v>183</v>
      </c>
      <c r="C7" s="164"/>
      <c r="D7" s="42"/>
      <c r="E7" s="42"/>
      <c r="F7" s="29"/>
      <c r="G7" s="29"/>
    </row>
    <row r="8" spans="1:8" ht="26.1" customHeight="1" x14ac:dyDescent="0.2">
      <c r="A8" s="30" t="s">
        <v>25</v>
      </c>
      <c r="B8" s="38" t="s">
        <v>184</v>
      </c>
      <c r="C8" s="165"/>
      <c r="D8" s="160"/>
      <c r="E8" s="160"/>
      <c r="F8" s="29"/>
      <c r="G8" s="29"/>
    </row>
    <row r="9" spans="1:8" ht="30.75" customHeight="1" x14ac:dyDescent="0.2">
      <c r="A9" s="28"/>
      <c r="B9" s="1023" t="s">
        <v>1098</v>
      </c>
      <c r="C9" s="1024">
        <v>500</v>
      </c>
      <c r="D9" s="1024">
        <v>3500</v>
      </c>
      <c r="E9" s="1025">
        <v>200</v>
      </c>
      <c r="F9" s="1024">
        <f>C9*(D9+E9)*0.3</f>
        <v>555000</v>
      </c>
      <c r="G9" s="1026"/>
    </row>
    <row r="10" spans="1:8" ht="37.5" customHeight="1" x14ac:dyDescent="0.2">
      <c r="A10" s="28"/>
      <c r="B10" s="281" t="s">
        <v>526</v>
      </c>
      <c r="C10" s="1024">
        <v>1000</v>
      </c>
      <c r="D10" s="1027">
        <v>2600</v>
      </c>
      <c r="E10" s="1025">
        <v>200</v>
      </c>
      <c r="F10" s="1024">
        <f>C10*(D10+E10)*0.3</f>
        <v>840000</v>
      </c>
      <c r="G10" s="29" t="s">
        <v>1100</v>
      </c>
    </row>
    <row r="11" spans="1:8" ht="37.5" customHeight="1" x14ac:dyDescent="0.2">
      <c r="A11" s="1040"/>
      <c r="B11" s="281" t="s">
        <v>526</v>
      </c>
      <c r="C11" s="1024">
        <v>1000</v>
      </c>
      <c r="D11" s="1027">
        <v>2600</v>
      </c>
      <c r="E11" s="1025">
        <v>200</v>
      </c>
      <c r="F11" s="1024">
        <f>C11*(D11+E11)*0.65</f>
        <v>1820000</v>
      </c>
      <c r="G11" s="27" t="s">
        <v>1101</v>
      </c>
    </row>
    <row r="12" spans="1:8" ht="37.5" customHeight="1" x14ac:dyDescent="0.2">
      <c r="A12" s="1040"/>
      <c r="B12" s="281" t="s">
        <v>1099</v>
      </c>
      <c r="C12" s="1027">
        <v>1000</v>
      </c>
      <c r="D12" s="1027">
        <v>3000</v>
      </c>
      <c r="E12" s="1025">
        <v>200</v>
      </c>
      <c r="F12" s="1024">
        <f>C12*(D12+E12)*0.65</f>
        <v>2080000</v>
      </c>
      <c r="G12" s="27"/>
    </row>
    <row r="13" spans="1:8" x14ac:dyDescent="0.2">
      <c r="A13" s="388"/>
      <c r="B13" s="389" t="s">
        <v>360</v>
      </c>
      <c r="C13" s="390">
        <f>SUM(C9:C12)</f>
        <v>3500</v>
      </c>
      <c r="D13" s="390">
        <f t="shared" ref="D13:F13" si="0">SUM(D9:D12)</f>
        <v>11700</v>
      </c>
      <c r="E13" s="390">
        <f t="shared" si="0"/>
        <v>800</v>
      </c>
      <c r="F13" s="390">
        <f t="shared" si="0"/>
        <v>5295000</v>
      </c>
      <c r="G13" s="391"/>
    </row>
    <row r="14" spans="1:8" s="129" customFormat="1" ht="15.75" customHeight="1" x14ac:dyDescent="0.2">
      <c r="D14" s="1153" t="s">
        <v>940</v>
      </c>
      <c r="E14" s="1153"/>
      <c r="F14" s="1153"/>
      <c r="G14" s="1153"/>
    </row>
    <row r="15" spans="1:8" x14ac:dyDescent="0.25">
      <c r="B15" s="1154"/>
      <c r="C15" s="1154"/>
      <c r="D15" s="1154"/>
      <c r="F15" s="1108" t="s">
        <v>116</v>
      </c>
      <c r="G15" s="1108"/>
      <c r="H15" s="1001"/>
    </row>
    <row r="16" spans="1:8" ht="85.5" customHeight="1" x14ac:dyDescent="0.2">
      <c r="A16" s="35" t="s">
        <v>148</v>
      </c>
      <c r="F16" s="1151" t="s">
        <v>858</v>
      </c>
      <c r="G16" s="1151"/>
    </row>
    <row r="17" spans="1:1" ht="15.75" customHeight="1" x14ac:dyDescent="0.2">
      <c r="A17" s="33" t="s">
        <v>1068</v>
      </c>
    </row>
    <row r="18" spans="1:1" x14ac:dyDescent="0.2">
      <c r="A18" s="33" t="s">
        <v>1069</v>
      </c>
    </row>
  </sheetData>
  <mergeCells count="8">
    <mergeCell ref="F16:G16"/>
    <mergeCell ref="F15:G15"/>
    <mergeCell ref="A1:B1"/>
    <mergeCell ref="A2:B2"/>
    <mergeCell ref="A3:G3"/>
    <mergeCell ref="F4:G4"/>
    <mergeCell ref="D14:G14"/>
    <mergeCell ref="B15:D15"/>
  </mergeCells>
  <pageMargins left="0.54" right="0.27" top="0.55000000000000004" bottom="0.27" header="0.55000000000000004" footer="0.22"/>
  <pageSetup scale="90" orientation="portrait"/>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opLeftCell="A25" zoomScale="95" zoomScaleNormal="95" zoomScalePageLayoutView="95" workbookViewId="0">
      <selection activeCell="C39" sqref="C39"/>
    </sheetView>
  </sheetViews>
  <sheetFormatPr defaultColWidth="9.140625" defaultRowHeight="15.75" x14ac:dyDescent="0.2"/>
  <cols>
    <col min="1" max="1" width="5.85546875" style="33" customWidth="1"/>
    <col min="2" max="2" width="42.42578125" style="33" customWidth="1"/>
    <col min="3" max="3" width="10.7109375" style="33" customWidth="1"/>
    <col min="4" max="4" width="12.42578125" style="33" customWidth="1"/>
    <col min="5" max="5" width="16.28515625" style="221" customWidth="1"/>
    <col min="6" max="6" width="13.140625" style="33" customWidth="1"/>
    <col min="7" max="16384" width="9.140625" style="33"/>
  </cols>
  <sheetData>
    <row r="1" spans="1:6" ht="17.100000000000001" customHeight="1" x14ac:dyDescent="0.2">
      <c r="A1" s="1151" t="s">
        <v>3</v>
      </c>
      <c r="B1" s="1151"/>
      <c r="C1" s="56"/>
      <c r="F1" s="43" t="s">
        <v>244</v>
      </c>
    </row>
    <row r="2" spans="1:6" ht="17.100000000000001" customHeight="1" x14ac:dyDescent="0.2">
      <c r="A2" s="1109" t="s">
        <v>522</v>
      </c>
      <c r="B2" s="1109"/>
      <c r="C2" s="56"/>
    </row>
    <row r="3" spans="1:6" ht="23.25" customHeight="1" x14ac:dyDescent="0.2">
      <c r="A3" s="1109" t="s">
        <v>1079</v>
      </c>
      <c r="B3" s="1109"/>
      <c r="C3" s="1109"/>
      <c r="D3" s="1109"/>
      <c r="E3" s="1109"/>
      <c r="F3" s="1109"/>
    </row>
    <row r="4" spans="1:6" x14ac:dyDescent="0.2">
      <c r="E4" s="1152" t="s">
        <v>86</v>
      </c>
      <c r="F4" s="1152"/>
    </row>
    <row r="5" spans="1:6" s="56" customFormat="1" ht="67.5" customHeight="1" x14ac:dyDescent="0.2">
      <c r="A5" s="385" t="s">
        <v>52</v>
      </c>
      <c r="B5" s="385" t="s">
        <v>41</v>
      </c>
      <c r="C5" s="386" t="s">
        <v>224</v>
      </c>
      <c r="D5" s="386" t="s">
        <v>225</v>
      </c>
      <c r="E5" s="393" t="s">
        <v>29</v>
      </c>
      <c r="F5" s="385" t="s">
        <v>2</v>
      </c>
    </row>
    <row r="6" spans="1:6" s="35" customFormat="1" x14ac:dyDescent="0.2">
      <c r="A6" s="36"/>
      <c r="B6" s="36" t="s">
        <v>51</v>
      </c>
      <c r="C6" s="36"/>
      <c r="D6" s="25"/>
      <c r="E6" s="222"/>
      <c r="F6" s="36"/>
    </row>
    <row r="7" spans="1:6" s="35" customFormat="1" x14ac:dyDescent="0.2">
      <c r="A7" s="30" t="s">
        <v>7</v>
      </c>
      <c r="B7" s="38" t="s">
        <v>50</v>
      </c>
      <c r="C7" s="38"/>
      <c r="D7" s="28"/>
      <c r="E7" s="228">
        <f>SUM(E9:E29)</f>
        <v>37749992</v>
      </c>
      <c r="F7" s="38"/>
    </row>
    <row r="8" spans="1:6" x14ac:dyDescent="0.2">
      <c r="A8" s="30">
        <v>1</v>
      </c>
      <c r="B8" s="164" t="s">
        <v>98</v>
      </c>
      <c r="C8" s="29"/>
      <c r="D8" s="42"/>
      <c r="F8" s="29"/>
    </row>
    <row r="9" spans="1:6" ht="78.75" x14ac:dyDescent="0.2">
      <c r="A9" s="28"/>
      <c r="B9" s="40" t="s">
        <v>178</v>
      </c>
      <c r="C9" s="29">
        <f>Bieu2!H300</f>
        <v>48559</v>
      </c>
      <c r="D9" s="402">
        <v>330</v>
      </c>
      <c r="E9" s="229">
        <f>C9*D9</f>
        <v>16024470</v>
      </c>
      <c r="F9" s="1028" t="s">
        <v>1080</v>
      </c>
    </row>
    <row r="10" spans="1:6" x14ac:dyDescent="0.2">
      <c r="A10" s="30">
        <v>2</v>
      </c>
      <c r="B10" s="164" t="s">
        <v>99</v>
      </c>
      <c r="C10" s="29"/>
      <c r="D10" s="402"/>
      <c r="E10" s="229">
        <f t="shared" ref="E10:E22" si="0">C10*D10</f>
        <v>0</v>
      </c>
      <c r="F10" s="29"/>
    </row>
    <row r="11" spans="1:6" ht="30.75" customHeight="1" x14ac:dyDescent="0.2">
      <c r="A11" s="28"/>
      <c r="B11" s="40" t="s">
        <v>176</v>
      </c>
      <c r="C11" s="163"/>
      <c r="D11" s="402">
        <v>0</v>
      </c>
      <c r="E11" s="229">
        <f t="shared" si="0"/>
        <v>0</v>
      </c>
      <c r="F11" s="29"/>
    </row>
    <row r="12" spans="1:6" ht="78.75" x14ac:dyDescent="0.2">
      <c r="A12" s="28"/>
      <c r="B12" s="40" t="s">
        <v>177</v>
      </c>
      <c r="C12" s="163">
        <f>Bieu2!H303</f>
        <v>49870</v>
      </c>
      <c r="D12" s="402">
        <v>310</v>
      </c>
      <c r="E12" s="229">
        <f t="shared" si="0"/>
        <v>15459700</v>
      </c>
      <c r="F12" s="1028" t="s">
        <v>1080</v>
      </c>
    </row>
    <row r="13" spans="1:6" x14ac:dyDescent="0.2">
      <c r="A13" s="30">
        <v>3</v>
      </c>
      <c r="B13" s="164" t="s">
        <v>100</v>
      </c>
      <c r="C13" s="163"/>
      <c r="D13" s="402"/>
      <c r="E13" s="229">
        <f t="shared" si="0"/>
        <v>0</v>
      </c>
      <c r="F13" s="29"/>
    </row>
    <row r="14" spans="1:6" ht="31.5" x14ac:dyDescent="0.2">
      <c r="A14" s="28"/>
      <c r="B14" s="40" t="s">
        <v>176</v>
      </c>
      <c r="C14" s="163"/>
      <c r="D14" s="402">
        <v>0</v>
      </c>
      <c r="E14" s="229">
        <f t="shared" si="0"/>
        <v>0</v>
      </c>
      <c r="F14" s="29"/>
    </row>
    <row r="15" spans="1:6" x14ac:dyDescent="0.2">
      <c r="A15" s="28"/>
      <c r="B15" s="40" t="s">
        <v>177</v>
      </c>
      <c r="C15" s="163">
        <v>0</v>
      </c>
      <c r="D15" s="402">
        <v>0</v>
      </c>
      <c r="E15" s="229">
        <f t="shared" si="0"/>
        <v>0</v>
      </c>
      <c r="F15" s="29"/>
    </row>
    <row r="16" spans="1:6" x14ac:dyDescent="0.2">
      <c r="A16" s="30">
        <v>4</v>
      </c>
      <c r="B16" s="164" t="s">
        <v>101</v>
      </c>
      <c r="C16" s="163"/>
      <c r="D16" s="402"/>
      <c r="E16" s="229">
        <f t="shared" si="0"/>
        <v>0</v>
      </c>
      <c r="F16" s="29"/>
    </row>
    <row r="17" spans="1:6" ht="31.5" x14ac:dyDescent="0.2">
      <c r="A17" s="28"/>
      <c r="B17" s="40" t="s">
        <v>176</v>
      </c>
      <c r="C17" s="163"/>
      <c r="D17" s="402">
        <v>0</v>
      </c>
      <c r="E17" s="229">
        <f t="shared" si="0"/>
        <v>0</v>
      </c>
      <c r="F17" s="29"/>
    </row>
    <row r="18" spans="1:6" ht="78.75" x14ac:dyDescent="0.2">
      <c r="A18" s="28"/>
      <c r="B18" s="40" t="s">
        <v>177</v>
      </c>
      <c r="C18" s="29">
        <f>Bieu2!H301</f>
        <v>8706</v>
      </c>
      <c r="D18" s="402">
        <v>612</v>
      </c>
      <c r="E18" s="229">
        <f t="shared" si="0"/>
        <v>5328072</v>
      </c>
      <c r="F18" s="40" t="s">
        <v>1080</v>
      </c>
    </row>
    <row r="19" spans="1:6" x14ac:dyDescent="0.2">
      <c r="A19" s="30">
        <v>5</v>
      </c>
      <c r="B19" s="164" t="s">
        <v>102</v>
      </c>
      <c r="C19" s="29"/>
      <c r="D19" s="402"/>
      <c r="E19" s="229">
        <f t="shared" si="0"/>
        <v>0</v>
      </c>
      <c r="F19" s="29"/>
    </row>
    <row r="20" spans="1:6" ht="31.5" x14ac:dyDescent="0.2">
      <c r="A20" s="28"/>
      <c r="B20" s="40" t="s">
        <v>176</v>
      </c>
      <c r="C20" s="29"/>
      <c r="D20" s="403">
        <v>0</v>
      </c>
      <c r="E20" s="229">
        <f t="shared" si="0"/>
        <v>0</v>
      </c>
      <c r="F20" s="29"/>
    </row>
    <row r="21" spans="1:6" ht="78.75" x14ac:dyDescent="0.2">
      <c r="A21" s="28"/>
      <c r="B21" s="40" t="s">
        <v>177</v>
      </c>
      <c r="C21" s="29">
        <f>Bieu1!G23</f>
        <v>31</v>
      </c>
      <c r="D21" s="403">
        <v>30250</v>
      </c>
      <c r="E21" s="229">
        <f t="shared" si="0"/>
        <v>937750</v>
      </c>
      <c r="F21" s="40" t="s">
        <v>1078</v>
      </c>
    </row>
    <row r="22" spans="1:6" x14ac:dyDescent="0.2">
      <c r="A22" s="28">
        <v>6</v>
      </c>
      <c r="B22" s="40" t="s">
        <v>92</v>
      </c>
      <c r="C22" s="29"/>
      <c r="D22" s="404"/>
      <c r="E22" s="229">
        <f t="shared" si="0"/>
        <v>0</v>
      </c>
      <c r="F22" s="29"/>
    </row>
    <row r="23" spans="1:6" x14ac:dyDescent="0.2">
      <c r="A23" s="122">
        <v>7</v>
      </c>
      <c r="B23" s="29" t="s">
        <v>179</v>
      </c>
      <c r="C23" s="29"/>
      <c r="D23" s="404"/>
      <c r="E23" s="229"/>
      <c r="F23" s="29"/>
    </row>
    <row r="24" spans="1:6" x14ac:dyDescent="0.2">
      <c r="A24" s="122">
        <v>8</v>
      </c>
      <c r="B24" s="29" t="s">
        <v>93</v>
      </c>
      <c r="C24" s="29"/>
      <c r="D24" s="405"/>
      <c r="E24" s="229"/>
      <c r="F24" s="29"/>
    </row>
    <row r="25" spans="1:6" x14ac:dyDescent="0.2">
      <c r="A25" s="122"/>
      <c r="B25" s="29" t="s">
        <v>94</v>
      </c>
      <c r="C25" s="29"/>
      <c r="D25" s="404"/>
      <c r="E25" s="229"/>
      <c r="F25" s="29"/>
    </row>
    <row r="26" spans="1:6" x14ac:dyDescent="0.2">
      <c r="A26" s="122"/>
      <c r="B26" s="29" t="s">
        <v>95</v>
      </c>
      <c r="C26" s="29"/>
      <c r="D26" s="404"/>
      <c r="E26" s="229"/>
      <c r="F26" s="29"/>
    </row>
    <row r="27" spans="1:6" x14ac:dyDescent="0.2">
      <c r="A27" s="122"/>
      <c r="B27" s="29" t="s">
        <v>96</v>
      </c>
      <c r="C27" s="29"/>
      <c r="D27" s="404"/>
      <c r="E27" s="229"/>
      <c r="F27" s="29"/>
    </row>
    <row r="28" spans="1:6" x14ac:dyDescent="0.2">
      <c r="A28" s="122"/>
      <c r="B28" s="29" t="s">
        <v>97</v>
      </c>
      <c r="C28" s="29"/>
      <c r="D28" s="404"/>
      <c r="E28" s="229"/>
      <c r="F28" s="29"/>
    </row>
    <row r="29" spans="1:6" x14ac:dyDescent="0.2">
      <c r="A29" s="122">
        <v>9</v>
      </c>
      <c r="B29" s="29" t="s">
        <v>55</v>
      </c>
      <c r="C29" s="29"/>
      <c r="D29" s="404"/>
      <c r="E29" s="229"/>
      <c r="F29" s="29"/>
    </row>
    <row r="30" spans="1:6" x14ac:dyDescent="0.2">
      <c r="A30" s="30" t="s">
        <v>8</v>
      </c>
      <c r="B30" s="38" t="s">
        <v>49</v>
      </c>
      <c r="C30" s="38"/>
      <c r="D30" s="28"/>
      <c r="E30" s="228"/>
      <c r="F30" s="29"/>
    </row>
    <row r="31" spans="1:6" x14ac:dyDescent="0.2">
      <c r="A31" s="28"/>
      <c r="B31" s="29" t="s">
        <v>54</v>
      </c>
      <c r="C31" s="29"/>
      <c r="D31" s="28"/>
      <c r="E31" s="229"/>
      <c r="F31" s="29"/>
    </row>
    <row r="32" spans="1:6" x14ac:dyDescent="0.2">
      <c r="A32" s="28"/>
      <c r="B32" s="29" t="s">
        <v>113</v>
      </c>
      <c r="C32" s="29"/>
      <c r="D32" s="28"/>
      <c r="E32" s="229"/>
      <c r="F32" s="29"/>
    </row>
    <row r="33" spans="1:7" s="35" customFormat="1" x14ac:dyDescent="0.2">
      <c r="A33" s="30" t="s">
        <v>25</v>
      </c>
      <c r="B33" s="38" t="s">
        <v>47</v>
      </c>
      <c r="C33" s="231">
        <f>SUM(C34:C38)</f>
        <v>3500</v>
      </c>
      <c r="D33" s="231">
        <f>SUM(D34:D38)</f>
        <v>9700</v>
      </c>
      <c r="E33" s="231">
        <f>SUM(E34:E39)</f>
        <v>7662000</v>
      </c>
      <c r="F33" s="29" t="s">
        <v>243</v>
      </c>
    </row>
    <row r="34" spans="1:7" s="35" customFormat="1" x14ac:dyDescent="0.2">
      <c r="A34" s="28">
        <v>1</v>
      </c>
      <c r="B34" s="29" t="s">
        <v>53</v>
      </c>
      <c r="C34" s="29"/>
      <c r="D34" s="30"/>
      <c r="E34" s="228"/>
      <c r="F34" s="38"/>
    </row>
    <row r="35" spans="1:7" s="35" customFormat="1" ht="31.5" x14ac:dyDescent="0.2">
      <c r="A35" s="28"/>
      <c r="B35" s="1023" t="s">
        <v>1102</v>
      </c>
      <c r="C35" s="1024">
        <f>'Bieu 8'!C9</f>
        <v>500</v>
      </c>
      <c r="D35" s="1024">
        <v>3700</v>
      </c>
      <c r="E35" s="571">
        <f>C35*D35*0.3</f>
        <v>555000</v>
      </c>
      <c r="F35" s="1156" t="s">
        <v>600</v>
      </c>
    </row>
    <row r="36" spans="1:7" s="35" customFormat="1" ht="47.25" x14ac:dyDescent="0.2">
      <c r="A36" s="28"/>
      <c r="B36" s="281" t="s">
        <v>1104</v>
      </c>
      <c r="C36" s="1024">
        <v>2000</v>
      </c>
      <c r="D36" s="1027">
        <v>2800</v>
      </c>
      <c r="E36" s="571">
        <f>1000*D36*0.3+1000*D36*0.65</f>
        <v>2660000</v>
      </c>
      <c r="F36" s="1157"/>
    </row>
    <row r="37" spans="1:7" s="35" customFormat="1" ht="31.5" x14ac:dyDescent="0.2">
      <c r="A37" s="1042"/>
      <c r="B37" s="281" t="s">
        <v>1103</v>
      </c>
      <c r="C37" s="1027">
        <f>'Bieu 8'!C12</f>
        <v>1000</v>
      </c>
      <c r="D37" s="1027">
        <v>3200</v>
      </c>
      <c r="E37" s="1043">
        <f>C37*D37*0.65</f>
        <v>2080000</v>
      </c>
      <c r="F37" s="1158"/>
    </row>
    <row r="38" spans="1:7" x14ac:dyDescent="0.2">
      <c r="A38" s="387">
        <v>2</v>
      </c>
      <c r="B38" s="29" t="s">
        <v>47</v>
      </c>
      <c r="C38" s="162"/>
      <c r="D38" s="26"/>
      <c r="E38" s="230"/>
      <c r="F38" s="27"/>
    </row>
    <row r="39" spans="1:7" ht="47.25" x14ac:dyDescent="0.2">
      <c r="A39" s="394"/>
      <c r="B39" s="395" t="s">
        <v>1081</v>
      </c>
      <c r="C39" s="162">
        <v>0</v>
      </c>
      <c r="D39" s="284"/>
      <c r="E39" s="230">
        <f>'Bieu 7 NCKH'!D28</f>
        <v>2367000</v>
      </c>
      <c r="F39" s="27" t="s">
        <v>595</v>
      </c>
    </row>
    <row r="40" spans="1:7" x14ac:dyDescent="0.2">
      <c r="A40" s="388"/>
      <c r="B40" s="396" t="s">
        <v>511</v>
      </c>
      <c r="C40" s="389"/>
      <c r="D40" s="397"/>
      <c r="E40" s="398">
        <f>E7+E30+E33</f>
        <v>45411992</v>
      </c>
      <c r="F40" s="391"/>
    </row>
    <row r="41" spans="1:7" s="129" customFormat="1" ht="15.75" customHeight="1" x14ac:dyDescent="0.2">
      <c r="D41" s="1153" t="s">
        <v>940</v>
      </c>
      <c r="E41" s="1153"/>
      <c r="F41" s="1153"/>
    </row>
    <row r="42" spans="1:7" x14ac:dyDescent="0.2">
      <c r="B42" s="1154"/>
      <c r="C42" s="1154"/>
      <c r="D42" s="1154"/>
      <c r="E42" s="280" t="s">
        <v>116</v>
      </c>
      <c r="F42" s="280"/>
      <c r="G42" s="280"/>
    </row>
    <row r="43" spans="1:7" ht="15" customHeight="1" x14ac:dyDescent="0.2"/>
    <row r="46" spans="1:7" x14ac:dyDescent="0.2">
      <c r="E46" s="1155" t="s">
        <v>858</v>
      </c>
      <c r="F46" s="1155"/>
    </row>
  </sheetData>
  <mergeCells count="8">
    <mergeCell ref="E46:F46"/>
    <mergeCell ref="D41:F41"/>
    <mergeCell ref="A1:B1"/>
    <mergeCell ref="A2:B2"/>
    <mergeCell ref="A3:F3"/>
    <mergeCell ref="B42:D42"/>
    <mergeCell ref="E4:F4"/>
    <mergeCell ref="F35:F37"/>
  </mergeCells>
  <pageMargins left="0.49" right="0.35" top="0.36" bottom="0.32" header="0.19" footer="0.22"/>
  <pageSetup orientation="portrait"/>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topLeftCell="A4" zoomScale="96" zoomScaleNormal="96" zoomScalePageLayoutView="96" workbookViewId="0">
      <selection activeCell="C41" sqref="C41"/>
    </sheetView>
  </sheetViews>
  <sheetFormatPr defaultColWidth="9.140625" defaultRowHeight="18.75" x14ac:dyDescent="0.2"/>
  <cols>
    <col min="1" max="1" width="5.85546875" style="32" customWidth="1"/>
    <col min="2" max="2" width="61" style="32" customWidth="1"/>
    <col min="3" max="3" width="16" style="220" customWidth="1"/>
    <col min="4" max="4" width="21.42578125" style="32" customWidth="1"/>
    <col min="5" max="5" width="14.7109375" style="32" hidden="1" customWidth="1"/>
    <col min="6" max="7" width="0" style="32" hidden="1" customWidth="1"/>
    <col min="8" max="16384" width="9.140625" style="32"/>
  </cols>
  <sheetData>
    <row r="1" spans="1:7" x14ac:dyDescent="0.2">
      <c r="A1" s="1161" t="s">
        <v>140</v>
      </c>
      <c r="B1" s="1161"/>
      <c r="C1" s="1163" t="s">
        <v>245</v>
      </c>
      <c r="D1" s="1163"/>
      <c r="E1" s="44"/>
      <c r="F1" s="44"/>
      <c r="G1" s="44"/>
    </row>
    <row r="2" spans="1:7" x14ac:dyDescent="0.2">
      <c r="A2" s="1162" t="s">
        <v>548</v>
      </c>
      <c r="B2" s="1162"/>
      <c r="C2" s="214"/>
      <c r="D2" s="44"/>
      <c r="E2" s="44"/>
      <c r="F2" s="44"/>
      <c r="G2" s="44"/>
    </row>
    <row r="3" spans="1:7" ht="8.25" customHeight="1" x14ac:dyDescent="0.2">
      <c r="A3" s="44"/>
      <c r="B3" s="44"/>
      <c r="C3" s="214"/>
      <c r="D3" s="44"/>
      <c r="E3" s="44"/>
      <c r="F3" s="44"/>
      <c r="G3" s="44"/>
    </row>
    <row r="4" spans="1:7" ht="30" customHeight="1" x14ac:dyDescent="0.2">
      <c r="A4" s="1164" t="s">
        <v>1082</v>
      </c>
      <c r="B4" s="1164"/>
      <c r="C4" s="1164"/>
      <c r="D4" s="1164"/>
      <c r="E4" s="44"/>
      <c r="F4" s="44"/>
      <c r="G4" s="44"/>
    </row>
    <row r="5" spans="1:7" ht="19.5" thickBot="1" x14ac:dyDescent="0.25">
      <c r="A5" s="44"/>
      <c r="B5" s="44"/>
      <c r="C5" s="1165" t="s">
        <v>73</v>
      </c>
      <c r="D5" s="1165"/>
      <c r="E5" s="44"/>
      <c r="F5" s="44"/>
      <c r="G5" s="44"/>
    </row>
    <row r="6" spans="1:7" s="56" customFormat="1" ht="16.5" thickTop="1" x14ac:dyDescent="0.2">
      <c r="A6" s="136" t="s">
        <v>52</v>
      </c>
      <c r="B6" s="137" t="s">
        <v>41</v>
      </c>
      <c r="C6" s="215" t="s">
        <v>29</v>
      </c>
      <c r="D6" s="138" t="s">
        <v>2</v>
      </c>
      <c r="E6" s="45"/>
      <c r="F6" s="45"/>
      <c r="G6" s="45"/>
    </row>
    <row r="7" spans="1:7" s="35" customFormat="1" ht="15.75" x14ac:dyDescent="0.2">
      <c r="A7" s="139"/>
      <c r="B7" s="46" t="s">
        <v>146</v>
      </c>
      <c r="C7" s="216"/>
      <c r="D7" s="140"/>
      <c r="E7" s="47"/>
      <c r="F7" s="47"/>
      <c r="G7" s="47"/>
    </row>
    <row r="8" spans="1:7" s="35" customFormat="1" ht="17.100000000000001" customHeight="1" x14ac:dyDescent="0.2">
      <c r="A8" s="151">
        <v>1</v>
      </c>
      <c r="B8" s="166" t="s">
        <v>46</v>
      </c>
      <c r="C8" s="572">
        <f>SUM(C9:C19)</f>
        <v>13691108.449999999</v>
      </c>
      <c r="D8" s="152"/>
      <c r="E8" s="47"/>
      <c r="F8" s="47"/>
      <c r="G8" s="47"/>
    </row>
    <row r="9" spans="1:7" s="33" customFormat="1" ht="34.5" customHeight="1" x14ac:dyDescent="0.2">
      <c r="A9" s="122">
        <v>1.1000000000000001</v>
      </c>
      <c r="B9" s="168" t="s">
        <v>202</v>
      </c>
      <c r="C9" s="218">
        <f>'Bieu 12'!F6</f>
        <v>7403151</v>
      </c>
      <c r="D9" s="153" t="s">
        <v>512</v>
      </c>
      <c r="E9" s="218"/>
    </row>
    <row r="10" spans="1:7" s="33" customFormat="1" ht="17.100000000000001" customHeight="1" x14ac:dyDescent="0.2">
      <c r="A10" s="122">
        <v>1.2</v>
      </c>
      <c r="B10" s="167" t="s">
        <v>66</v>
      </c>
      <c r="C10" s="218">
        <f>75*Bieu2!N305</f>
        <v>2560143.75</v>
      </c>
      <c r="D10" s="153" t="s">
        <v>776</v>
      </c>
    </row>
    <row r="11" spans="1:7" s="33" customFormat="1" ht="28.5" customHeight="1" x14ac:dyDescent="0.2">
      <c r="A11" s="122">
        <v>1.3</v>
      </c>
      <c r="B11" s="29" t="s">
        <v>205</v>
      </c>
      <c r="C11" s="218">
        <f>0.21*'Bieu 9'!E9</f>
        <v>3365138.6999999997</v>
      </c>
      <c r="D11" s="245" t="s">
        <v>1087</v>
      </c>
    </row>
    <row r="12" spans="1:7" s="33" customFormat="1" ht="19.5" customHeight="1" x14ac:dyDescent="0.2">
      <c r="A12" s="122">
        <v>1.4</v>
      </c>
      <c r="B12" s="29" t="s">
        <v>65</v>
      </c>
      <c r="C12" s="218"/>
      <c r="D12" s="153"/>
    </row>
    <row r="13" spans="1:7" s="33" customFormat="1" ht="17.100000000000001" customHeight="1" x14ac:dyDescent="0.2">
      <c r="A13" s="122">
        <v>1.5</v>
      </c>
      <c r="B13" s="29" t="s">
        <v>64</v>
      </c>
      <c r="C13" s="218">
        <f>1000*10</f>
        <v>10000</v>
      </c>
      <c r="D13" s="153"/>
    </row>
    <row r="14" spans="1:7" s="33" customFormat="1" ht="29.25" customHeight="1" x14ac:dyDescent="0.2">
      <c r="A14" s="122">
        <v>1.6</v>
      </c>
      <c r="B14" s="29" t="s">
        <v>1088</v>
      </c>
      <c r="C14" s="218">
        <f>(400*10+1000)*5+4*200*10+9*18500+11100</f>
        <v>210600</v>
      </c>
      <c r="D14" s="245" t="s">
        <v>1089</v>
      </c>
    </row>
    <row r="15" spans="1:7" s="33" customFormat="1" ht="17.100000000000001" customHeight="1" x14ac:dyDescent="0.2">
      <c r="A15" s="122">
        <v>1.7</v>
      </c>
      <c r="B15" s="29" t="s">
        <v>513</v>
      </c>
    </row>
    <row r="16" spans="1:7" s="33" customFormat="1" ht="17.100000000000001" customHeight="1" x14ac:dyDescent="0.2">
      <c r="A16" s="122"/>
      <c r="B16" s="29" t="s">
        <v>514</v>
      </c>
      <c r="C16" s="218">
        <v>30000</v>
      </c>
      <c r="D16" s="153" t="s">
        <v>597</v>
      </c>
    </row>
    <row r="17" spans="1:4" s="33" customFormat="1" ht="27.75" customHeight="1" x14ac:dyDescent="0.2">
      <c r="A17" s="122"/>
      <c r="B17" s="40" t="s">
        <v>1090</v>
      </c>
      <c r="C17" s="218">
        <f>12.5*2*(Bieu1!G15+Bieu1!G13 +Bieu1!G14)</f>
        <v>30075</v>
      </c>
      <c r="D17" s="153" t="s">
        <v>597</v>
      </c>
    </row>
    <row r="18" spans="1:4" s="33" customFormat="1" ht="31.5" customHeight="1" x14ac:dyDescent="0.2">
      <c r="A18" s="122"/>
      <c r="B18" s="29" t="s">
        <v>515</v>
      </c>
      <c r="C18" s="218">
        <v>25000</v>
      </c>
      <c r="D18" s="245" t="s">
        <v>777</v>
      </c>
    </row>
    <row r="19" spans="1:4" s="33" customFormat="1" ht="20.25" customHeight="1" x14ac:dyDescent="0.2">
      <c r="A19" s="122"/>
      <c r="B19" s="29" t="s">
        <v>604</v>
      </c>
      <c r="C19" s="218">
        <f>1500*38</f>
        <v>57000</v>
      </c>
      <c r="D19" s="153" t="s">
        <v>602</v>
      </c>
    </row>
    <row r="20" spans="1:4" s="33" customFormat="1" ht="17.100000000000001" customHeight="1" x14ac:dyDescent="0.2">
      <c r="A20" s="123">
        <v>2</v>
      </c>
      <c r="B20" s="38" t="s">
        <v>203</v>
      </c>
      <c r="C20" s="217">
        <f>SUM(C21:C34)</f>
        <v>3139756.08</v>
      </c>
      <c r="D20" s="153"/>
    </row>
    <row r="21" spans="1:4" s="33" customFormat="1" ht="17.100000000000001" customHeight="1" x14ac:dyDescent="0.2">
      <c r="A21" s="161">
        <v>2.1</v>
      </c>
      <c r="B21" s="40" t="s">
        <v>63</v>
      </c>
      <c r="C21" s="218">
        <f>6*300</f>
        <v>1800</v>
      </c>
      <c r="D21" s="153"/>
    </row>
    <row r="22" spans="1:4" s="33" customFormat="1" ht="17.100000000000001" customHeight="1" x14ac:dyDescent="0.2">
      <c r="A22" s="122" t="s">
        <v>133</v>
      </c>
      <c r="B22" s="40" t="s">
        <v>62</v>
      </c>
      <c r="C22" s="218">
        <f>500*35+2*(Bieu1!G7)</f>
        <v>39284</v>
      </c>
      <c r="D22" s="153" t="s">
        <v>596</v>
      </c>
    </row>
    <row r="23" spans="1:4" s="33" customFormat="1" ht="17.100000000000001" customHeight="1" x14ac:dyDescent="0.2">
      <c r="A23" s="154" t="s">
        <v>134</v>
      </c>
      <c r="B23" s="40" t="s">
        <v>61</v>
      </c>
      <c r="C23" s="219">
        <f>(300+200*11)*10</f>
        <v>25000</v>
      </c>
      <c r="D23" s="155" t="s">
        <v>516</v>
      </c>
    </row>
    <row r="24" spans="1:4" s="33" customFormat="1" ht="17.100000000000001" customHeight="1" x14ac:dyDescent="0.2">
      <c r="A24" s="122" t="s">
        <v>135</v>
      </c>
      <c r="B24" s="40" t="s">
        <v>60</v>
      </c>
      <c r="C24" s="219">
        <f>Bieu4!H8+Bieu4!H18</f>
        <v>42580</v>
      </c>
      <c r="D24" s="155" t="s">
        <v>517</v>
      </c>
    </row>
    <row r="25" spans="1:4" s="33" customFormat="1" ht="17.100000000000001" customHeight="1" x14ac:dyDescent="0.2">
      <c r="A25" s="154" t="s">
        <v>141</v>
      </c>
      <c r="B25" s="40" t="s">
        <v>59</v>
      </c>
      <c r="C25" s="219">
        <f>10*4000</f>
        <v>40000</v>
      </c>
      <c r="D25" s="155"/>
    </row>
    <row r="26" spans="1:4" s="33" customFormat="1" ht="21" customHeight="1" x14ac:dyDescent="0.2">
      <c r="A26" s="122" t="s">
        <v>142</v>
      </c>
      <c r="B26" s="40" t="s">
        <v>58</v>
      </c>
      <c r="C26" s="219">
        <f>115*Bieu2!K305</f>
        <v>409699</v>
      </c>
      <c r="D26" s="155" t="s">
        <v>778</v>
      </c>
    </row>
    <row r="27" spans="1:4" s="33" customFormat="1" ht="17.100000000000001" customHeight="1" x14ac:dyDescent="0.2">
      <c r="A27" s="154" t="s">
        <v>143</v>
      </c>
      <c r="B27" s="40" t="s">
        <v>57</v>
      </c>
      <c r="C27" s="219">
        <v>30000</v>
      </c>
      <c r="D27" s="155"/>
    </row>
    <row r="28" spans="1:4" s="33" customFormat="1" ht="17.100000000000001" customHeight="1" x14ac:dyDescent="0.2">
      <c r="A28" s="122" t="s">
        <v>144</v>
      </c>
      <c r="B28" s="27" t="s">
        <v>56</v>
      </c>
      <c r="C28" s="219">
        <f>Bieu5!F6</f>
        <v>64200</v>
      </c>
      <c r="D28" s="155" t="s">
        <v>518</v>
      </c>
    </row>
    <row r="29" spans="1:4" s="33" customFormat="1" ht="64.5" customHeight="1" x14ac:dyDescent="0.2">
      <c r="A29" s="154" t="s">
        <v>145</v>
      </c>
      <c r="B29" s="34" t="s">
        <v>206</v>
      </c>
      <c r="C29" s="219">
        <f>Bieu4!H12+Bieu4!H16+Bieu4!H17+Bieu4!H23</f>
        <v>462050</v>
      </c>
      <c r="D29" s="155" t="s">
        <v>517</v>
      </c>
    </row>
    <row r="30" spans="1:4" s="33" customFormat="1" ht="17.100000000000001" customHeight="1" x14ac:dyDescent="0.2">
      <c r="A30" s="154">
        <v>2.9</v>
      </c>
      <c r="B30" s="34" t="s">
        <v>107</v>
      </c>
      <c r="C30" s="219">
        <v>10000</v>
      </c>
      <c r="D30" s="155"/>
    </row>
    <row r="31" spans="1:4" s="33" customFormat="1" ht="17.100000000000001" customHeight="1" x14ac:dyDescent="0.2">
      <c r="A31" s="154"/>
      <c r="B31" s="34" t="s">
        <v>779</v>
      </c>
      <c r="C31" s="219">
        <f>'Bieu 7 NCKH'!D18+'Bieu 7 NCKH'!D19+'Bieu 7 NCKH'!D21+'Bieu 7 NCKH'!D22+'Bieu 7 NCKH'!D23+'Bieu 7 NCKH'!D24+'Bieu 7 NCKH'!D25+'Bieu 7 NCKH'!D26</f>
        <v>142000</v>
      </c>
      <c r="D31" s="155" t="s">
        <v>519</v>
      </c>
    </row>
    <row r="32" spans="1:4" s="33" customFormat="1" ht="17.100000000000001" customHeight="1" x14ac:dyDescent="0.2">
      <c r="A32" s="287"/>
      <c r="B32" s="34" t="s">
        <v>1091</v>
      </c>
      <c r="C32" s="219">
        <v>97000</v>
      </c>
      <c r="D32" s="155" t="s">
        <v>605</v>
      </c>
    </row>
    <row r="33" spans="1:5" s="33" customFormat="1" ht="33.75" customHeight="1" x14ac:dyDescent="0.2">
      <c r="A33" s="287"/>
      <c r="B33" s="34" t="s">
        <v>833</v>
      </c>
      <c r="C33" s="219">
        <v>0</v>
      </c>
      <c r="D33" s="155" t="s">
        <v>600</v>
      </c>
    </row>
    <row r="34" spans="1:5" s="33" customFormat="1" ht="31.5" x14ac:dyDescent="0.2">
      <c r="A34" s="157"/>
      <c r="B34" s="34" t="s">
        <v>599</v>
      </c>
      <c r="C34" s="219">
        <f>('Bieu 9'!E9+'Bieu 9'!E18*0.15+'Bieu 9'!E21)*0.1</f>
        <v>1776143.08</v>
      </c>
      <c r="D34" s="753" t="s">
        <v>1092</v>
      </c>
    </row>
    <row r="35" spans="1:5" s="33" customFormat="1" ht="15.75" x14ac:dyDescent="0.2">
      <c r="A35" s="123">
        <v>3</v>
      </c>
      <c r="B35" s="39" t="s">
        <v>44</v>
      </c>
      <c r="C35" s="217">
        <f>SUM(C36:C37)</f>
        <v>154600</v>
      </c>
      <c r="D35" s="155"/>
    </row>
    <row r="36" spans="1:5" s="33" customFormat="1" ht="19.5" customHeight="1" x14ac:dyDescent="0.2">
      <c r="A36" s="157">
        <v>3.1</v>
      </c>
      <c r="B36" s="34" t="s">
        <v>204</v>
      </c>
      <c r="C36" s="219">
        <f>Bieu5!F17+Bieu5!F18+Bieu5!F19</f>
        <v>26600</v>
      </c>
      <c r="D36" s="155" t="s">
        <v>518</v>
      </c>
    </row>
    <row r="37" spans="1:5" s="33" customFormat="1" ht="31.5" x14ac:dyDescent="0.2">
      <c r="A37" s="157">
        <v>3.2</v>
      </c>
      <c r="B37" s="34" t="s">
        <v>1095</v>
      </c>
      <c r="C37" s="219">
        <f>32*4000</f>
        <v>128000</v>
      </c>
      <c r="D37" s="753" t="s">
        <v>825</v>
      </c>
    </row>
    <row r="38" spans="1:5" s="33" customFormat="1" ht="15.75" x14ac:dyDescent="0.2">
      <c r="A38" s="156">
        <v>4</v>
      </c>
      <c r="B38" s="39" t="s">
        <v>107</v>
      </c>
      <c r="C38" s="227">
        <f>C39+C40</f>
        <v>20000</v>
      </c>
      <c r="D38" s="155"/>
    </row>
    <row r="39" spans="1:5" s="33" customFormat="1" ht="15.75" x14ac:dyDescent="0.2">
      <c r="A39" s="157">
        <v>4.0999999999999996</v>
      </c>
      <c r="B39" s="27" t="s">
        <v>105</v>
      </c>
      <c r="C39" s="219">
        <v>5000</v>
      </c>
      <c r="D39" s="155"/>
    </row>
    <row r="40" spans="1:5" s="33" customFormat="1" ht="15.75" x14ac:dyDescent="0.2">
      <c r="A40" s="157">
        <v>4.2</v>
      </c>
      <c r="B40" s="27" t="s">
        <v>106</v>
      </c>
      <c r="C40" s="219">
        <v>15000</v>
      </c>
      <c r="D40" s="155"/>
    </row>
    <row r="41" spans="1:5" s="33" customFormat="1" ht="19.5" thickBot="1" x14ac:dyDescent="0.25">
      <c r="A41" s="158"/>
      <c r="B41" s="213" t="s">
        <v>521</v>
      </c>
      <c r="C41" s="246">
        <f>C38+C35+C20+C8</f>
        <v>17005464.530000001</v>
      </c>
      <c r="D41" s="159"/>
    </row>
    <row r="42" spans="1:5" ht="8.25" customHeight="1" thickTop="1" x14ac:dyDescent="0.2">
      <c r="C42" s="1153"/>
      <c r="D42" s="1153"/>
    </row>
    <row r="43" spans="1:5" ht="14.25" customHeight="1" x14ac:dyDescent="0.2">
      <c r="A43" s="129"/>
      <c r="C43" s="1159" t="s">
        <v>940</v>
      </c>
      <c r="D43" s="1159"/>
    </row>
    <row r="44" spans="1:5" ht="14.25" customHeight="1" x14ac:dyDescent="0.2">
      <c r="C44" s="1160" t="s">
        <v>116</v>
      </c>
      <c r="D44" s="1160"/>
      <c r="E44" s="236"/>
    </row>
    <row r="47" spans="1:5" x14ac:dyDescent="0.2">
      <c r="C47" s="1155" t="s">
        <v>858</v>
      </c>
      <c r="D47" s="1155"/>
    </row>
  </sheetData>
  <mergeCells count="9">
    <mergeCell ref="C47:D47"/>
    <mergeCell ref="C43:D43"/>
    <mergeCell ref="C44:D44"/>
    <mergeCell ref="A1:B1"/>
    <mergeCell ref="A2:B2"/>
    <mergeCell ref="C1:D1"/>
    <mergeCell ref="A4:D4"/>
    <mergeCell ref="C5:D5"/>
    <mergeCell ref="C42:D42"/>
  </mergeCells>
  <pageMargins left="0.57999999999999996" right="0.24" top="0.55000000000000004" bottom="1.1200000000000001" header="0.36" footer="0.17"/>
  <pageSetup scale="95" orientation="portrait"/>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G14" sqref="G14"/>
    </sheetView>
  </sheetViews>
  <sheetFormatPr defaultColWidth="39.42578125" defaultRowHeight="15.75" x14ac:dyDescent="0.2"/>
  <cols>
    <col min="1" max="1" width="5.28515625" style="739" customWidth="1"/>
    <col min="2" max="2" width="25.7109375" style="739" customWidth="1"/>
    <col min="3" max="3" width="23.42578125" style="740" customWidth="1"/>
    <col min="4" max="4" width="14.28515625" style="739" customWidth="1"/>
    <col min="5" max="5" width="11.28515625" style="738" customWidth="1"/>
    <col min="6" max="6" width="7" style="739" customWidth="1"/>
    <col min="7" max="7" width="17.42578125" style="739" customWidth="1"/>
    <col min="8" max="8" width="12.85546875" style="739" customWidth="1"/>
    <col min="9" max="16384" width="39.42578125" style="740"/>
  </cols>
  <sheetData>
    <row r="1" spans="1:8" ht="15.95" customHeight="1" x14ac:dyDescent="0.2">
      <c r="A1" s="1161" t="s">
        <v>138</v>
      </c>
      <c r="B1" s="1161"/>
      <c r="C1" s="44"/>
      <c r="D1" s="44"/>
      <c r="E1" s="44"/>
      <c r="F1" s="44"/>
      <c r="G1" s="44"/>
      <c r="H1" s="762" t="s">
        <v>394</v>
      </c>
    </row>
    <row r="2" spans="1:8" ht="18.75" x14ac:dyDescent="0.2">
      <c r="A2" s="1162" t="s">
        <v>942</v>
      </c>
      <c r="B2" s="1162"/>
      <c r="C2" s="44"/>
      <c r="D2" s="44"/>
      <c r="E2" s="44"/>
      <c r="F2" s="44"/>
      <c r="G2" s="44"/>
      <c r="H2" s="44"/>
    </row>
    <row r="3" spans="1:8" s="741" customFormat="1" ht="18.75" x14ac:dyDescent="0.2">
      <c r="A3" s="44"/>
      <c r="B3" s="44"/>
      <c r="C3" s="44"/>
      <c r="D3" s="44"/>
      <c r="E3" s="44"/>
      <c r="F3" s="44"/>
      <c r="G3" s="44"/>
      <c r="H3" s="44"/>
    </row>
    <row r="4" spans="1:8" s="741" customFormat="1" ht="45.95" customHeight="1" thickBot="1" x14ac:dyDescent="0.25">
      <c r="A4" s="1167" t="s">
        <v>920</v>
      </c>
      <c r="B4" s="1164"/>
      <c r="C4" s="1164"/>
      <c r="D4" s="1164"/>
      <c r="E4" s="1164"/>
      <c r="F4" s="1164"/>
      <c r="G4" s="1164"/>
      <c r="H4" s="1164"/>
    </row>
    <row r="5" spans="1:8" ht="79.5" thickTop="1" x14ac:dyDescent="0.2">
      <c r="A5" s="136" t="s">
        <v>52</v>
      </c>
      <c r="B5" s="839" t="s">
        <v>921</v>
      </c>
      <c r="C5" s="839" t="s">
        <v>815</v>
      </c>
      <c r="D5" s="840" t="s">
        <v>922</v>
      </c>
      <c r="E5" s="840" t="s">
        <v>816</v>
      </c>
      <c r="F5" s="840" t="s">
        <v>817</v>
      </c>
      <c r="G5" s="840" t="s">
        <v>818</v>
      </c>
      <c r="H5" s="841" t="s">
        <v>923</v>
      </c>
    </row>
    <row r="6" spans="1:8" ht="78.75" x14ac:dyDescent="0.2">
      <c r="A6" s="842">
        <v>1</v>
      </c>
      <c r="B6" s="843" t="s">
        <v>924</v>
      </c>
      <c r="C6" s="844" t="s">
        <v>924</v>
      </c>
      <c r="D6" s="845" t="s">
        <v>925</v>
      </c>
      <c r="E6" s="845" t="s">
        <v>926</v>
      </c>
      <c r="F6" s="846">
        <v>4</v>
      </c>
      <c r="G6" s="845" t="s">
        <v>251</v>
      </c>
      <c r="H6" s="847" t="s">
        <v>927</v>
      </c>
    </row>
    <row r="7" spans="1:8" x14ac:dyDescent="0.2">
      <c r="A7" s="141">
        <v>2</v>
      </c>
      <c r="B7" s="48" t="s">
        <v>928</v>
      </c>
      <c r="C7" s="848" t="s">
        <v>928</v>
      </c>
      <c r="D7" s="849" t="s">
        <v>925</v>
      </c>
      <c r="E7" s="849" t="s">
        <v>929</v>
      </c>
      <c r="F7" s="850">
        <v>2</v>
      </c>
      <c r="G7" s="845" t="s">
        <v>251</v>
      </c>
      <c r="H7" s="142" t="s">
        <v>930</v>
      </c>
    </row>
    <row r="8" spans="1:8" x14ac:dyDescent="0.2">
      <c r="A8" s="842">
        <v>3</v>
      </c>
      <c r="B8" s="851" t="s">
        <v>821</v>
      </c>
      <c r="C8" s="852" t="s">
        <v>821</v>
      </c>
      <c r="D8" s="853" t="s">
        <v>925</v>
      </c>
      <c r="E8" s="853" t="s">
        <v>823</v>
      </c>
      <c r="F8" s="854">
        <v>4</v>
      </c>
      <c r="G8" s="853" t="s">
        <v>249</v>
      </c>
      <c r="H8" s="144" t="s">
        <v>930</v>
      </c>
    </row>
    <row r="9" spans="1:8" ht="15" customHeight="1" x14ac:dyDescent="0.2">
      <c r="A9" s="141">
        <v>4</v>
      </c>
      <c r="B9" s="855" t="s">
        <v>931</v>
      </c>
      <c r="C9" s="856" t="s">
        <v>932</v>
      </c>
      <c r="D9" s="853" t="s">
        <v>933</v>
      </c>
      <c r="E9" s="853"/>
      <c r="F9" s="854">
        <v>3</v>
      </c>
      <c r="G9" s="845" t="s">
        <v>251</v>
      </c>
      <c r="H9" s="144" t="s">
        <v>930</v>
      </c>
    </row>
    <row r="10" spans="1:8" ht="78.75" x14ac:dyDescent="0.2">
      <c r="A10" s="141">
        <v>5</v>
      </c>
      <c r="B10" s="857" t="s">
        <v>934</v>
      </c>
      <c r="C10" s="857" t="s">
        <v>934</v>
      </c>
      <c r="D10" s="853" t="s">
        <v>933</v>
      </c>
      <c r="E10" s="858"/>
      <c r="F10" s="846">
        <v>3</v>
      </c>
      <c r="G10" s="845" t="s">
        <v>824</v>
      </c>
      <c r="H10" s="847" t="s">
        <v>927</v>
      </c>
    </row>
    <row r="11" spans="1:8" s="160" customFormat="1" ht="15" customHeight="1" x14ac:dyDescent="0.2">
      <c r="A11" s="842">
        <v>6</v>
      </c>
      <c r="B11" s="48" t="s">
        <v>935</v>
      </c>
      <c r="C11" s="48" t="s">
        <v>935</v>
      </c>
      <c r="D11" s="853" t="s">
        <v>925</v>
      </c>
      <c r="E11" s="853" t="s">
        <v>936</v>
      </c>
      <c r="F11" s="850">
        <v>4</v>
      </c>
      <c r="G11" s="849" t="s">
        <v>824</v>
      </c>
      <c r="H11" s="847" t="s">
        <v>927</v>
      </c>
    </row>
    <row r="12" spans="1:8" x14ac:dyDescent="0.2">
      <c r="A12" s="141">
        <v>7</v>
      </c>
      <c r="B12" s="851" t="s">
        <v>820</v>
      </c>
      <c r="C12" s="851" t="s">
        <v>820</v>
      </c>
      <c r="D12" s="853" t="s">
        <v>925</v>
      </c>
      <c r="E12" s="853" t="s">
        <v>822</v>
      </c>
      <c r="F12" s="854">
        <v>5</v>
      </c>
      <c r="G12" s="849" t="s">
        <v>824</v>
      </c>
      <c r="H12" s="144" t="s">
        <v>930</v>
      </c>
    </row>
    <row r="13" spans="1:8" ht="47.25" x14ac:dyDescent="0.2">
      <c r="A13" s="842">
        <v>8</v>
      </c>
      <c r="B13" s="52" t="s">
        <v>937</v>
      </c>
      <c r="C13" s="52" t="s">
        <v>938</v>
      </c>
      <c r="D13" s="853" t="s">
        <v>925</v>
      </c>
      <c r="E13" s="853" t="s">
        <v>939</v>
      </c>
      <c r="F13" s="859">
        <v>3</v>
      </c>
      <c r="G13" s="860" t="s">
        <v>250</v>
      </c>
      <c r="H13" s="144" t="s">
        <v>930</v>
      </c>
    </row>
    <row r="14" spans="1:8" x14ac:dyDescent="0.2">
      <c r="A14" s="1033">
        <v>9</v>
      </c>
      <c r="B14" s="1034" t="s">
        <v>704</v>
      </c>
      <c r="C14" s="1034"/>
      <c r="D14" s="1035"/>
      <c r="E14" s="1035" t="s">
        <v>1093</v>
      </c>
      <c r="F14" s="1036">
        <v>4</v>
      </c>
      <c r="G14" s="860" t="s">
        <v>250</v>
      </c>
      <c r="H14" s="144" t="s">
        <v>1094</v>
      </c>
    </row>
    <row r="15" spans="1:8" ht="15" customHeight="1" thickBot="1" x14ac:dyDescent="0.25">
      <c r="A15" s="861" t="s">
        <v>394</v>
      </c>
      <c r="B15" s="862" t="s">
        <v>819</v>
      </c>
      <c r="C15" s="863" t="s">
        <v>394</v>
      </c>
      <c r="D15" s="864"/>
      <c r="E15" s="865"/>
      <c r="F15" s="865">
        <f>SUM(F6:F14)</f>
        <v>32</v>
      </c>
      <c r="G15" s="865"/>
      <c r="H15" s="866"/>
    </row>
    <row r="16" spans="1:8" ht="15.95" customHeight="1" thickTop="1" x14ac:dyDescent="0.25">
      <c r="A16" s="44"/>
      <c r="B16" s="44"/>
      <c r="C16" s="1166" t="s">
        <v>940</v>
      </c>
      <c r="D16" s="1166"/>
      <c r="E16" s="1166"/>
      <c r="F16" s="1166"/>
      <c r="G16" s="1166"/>
      <c r="H16" s="1166"/>
    </row>
    <row r="17" spans="1:8" ht="24" customHeight="1" x14ac:dyDescent="0.2">
      <c r="A17" s="44"/>
      <c r="B17" s="44"/>
      <c r="D17" s="867"/>
      <c r="E17" s="867"/>
      <c r="F17" s="867"/>
      <c r="G17" s="867" t="s">
        <v>941</v>
      </c>
      <c r="H17" s="867"/>
    </row>
    <row r="18" spans="1:8" x14ac:dyDescent="0.2">
      <c r="A18" s="740"/>
      <c r="B18" s="740"/>
      <c r="C18" s="739"/>
      <c r="D18" s="738"/>
      <c r="E18" s="739"/>
      <c r="H18" s="740"/>
    </row>
    <row r="19" spans="1:8" x14ac:dyDescent="0.2">
      <c r="A19" s="740"/>
      <c r="B19" s="740"/>
      <c r="C19" s="739"/>
      <c r="D19" s="738"/>
      <c r="E19" s="739"/>
      <c r="H19" s="740"/>
    </row>
    <row r="20" spans="1:8" x14ac:dyDescent="0.2">
      <c r="A20" s="740"/>
      <c r="B20" s="740"/>
      <c r="C20" s="739"/>
      <c r="D20" s="738"/>
      <c r="E20" s="739"/>
      <c r="H20" s="740"/>
    </row>
    <row r="21" spans="1:8" x14ac:dyDescent="0.2">
      <c r="A21" s="740"/>
      <c r="B21" s="740"/>
      <c r="C21" s="739"/>
      <c r="D21" s="738"/>
      <c r="E21" s="739"/>
      <c r="H21" s="740"/>
    </row>
    <row r="22" spans="1:8" ht="16.5" x14ac:dyDescent="0.2">
      <c r="A22" s="740"/>
      <c r="B22" s="742"/>
      <c r="C22" s="739"/>
      <c r="D22" s="738"/>
      <c r="E22" s="739"/>
      <c r="F22" s="743"/>
      <c r="G22" s="741"/>
      <c r="H22" s="740"/>
    </row>
  </sheetData>
  <mergeCells count="4">
    <mergeCell ref="C16:H16"/>
    <mergeCell ref="A1:B1"/>
    <mergeCell ref="A2:B2"/>
    <mergeCell ref="A4:H4"/>
  </mergeCells>
  <pageMargins left="0.7" right="0.7" top="0.75" bottom="0.75" header="0.3" footer="0.3"/>
  <pageSetup orientation="landscape" horizontalDpi="4294967295" verticalDpi="4294967295"/>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8"/>
  <sheetViews>
    <sheetView topLeftCell="A2" workbookViewId="0">
      <selection activeCell="B22" sqref="B22"/>
    </sheetView>
  </sheetViews>
  <sheetFormatPr defaultColWidth="9.140625" defaultRowHeight="18.75" x14ac:dyDescent="0.2"/>
  <cols>
    <col min="1" max="1" width="5.85546875" style="32" customWidth="1"/>
    <col min="2" max="2" width="45.85546875" style="32" customWidth="1"/>
    <col min="3" max="3" width="21.28515625" style="220" customWidth="1"/>
    <col min="4" max="4" width="23.7109375" style="32" customWidth="1"/>
    <col min="5" max="16384" width="9.140625" style="32"/>
  </cols>
  <sheetData>
    <row r="1" spans="1:6" x14ac:dyDescent="0.2">
      <c r="A1" s="1161" t="s">
        <v>138</v>
      </c>
      <c r="B1" s="1161"/>
      <c r="C1" s="214"/>
      <c r="D1" s="43" t="s">
        <v>247</v>
      </c>
      <c r="E1" s="44"/>
      <c r="F1" s="44"/>
    </row>
    <row r="2" spans="1:6" x14ac:dyDescent="0.2">
      <c r="A2" s="1162" t="s">
        <v>555</v>
      </c>
      <c r="B2" s="1162"/>
      <c r="C2" s="214"/>
      <c r="D2" s="44"/>
      <c r="E2" s="44"/>
      <c r="F2" s="44"/>
    </row>
    <row r="3" spans="1:6" ht="12" customHeight="1" x14ac:dyDescent="0.2">
      <c r="A3" s="44"/>
      <c r="B3" s="44"/>
      <c r="C3" s="214"/>
      <c r="D3" s="44"/>
      <c r="E3" s="44"/>
      <c r="F3" s="44"/>
    </row>
    <row r="4" spans="1:6" ht="24" customHeight="1" x14ac:dyDescent="0.2">
      <c r="A4" s="1164" t="s">
        <v>1096</v>
      </c>
      <c r="B4" s="1164"/>
      <c r="C4" s="1164"/>
      <c r="D4" s="1164"/>
      <c r="E4" s="44"/>
      <c r="F4" s="44"/>
    </row>
    <row r="5" spans="1:6" ht="19.5" thickBot="1" x14ac:dyDescent="0.25">
      <c r="A5" s="44"/>
      <c r="B5" s="44"/>
      <c r="C5" s="1168" t="s">
        <v>571</v>
      </c>
      <c r="D5" s="1168"/>
      <c r="E5" s="44"/>
      <c r="F5" s="44"/>
    </row>
    <row r="6" spans="1:6" s="37" customFormat="1" ht="16.5" thickTop="1" x14ac:dyDescent="0.2">
      <c r="A6" s="136" t="s">
        <v>52</v>
      </c>
      <c r="B6" s="137" t="s">
        <v>41</v>
      </c>
      <c r="C6" s="215" t="s">
        <v>74</v>
      </c>
      <c r="D6" s="138" t="s">
        <v>2</v>
      </c>
      <c r="E6" s="45"/>
      <c r="F6" s="45"/>
    </row>
    <row r="7" spans="1:6" s="35" customFormat="1" ht="15.75" x14ac:dyDescent="0.2">
      <c r="A7" s="139" t="s">
        <v>6</v>
      </c>
      <c r="B7" s="46" t="s">
        <v>112</v>
      </c>
      <c r="C7" s="216">
        <f>SUM(C8:C11)</f>
        <v>45411992</v>
      </c>
      <c r="D7" s="140" t="s">
        <v>572</v>
      </c>
      <c r="E7" s="47"/>
      <c r="F7" s="47"/>
    </row>
    <row r="8" spans="1:6" s="33" customFormat="1" ht="15.75" x14ac:dyDescent="0.2">
      <c r="A8" s="141">
        <v>1</v>
      </c>
      <c r="B8" s="48" t="s">
        <v>50</v>
      </c>
      <c r="C8" s="223">
        <f>'Bieu 9'!E7</f>
        <v>37749992</v>
      </c>
      <c r="D8" s="142"/>
      <c r="E8" s="49"/>
      <c r="F8" s="49"/>
    </row>
    <row r="9" spans="1:6" s="33" customFormat="1" ht="15.75" x14ac:dyDescent="0.2">
      <c r="A9" s="143">
        <v>2</v>
      </c>
      <c r="B9" s="50" t="s">
        <v>49</v>
      </c>
      <c r="C9" s="224">
        <f>'Bieu 9'!E30</f>
        <v>0</v>
      </c>
      <c r="D9" s="144"/>
      <c r="E9" s="49"/>
      <c r="F9" s="49"/>
    </row>
    <row r="10" spans="1:6" s="33" customFormat="1" ht="15.75" x14ac:dyDescent="0.2">
      <c r="A10" s="143">
        <v>3</v>
      </c>
      <c r="B10" s="50" t="s">
        <v>48</v>
      </c>
      <c r="C10" s="224">
        <f>'Bieu 9'!E34</f>
        <v>0</v>
      </c>
      <c r="D10" s="144"/>
      <c r="E10" s="49"/>
      <c r="F10" s="49"/>
    </row>
    <row r="11" spans="1:6" s="33" customFormat="1" ht="15.75" x14ac:dyDescent="0.2">
      <c r="A11" s="145">
        <v>4</v>
      </c>
      <c r="B11" s="50" t="s">
        <v>47</v>
      </c>
      <c r="C11" s="224">
        <f>'Bieu 9'!E33</f>
        <v>7662000</v>
      </c>
      <c r="D11" s="144"/>
      <c r="E11" s="49"/>
      <c r="F11" s="49"/>
    </row>
    <row r="12" spans="1:6" s="33" customFormat="1" ht="15.75" x14ac:dyDescent="0.2">
      <c r="A12" s="146"/>
      <c r="B12" s="51"/>
      <c r="C12" s="225"/>
      <c r="D12" s="147"/>
      <c r="E12" s="49"/>
      <c r="F12" s="49"/>
    </row>
    <row r="13" spans="1:6" s="35" customFormat="1" ht="15.75" x14ac:dyDescent="0.2">
      <c r="A13" s="139" t="s">
        <v>19</v>
      </c>
      <c r="B13" s="46" t="s">
        <v>147</v>
      </c>
      <c r="C13" s="216">
        <f>SUM(C14:C17)</f>
        <v>17005464.530000001</v>
      </c>
      <c r="D13" s="140" t="s">
        <v>573</v>
      </c>
      <c r="E13" s="47"/>
      <c r="F13" s="47"/>
    </row>
    <row r="14" spans="1:6" s="33" customFormat="1" ht="15.75" x14ac:dyDescent="0.2">
      <c r="A14" s="141">
        <v>1</v>
      </c>
      <c r="B14" s="48" t="s">
        <v>46</v>
      </c>
      <c r="C14" s="223">
        <f>'Bieu 10'!C8</f>
        <v>13691108.449999999</v>
      </c>
      <c r="D14" s="142"/>
      <c r="E14" s="49"/>
      <c r="F14" s="49"/>
    </row>
    <row r="15" spans="1:6" s="33" customFormat="1" ht="15.75" x14ac:dyDescent="0.2">
      <c r="A15" s="145">
        <v>2</v>
      </c>
      <c r="B15" s="50" t="s">
        <v>45</v>
      </c>
      <c r="C15" s="224">
        <f>'Bieu 10'!C20</f>
        <v>3139756.08</v>
      </c>
      <c r="D15" s="144"/>
      <c r="E15" s="49"/>
      <c r="F15" s="49"/>
    </row>
    <row r="16" spans="1:6" s="33" customFormat="1" ht="15.75" x14ac:dyDescent="0.2">
      <c r="A16" s="148">
        <v>3</v>
      </c>
      <c r="B16" s="52" t="s">
        <v>44</v>
      </c>
      <c r="C16" s="226">
        <f>'Bieu 10'!C35</f>
        <v>154600</v>
      </c>
      <c r="D16" s="149"/>
      <c r="E16" s="49"/>
      <c r="F16" s="49"/>
    </row>
    <row r="17" spans="1:6" s="33" customFormat="1" ht="15.75" x14ac:dyDescent="0.2">
      <c r="A17" s="148">
        <v>4</v>
      </c>
      <c r="B17" s="52" t="s">
        <v>17</v>
      </c>
      <c r="C17" s="226">
        <f>'Bieu 10'!C38</f>
        <v>20000</v>
      </c>
      <c r="D17" s="149"/>
      <c r="E17" s="49"/>
      <c r="F17" s="49"/>
    </row>
    <row r="18" spans="1:6" s="33" customFormat="1" ht="16.5" thickBot="1" x14ac:dyDescent="0.25">
      <c r="A18" s="286" t="s">
        <v>445</v>
      </c>
      <c r="B18" s="574" t="s">
        <v>601</v>
      </c>
      <c r="C18" s="573">
        <f>C7-C13</f>
        <v>28406527.469999999</v>
      </c>
      <c r="D18" s="150"/>
      <c r="E18" s="49"/>
      <c r="F18" s="49"/>
    </row>
    <row r="19" spans="1:6" ht="19.5" thickTop="1" x14ac:dyDescent="0.25">
      <c r="A19" s="44"/>
      <c r="B19" s="44"/>
      <c r="C19" s="1166" t="s">
        <v>940</v>
      </c>
      <c r="D19" s="1166"/>
      <c r="E19" s="44"/>
      <c r="F19" s="44"/>
    </row>
    <row r="20" spans="1:6" x14ac:dyDescent="0.2">
      <c r="A20" s="44"/>
      <c r="B20" s="44"/>
      <c r="C20" s="1150" t="s">
        <v>21</v>
      </c>
      <c r="D20" s="1150"/>
      <c r="E20" s="44"/>
      <c r="F20" s="44"/>
    </row>
    <row r="22" spans="1:6" x14ac:dyDescent="0.2">
      <c r="B22" s="33"/>
    </row>
    <row r="23" spans="1:6" x14ac:dyDescent="0.2">
      <c r="B23" s="33"/>
    </row>
    <row r="24" spans="1:6" x14ac:dyDescent="0.2">
      <c r="B24" s="33"/>
      <c r="C24" s="1155" t="s">
        <v>858</v>
      </c>
      <c r="D24" s="1155"/>
    </row>
    <row r="25" spans="1:6" x14ac:dyDescent="0.2">
      <c r="B25" s="33"/>
    </row>
    <row r="278" spans="3:3" x14ac:dyDescent="0.2">
      <c r="C278" s="282" t="s">
        <v>592</v>
      </c>
    </row>
  </sheetData>
  <mergeCells count="7">
    <mergeCell ref="C24:D24"/>
    <mergeCell ref="C20:D20"/>
    <mergeCell ref="A1:B1"/>
    <mergeCell ref="A2:B2"/>
    <mergeCell ref="A4:D4"/>
    <mergeCell ref="C5:D5"/>
    <mergeCell ref="C19:D19"/>
  </mergeCells>
  <pageMargins left="0.48" right="0.51" top="0.52" bottom="0.75" header="0.54" footer="0.3"/>
  <pageSetup orientation="portrait"/>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pageSetUpPr fitToPage="1"/>
  </sheetPr>
  <dimension ref="A1:G43"/>
  <sheetViews>
    <sheetView topLeftCell="C1" workbookViewId="0">
      <selection activeCell="D14" sqref="D14"/>
    </sheetView>
  </sheetViews>
  <sheetFormatPr defaultColWidth="9.140625" defaultRowHeight="15" x14ac:dyDescent="0.25"/>
  <cols>
    <col min="1" max="1" width="5.28515625" style="134" customWidth="1"/>
    <col min="2" max="2" width="46" style="133" bestFit="1" customWidth="1"/>
    <col min="3" max="3" width="29" style="135" customWidth="1"/>
    <col min="4" max="4" width="23.42578125" style="135" customWidth="1"/>
    <col min="5" max="5" width="21.140625" style="135" customWidth="1"/>
    <col min="6" max="6" width="17.42578125" style="135" customWidth="1"/>
    <col min="7" max="7" width="21" style="133" customWidth="1"/>
    <col min="8" max="16384" width="9.140625" style="133"/>
  </cols>
  <sheetData>
    <row r="1" spans="1:7" s="131" customFormat="1" ht="18" customHeight="1" x14ac:dyDescent="0.25">
      <c r="A1" s="1169" t="s">
        <v>108</v>
      </c>
      <c r="B1" s="1169"/>
      <c r="C1" s="130"/>
      <c r="D1" s="130"/>
      <c r="E1" s="130"/>
      <c r="F1" s="130"/>
      <c r="G1" s="131" t="s">
        <v>549</v>
      </c>
    </row>
    <row r="2" spans="1:7" s="131" customFormat="1" ht="18" customHeight="1" x14ac:dyDescent="0.25">
      <c r="A2" s="1170" t="s">
        <v>3</v>
      </c>
      <c r="B2" s="1170"/>
      <c r="C2" s="130"/>
      <c r="D2" s="130"/>
      <c r="E2" s="130"/>
      <c r="F2" s="130"/>
      <c r="G2" s="182" t="s">
        <v>248</v>
      </c>
    </row>
    <row r="3" spans="1:7" s="131" customFormat="1" ht="55.5" customHeight="1" x14ac:dyDescent="0.25">
      <c r="A3" s="888"/>
      <c r="B3" s="1171" t="s">
        <v>1083</v>
      </c>
      <c r="C3" s="1171"/>
      <c r="D3" s="1171"/>
      <c r="E3" s="1171"/>
      <c r="F3" s="1171"/>
      <c r="G3" s="1171"/>
    </row>
    <row r="4" spans="1:7" s="132" customFormat="1" ht="63" x14ac:dyDescent="0.25">
      <c r="A4" s="406" t="s">
        <v>0</v>
      </c>
      <c r="B4" s="407" t="s">
        <v>91</v>
      </c>
      <c r="C4" s="407" t="s">
        <v>188</v>
      </c>
      <c r="D4" s="407" t="s">
        <v>189</v>
      </c>
      <c r="E4" s="407" t="s">
        <v>110</v>
      </c>
      <c r="F4" s="407" t="s">
        <v>109</v>
      </c>
      <c r="G4" s="407" t="s">
        <v>2</v>
      </c>
    </row>
    <row r="5" spans="1:7" ht="15.75" x14ac:dyDescent="0.25">
      <c r="A5" s="408">
        <v>1</v>
      </c>
      <c r="B5" s="409" t="s">
        <v>623</v>
      </c>
      <c r="C5" s="409">
        <v>1961531</v>
      </c>
      <c r="D5" s="409">
        <v>298973</v>
      </c>
      <c r="E5" s="409">
        <v>921850</v>
      </c>
      <c r="F5" s="409">
        <f>SUM(C5:E5)</f>
        <v>3182354</v>
      </c>
      <c r="G5" s="410"/>
    </row>
    <row r="6" spans="1:7" ht="15.75" x14ac:dyDescent="0.25">
      <c r="A6" s="1030">
        <v>2</v>
      </c>
      <c r="B6" s="1031" t="s">
        <v>624</v>
      </c>
      <c r="C6" s="1031">
        <v>5471541</v>
      </c>
      <c r="D6" s="1031">
        <v>835528</v>
      </c>
      <c r="E6" s="1031">
        <v>1096082</v>
      </c>
      <c r="F6" s="1031">
        <f t="shared" ref="F6:F42" si="0">SUM(C6:E6)</f>
        <v>7403151</v>
      </c>
      <c r="G6" s="1032"/>
    </row>
    <row r="7" spans="1:7" ht="15.75" x14ac:dyDescent="0.25">
      <c r="A7" s="408">
        <v>3</v>
      </c>
      <c r="B7" s="409" t="s">
        <v>625</v>
      </c>
      <c r="C7" s="409">
        <v>2566733</v>
      </c>
      <c r="D7" s="409">
        <v>394213</v>
      </c>
      <c r="E7" s="409">
        <v>524256</v>
      </c>
      <c r="F7" s="409">
        <f t="shared" si="0"/>
        <v>3485202</v>
      </c>
      <c r="G7" s="410"/>
    </row>
    <row r="8" spans="1:7" ht="15.75" x14ac:dyDescent="0.25">
      <c r="A8" s="408">
        <v>4</v>
      </c>
      <c r="B8" s="409" t="s">
        <v>626</v>
      </c>
      <c r="C8" s="409">
        <v>5996275</v>
      </c>
      <c r="D8" s="409">
        <v>929806</v>
      </c>
      <c r="E8" s="409">
        <v>1486587</v>
      </c>
      <c r="F8" s="409">
        <f t="shared" si="0"/>
        <v>8412668</v>
      </c>
      <c r="G8" s="409"/>
    </row>
    <row r="9" spans="1:7" ht="15.75" x14ac:dyDescent="0.25">
      <c r="A9" s="408">
        <v>5</v>
      </c>
      <c r="B9" s="409" t="s">
        <v>627</v>
      </c>
      <c r="C9" s="409">
        <v>3486485</v>
      </c>
      <c r="D9" s="409">
        <v>528384</v>
      </c>
      <c r="E9" s="409">
        <v>1037230</v>
      </c>
      <c r="F9" s="409">
        <f t="shared" si="0"/>
        <v>5052099</v>
      </c>
      <c r="G9" s="409"/>
    </row>
    <row r="10" spans="1:7" ht="15.75" x14ac:dyDescent="0.25">
      <c r="A10" s="408">
        <v>6</v>
      </c>
      <c r="B10" s="409" t="s">
        <v>628</v>
      </c>
      <c r="C10" s="409">
        <v>6298996</v>
      </c>
      <c r="D10" s="409">
        <v>975906</v>
      </c>
      <c r="E10" s="409">
        <v>1390654</v>
      </c>
      <c r="F10" s="409">
        <f t="shared" si="0"/>
        <v>8665556</v>
      </c>
      <c r="G10" s="409"/>
    </row>
    <row r="11" spans="1:7" ht="15.75" x14ac:dyDescent="0.25">
      <c r="A11" s="408">
        <v>7</v>
      </c>
      <c r="B11" s="409" t="s">
        <v>629</v>
      </c>
      <c r="C11" s="409">
        <v>3900194</v>
      </c>
      <c r="D11" s="409">
        <v>646432</v>
      </c>
      <c r="E11" s="409">
        <v>1073709</v>
      </c>
      <c r="F11" s="409">
        <f t="shared" si="0"/>
        <v>5620335</v>
      </c>
      <c r="G11" s="409"/>
    </row>
    <row r="12" spans="1:7" ht="15.75" x14ac:dyDescent="0.25">
      <c r="A12" s="408">
        <v>8</v>
      </c>
      <c r="B12" s="409" t="s">
        <v>630</v>
      </c>
      <c r="C12" s="409">
        <v>860664</v>
      </c>
      <c r="D12" s="409">
        <v>134679</v>
      </c>
      <c r="E12" s="409">
        <v>265695</v>
      </c>
      <c r="F12" s="409">
        <f t="shared" si="0"/>
        <v>1261038</v>
      </c>
      <c r="G12" s="409"/>
    </row>
    <row r="13" spans="1:7" ht="15.75" x14ac:dyDescent="0.25">
      <c r="A13" s="408">
        <v>9</v>
      </c>
      <c r="B13" s="409" t="s">
        <v>631</v>
      </c>
      <c r="C13" s="409">
        <v>749788</v>
      </c>
      <c r="D13" s="409">
        <v>121554</v>
      </c>
      <c r="E13" s="409">
        <v>347928</v>
      </c>
      <c r="F13" s="409">
        <f t="shared" si="0"/>
        <v>1219270</v>
      </c>
      <c r="G13" s="409"/>
    </row>
    <row r="14" spans="1:7" ht="15.75" x14ac:dyDescent="0.25">
      <c r="A14" s="408">
        <v>10</v>
      </c>
      <c r="B14" s="409" t="s">
        <v>190</v>
      </c>
      <c r="C14" s="409">
        <v>1053504</v>
      </c>
      <c r="D14" s="409">
        <v>162039</v>
      </c>
      <c r="E14" s="409">
        <v>422994</v>
      </c>
      <c r="F14" s="409">
        <f t="shared" si="0"/>
        <v>1638537</v>
      </c>
      <c r="G14" s="409"/>
    </row>
    <row r="15" spans="1:7" ht="15.75" x14ac:dyDescent="0.25">
      <c r="A15" s="408">
        <v>11</v>
      </c>
      <c r="B15" s="409" t="s">
        <v>191</v>
      </c>
      <c r="C15" s="409">
        <v>1115112</v>
      </c>
      <c r="D15" s="409">
        <v>175028</v>
      </c>
      <c r="E15" s="409">
        <v>300049</v>
      </c>
      <c r="F15" s="409">
        <f t="shared" si="0"/>
        <v>1590189</v>
      </c>
      <c r="G15" s="409"/>
    </row>
    <row r="16" spans="1:7" ht="15.75" x14ac:dyDescent="0.25">
      <c r="A16" s="408">
        <v>12</v>
      </c>
      <c r="B16" s="409" t="s">
        <v>192</v>
      </c>
      <c r="C16" s="409">
        <v>1505530</v>
      </c>
      <c r="D16" s="409">
        <v>233620</v>
      </c>
      <c r="E16" s="409">
        <v>713515</v>
      </c>
      <c r="F16" s="409">
        <f t="shared" si="0"/>
        <v>2452665</v>
      </c>
      <c r="G16" s="409"/>
    </row>
    <row r="17" spans="1:7" ht="15.75" x14ac:dyDescent="0.25">
      <c r="A17" s="408">
        <v>13</v>
      </c>
      <c r="B17" s="409" t="s">
        <v>632</v>
      </c>
      <c r="C17" s="409">
        <v>1181780</v>
      </c>
      <c r="D17" s="409">
        <v>182904</v>
      </c>
      <c r="E17" s="409">
        <v>593430</v>
      </c>
      <c r="F17" s="409">
        <f t="shared" si="0"/>
        <v>1958114</v>
      </c>
      <c r="G17" s="409"/>
    </row>
    <row r="18" spans="1:7" ht="15.75" x14ac:dyDescent="0.25">
      <c r="A18" s="408">
        <v>14</v>
      </c>
      <c r="B18" s="409" t="s">
        <v>193</v>
      </c>
      <c r="C18" s="409">
        <v>798106</v>
      </c>
      <c r="D18" s="409">
        <v>122163</v>
      </c>
      <c r="E18" s="409">
        <v>326031</v>
      </c>
      <c r="F18" s="409">
        <f t="shared" si="0"/>
        <v>1246300</v>
      </c>
      <c r="G18" s="409"/>
    </row>
    <row r="19" spans="1:7" ht="15.75" x14ac:dyDescent="0.25">
      <c r="A19" s="408">
        <v>15</v>
      </c>
      <c r="B19" s="409" t="s">
        <v>633</v>
      </c>
      <c r="C19" s="409">
        <v>2493731</v>
      </c>
      <c r="D19" s="409">
        <v>388468</v>
      </c>
      <c r="E19" s="409">
        <v>1136893</v>
      </c>
      <c r="F19" s="409">
        <f t="shared" si="0"/>
        <v>4019092</v>
      </c>
      <c r="G19" s="409"/>
    </row>
    <row r="20" spans="1:7" ht="15.75" x14ac:dyDescent="0.25">
      <c r="A20" s="408">
        <v>16</v>
      </c>
      <c r="B20" s="409" t="s">
        <v>1084</v>
      </c>
      <c r="C20" s="409">
        <v>745141</v>
      </c>
      <c r="D20" s="409">
        <v>115944</v>
      </c>
      <c r="E20" s="409">
        <v>277581</v>
      </c>
      <c r="F20" s="409">
        <f t="shared" si="0"/>
        <v>1138666</v>
      </c>
      <c r="G20" s="409"/>
    </row>
    <row r="21" spans="1:7" ht="15.75" x14ac:dyDescent="0.25">
      <c r="A21" s="408">
        <v>17</v>
      </c>
      <c r="B21" s="409" t="s">
        <v>634</v>
      </c>
      <c r="C21" s="409">
        <v>659467</v>
      </c>
      <c r="D21" s="409">
        <v>102440</v>
      </c>
      <c r="E21" s="409">
        <v>305342</v>
      </c>
      <c r="F21" s="409">
        <f t="shared" si="0"/>
        <v>1067249</v>
      </c>
      <c r="G21" s="409"/>
    </row>
    <row r="22" spans="1:7" ht="15.75" x14ac:dyDescent="0.25">
      <c r="A22" s="408">
        <v>18</v>
      </c>
      <c r="B22" s="409" t="s">
        <v>194</v>
      </c>
      <c r="C22" s="409">
        <v>866844</v>
      </c>
      <c r="D22" s="409">
        <v>139559</v>
      </c>
      <c r="E22" s="409">
        <v>352915</v>
      </c>
      <c r="F22" s="409">
        <f t="shared" si="0"/>
        <v>1359318</v>
      </c>
      <c r="G22" s="409"/>
    </row>
    <row r="23" spans="1:7" ht="15.75" x14ac:dyDescent="0.25">
      <c r="A23" s="408">
        <v>19</v>
      </c>
      <c r="B23" s="409" t="s">
        <v>1085</v>
      </c>
      <c r="C23" s="409">
        <v>647918</v>
      </c>
      <c r="D23" s="409">
        <v>100084</v>
      </c>
      <c r="E23" s="409">
        <v>201239</v>
      </c>
      <c r="F23" s="409">
        <f t="shared" si="0"/>
        <v>949241</v>
      </c>
      <c r="G23" s="409"/>
    </row>
    <row r="24" spans="1:7" ht="15.75" x14ac:dyDescent="0.25">
      <c r="A24" s="408">
        <v>20</v>
      </c>
      <c r="B24" s="409" t="s">
        <v>195</v>
      </c>
      <c r="C24" s="409">
        <v>628796</v>
      </c>
      <c r="D24" s="409">
        <v>94351</v>
      </c>
      <c r="E24" s="409">
        <v>269091</v>
      </c>
      <c r="F24" s="409">
        <f t="shared" si="0"/>
        <v>992238</v>
      </c>
      <c r="G24" s="409"/>
    </row>
    <row r="25" spans="1:7" ht="15.75" x14ac:dyDescent="0.25">
      <c r="A25" s="408">
        <v>21</v>
      </c>
      <c r="B25" s="409" t="s">
        <v>196</v>
      </c>
      <c r="C25" s="409">
        <v>1306970</v>
      </c>
      <c r="D25" s="409">
        <v>207659</v>
      </c>
      <c r="E25" s="409">
        <v>530764</v>
      </c>
      <c r="F25" s="409">
        <f t="shared" si="0"/>
        <v>2045393</v>
      </c>
      <c r="G25" s="409"/>
    </row>
    <row r="26" spans="1:7" ht="15.75" x14ac:dyDescent="0.25">
      <c r="A26" s="408">
        <v>22</v>
      </c>
      <c r="B26" s="409" t="s">
        <v>635</v>
      </c>
      <c r="C26" s="409">
        <v>777922</v>
      </c>
      <c r="D26" s="409">
        <v>121558</v>
      </c>
      <c r="E26" s="409">
        <v>370701</v>
      </c>
      <c r="F26" s="409">
        <f t="shared" si="0"/>
        <v>1270181</v>
      </c>
      <c r="G26" s="409"/>
    </row>
    <row r="27" spans="1:7" ht="15.75" x14ac:dyDescent="0.25">
      <c r="A27" s="408">
        <v>23</v>
      </c>
      <c r="B27" s="409" t="s">
        <v>636</v>
      </c>
      <c r="C27" s="409">
        <v>632876</v>
      </c>
      <c r="D27" s="409">
        <v>88570</v>
      </c>
      <c r="E27" s="409">
        <v>209812</v>
      </c>
      <c r="F27" s="409">
        <f t="shared" si="0"/>
        <v>931258</v>
      </c>
      <c r="G27" s="409"/>
    </row>
    <row r="28" spans="1:7" ht="15.75" x14ac:dyDescent="0.25">
      <c r="A28" s="408">
        <v>24</v>
      </c>
      <c r="B28" s="409" t="s">
        <v>197</v>
      </c>
      <c r="C28" s="409">
        <v>1117401</v>
      </c>
      <c r="D28" s="409">
        <v>176578</v>
      </c>
      <c r="E28" s="409">
        <v>489568</v>
      </c>
      <c r="F28" s="409">
        <f t="shared" si="0"/>
        <v>1783547</v>
      </c>
      <c r="G28" s="409"/>
    </row>
    <row r="29" spans="1:7" ht="15.75" x14ac:dyDescent="0.25">
      <c r="A29" s="408">
        <v>25</v>
      </c>
      <c r="B29" s="409" t="s">
        <v>637</v>
      </c>
      <c r="C29" s="409">
        <v>825350</v>
      </c>
      <c r="D29" s="409">
        <v>130903</v>
      </c>
      <c r="E29" s="409">
        <v>262504</v>
      </c>
      <c r="F29" s="409">
        <f t="shared" si="0"/>
        <v>1218757</v>
      </c>
      <c r="G29" s="409"/>
    </row>
    <row r="30" spans="1:7" ht="15.75" x14ac:dyDescent="0.25">
      <c r="A30" s="408">
        <v>26</v>
      </c>
      <c r="B30" s="409" t="s">
        <v>198</v>
      </c>
      <c r="C30" s="409">
        <v>2330155</v>
      </c>
      <c r="D30" s="409">
        <v>367008</v>
      </c>
      <c r="E30" s="409">
        <v>1084174</v>
      </c>
      <c r="F30" s="409">
        <f t="shared" si="0"/>
        <v>3781337</v>
      </c>
      <c r="G30" s="409"/>
    </row>
    <row r="31" spans="1:7" ht="15.75" x14ac:dyDescent="0.25">
      <c r="A31" s="408">
        <v>27</v>
      </c>
      <c r="B31" s="409" t="s">
        <v>638</v>
      </c>
      <c r="C31" s="409">
        <v>2958158</v>
      </c>
      <c r="D31" s="409">
        <v>462988</v>
      </c>
      <c r="E31" s="409">
        <v>1354433</v>
      </c>
      <c r="F31" s="409">
        <f t="shared" si="0"/>
        <v>4775579</v>
      </c>
      <c r="G31" s="409"/>
    </row>
    <row r="32" spans="1:7" ht="15.75" x14ac:dyDescent="0.25">
      <c r="A32" s="408">
        <v>28</v>
      </c>
      <c r="B32" s="409" t="s">
        <v>199</v>
      </c>
      <c r="C32" s="409">
        <v>3366465</v>
      </c>
      <c r="D32" s="409">
        <v>516015</v>
      </c>
      <c r="E32" s="409">
        <v>1473726</v>
      </c>
      <c r="F32" s="409">
        <f t="shared" si="0"/>
        <v>5356206</v>
      </c>
      <c r="G32" s="409"/>
    </row>
    <row r="33" spans="1:7" ht="15.75" x14ac:dyDescent="0.25">
      <c r="A33" s="408">
        <v>29</v>
      </c>
      <c r="B33" s="409" t="s">
        <v>639</v>
      </c>
      <c r="C33" s="409">
        <v>9468837</v>
      </c>
      <c r="D33" s="409">
        <v>1275391</v>
      </c>
      <c r="E33" s="409">
        <v>1638135</v>
      </c>
      <c r="F33" s="409">
        <f t="shared" si="0"/>
        <v>12382363</v>
      </c>
      <c r="G33" s="409"/>
    </row>
    <row r="34" spans="1:7" ht="15.75" x14ac:dyDescent="0.25">
      <c r="A34" s="408">
        <v>30</v>
      </c>
      <c r="B34" s="409" t="s">
        <v>640</v>
      </c>
      <c r="C34" s="409">
        <v>8988042</v>
      </c>
      <c r="D34" s="409">
        <v>1407946</v>
      </c>
      <c r="E34" s="409">
        <v>2437602</v>
      </c>
      <c r="F34" s="409">
        <f t="shared" si="0"/>
        <v>12833590</v>
      </c>
      <c r="G34" s="409"/>
    </row>
    <row r="35" spans="1:7" ht="15.75" x14ac:dyDescent="0.25">
      <c r="A35" s="408">
        <v>31</v>
      </c>
      <c r="B35" s="409" t="s">
        <v>1086</v>
      </c>
      <c r="C35" s="409">
        <v>40579</v>
      </c>
      <c r="D35" s="409">
        <v>9536</v>
      </c>
      <c r="E35" s="409">
        <v>5348</v>
      </c>
      <c r="F35" s="409">
        <f t="shared" si="0"/>
        <v>55463</v>
      </c>
      <c r="G35" s="409"/>
    </row>
    <row r="36" spans="1:7" ht="15.75" x14ac:dyDescent="0.25">
      <c r="A36" s="408">
        <v>32</v>
      </c>
      <c r="B36" s="409" t="s">
        <v>641</v>
      </c>
      <c r="C36" s="409">
        <v>1231250</v>
      </c>
      <c r="D36" s="409">
        <v>192170</v>
      </c>
      <c r="E36" s="409">
        <v>473021</v>
      </c>
      <c r="F36" s="409">
        <f t="shared" si="0"/>
        <v>1896441</v>
      </c>
      <c r="G36" s="409"/>
    </row>
    <row r="37" spans="1:7" ht="15.75" x14ac:dyDescent="0.25">
      <c r="A37" s="408">
        <v>33</v>
      </c>
      <c r="B37" s="409" t="s">
        <v>200</v>
      </c>
      <c r="C37" s="409">
        <v>2400949</v>
      </c>
      <c r="D37" s="409">
        <v>382375</v>
      </c>
      <c r="E37" s="409">
        <v>581596</v>
      </c>
      <c r="F37" s="409">
        <f t="shared" si="0"/>
        <v>3364920</v>
      </c>
      <c r="G37" s="409"/>
    </row>
    <row r="38" spans="1:7" ht="15.75" x14ac:dyDescent="0.25">
      <c r="A38" s="408">
        <v>34</v>
      </c>
      <c r="B38" s="409" t="s">
        <v>642</v>
      </c>
      <c r="C38" s="409">
        <v>5648565</v>
      </c>
      <c r="D38" s="409">
        <v>863556</v>
      </c>
      <c r="E38" s="409">
        <v>1265577</v>
      </c>
      <c r="F38" s="409">
        <f t="shared" si="0"/>
        <v>7777698</v>
      </c>
      <c r="G38" s="409"/>
    </row>
    <row r="39" spans="1:7" ht="15.75" x14ac:dyDescent="0.25">
      <c r="A39" s="408">
        <v>35</v>
      </c>
      <c r="B39" s="409" t="s">
        <v>201</v>
      </c>
      <c r="C39" s="409">
        <v>5016283</v>
      </c>
      <c r="D39" s="409">
        <v>809737</v>
      </c>
      <c r="E39" s="409">
        <v>1184543</v>
      </c>
      <c r="F39" s="409">
        <f t="shared" si="0"/>
        <v>7010563</v>
      </c>
      <c r="G39" s="409"/>
    </row>
    <row r="40" spans="1:7" ht="15.75" x14ac:dyDescent="0.25">
      <c r="A40" s="408">
        <v>36</v>
      </c>
      <c r="B40" s="409" t="s">
        <v>643</v>
      </c>
      <c r="C40" s="409">
        <v>3944444</v>
      </c>
      <c r="D40" s="409">
        <v>643528</v>
      </c>
      <c r="E40" s="409">
        <v>980843</v>
      </c>
      <c r="F40" s="409">
        <f t="shared" si="0"/>
        <v>5568815</v>
      </c>
      <c r="G40" s="409"/>
    </row>
    <row r="41" spans="1:7" ht="15.75" x14ac:dyDescent="0.25">
      <c r="A41" s="408">
        <v>37</v>
      </c>
      <c r="B41" s="409" t="s">
        <v>644</v>
      </c>
      <c r="C41" s="409">
        <v>13623717</v>
      </c>
      <c r="D41" s="409">
        <v>2142045</v>
      </c>
      <c r="E41" s="409">
        <v>2683179</v>
      </c>
      <c r="F41" s="409">
        <f t="shared" si="0"/>
        <v>18448941</v>
      </c>
      <c r="G41" s="409"/>
    </row>
    <row r="42" spans="1:7" ht="15.75" x14ac:dyDescent="0.25">
      <c r="A42" s="408">
        <v>38</v>
      </c>
      <c r="B42" s="409" t="s">
        <v>645</v>
      </c>
      <c r="C42" s="409">
        <v>7737921</v>
      </c>
      <c r="D42" s="409">
        <v>1190155</v>
      </c>
      <c r="E42" s="409">
        <v>1571583</v>
      </c>
      <c r="F42" s="409">
        <f t="shared" si="0"/>
        <v>10499659</v>
      </c>
      <c r="G42" s="409"/>
    </row>
    <row r="43" spans="1:7" s="1029" customFormat="1" ht="15.75" x14ac:dyDescent="0.25">
      <c r="A43" s="1172" t="s">
        <v>14</v>
      </c>
      <c r="B43" s="1173"/>
      <c r="C43" s="411">
        <f>SUM(C5:C42)</f>
        <v>114404020</v>
      </c>
      <c r="D43" s="411">
        <f>SUM(D5:D42)</f>
        <v>17669793</v>
      </c>
      <c r="E43" s="411">
        <f>SUM(E5:E42)</f>
        <v>31640180</v>
      </c>
      <c r="F43" s="411">
        <f>SUM(F5:F42)</f>
        <v>163713993</v>
      </c>
      <c r="G43" s="411"/>
    </row>
  </sheetData>
  <mergeCells count="4">
    <mergeCell ref="A1:B1"/>
    <mergeCell ref="A2:B2"/>
    <mergeCell ref="B3:G3"/>
    <mergeCell ref="A43:B43"/>
  </mergeCells>
  <pageMargins left="0.43307086614173229" right="0.35433070866141736" top="0.47244094488188981" bottom="0.35433070866141736" header="0.48" footer="0.27559055118110237"/>
  <pageSetup paperSize="9" scale="90" fitToHeight="0" orientation="landscape"/>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x14ac:dyDescent="0.2"/>
  <sheetData/>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15"/>
  <sheetViews>
    <sheetView workbookViewId="0">
      <pane xSplit="2" ySplit="7" topLeftCell="C270" activePane="bottomRight" state="frozen"/>
      <selection pane="topRight" activeCell="C1" sqref="C1"/>
      <selection pane="bottomLeft" activeCell="A8" sqref="A8"/>
      <selection pane="bottomRight" activeCell="O305" sqref="O305"/>
    </sheetView>
  </sheetViews>
  <sheetFormatPr defaultColWidth="9.140625" defaultRowHeight="12.75" x14ac:dyDescent="0.2"/>
  <cols>
    <col min="1" max="1" width="5.42578125" style="719" customWidth="1"/>
    <col min="2" max="2" width="41.140625" style="719" customWidth="1"/>
    <col min="3" max="3" width="7" style="722" customWidth="1"/>
    <col min="4" max="4" width="6.42578125" style="722" customWidth="1"/>
    <col min="5" max="5" width="6" style="722" customWidth="1"/>
    <col min="6" max="6" width="7.42578125" style="212" customWidth="1"/>
    <col min="7" max="7" width="6.85546875" style="722" customWidth="1"/>
    <col min="8" max="8" width="11.140625" style="722" customWidth="1"/>
    <col min="9" max="10" width="8.28515625" style="722" customWidth="1"/>
    <col min="11" max="11" width="6.42578125" style="723" customWidth="1"/>
    <col min="12" max="12" width="7.7109375" style="723" customWidth="1"/>
    <col min="13" max="13" width="9.42578125" style="723" customWidth="1"/>
    <col min="14" max="14" width="11" style="723" customWidth="1"/>
    <col min="15" max="15" width="6.7109375" style="723" customWidth="1"/>
    <col min="16" max="16" width="9.7109375" style="723" customWidth="1"/>
    <col min="17" max="17" width="12.7109375" style="578" customWidth="1"/>
    <col min="18" max="16384" width="9.140625" style="578"/>
  </cols>
  <sheetData>
    <row r="1" spans="1:17" ht="14.25" customHeight="1" x14ac:dyDescent="0.2">
      <c r="A1" s="1070" t="s">
        <v>3</v>
      </c>
      <c r="B1" s="1070"/>
      <c r="C1" s="1070"/>
      <c r="D1" s="575"/>
      <c r="E1" s="575"/>
      <c r="F1" s="575"/>
      <c r="G1" s="575"/>
      <c r="H1" s="212"/>
      <c r="I1" s="1058"/>
      <c r="J1" s="1058"/>
      <c r="K1" s="1058"/>
      <c r="L1" s="1058"/>
      <c r="M1" s="1058"/>
      <c r="N1" s="1058"/>
      <c r="O1" s="576"/>
      <c r="P1" s="576"/>
      <c r="Q1" s="577" t="s">
        <v>30</v>
      </c>
    </row>
    <row r="2" spans="1:17" x14ac:dyDescent="0.2">
      <c r="A2" s="1071" t="s">
        <v>556</v>
      </c>
      <c r="B2" s="1071"/>
      <c r="C2" s="1071"/>
      <c r="D2" s="579"/>
      <c r="E2" s="579"/>
      <c r="F2" s="575"/>
      <c r="G2" s="579"/>
      <c r="H2" s="212"/>
      <c r="I2" s="1058"/>
      <c r="J2" s="1058"/>
      <c r="K2" s="1058"/>
      <c r="L2" s="1058"/>
      <c r="M2" s="1058"/>
      <c r="N2" s="1058"/>
      <c r="O2" s="576"/>
      <c r="P2" s="576"/>
      <c r="Q2" s="576"/>
    </row>
    <row r="3" spans="1:17" ht="30" customHeight="1" x14ac:dyDescent="0.2">
      <c r="A3" s="1072" t="s">
        <v>859</v>
      </c>
      <c r="B3" s="1072"/>
      <c r="C3" s="1072"/>
      <c r="D3" s="1072"/>
      <c r="E3" s="1072"/>
      <c r="F3" s="1072"/>
      <c r="G3" s="1072"/>
      <c r="H3" s="1072"/>
      <c r="I3" s="1072"/>
      <c r="J3" s="1072"/>
      <c r="K3" s="1072"/>
      <c r="L3" s="1072"/>
      <c r="M3" s="1072"/>
      <c r="N3" s="1072"/>
      <c r="O3" s="1072"/>
      <c r="P3" s="1072"/>
      <c r="Q3" s="1072"/>
    </row>
    <row r="4" spans="1:17" ht="13.5" thickBot="1" x14ac:dyDescent="0.25">
      <c r="A4" s="580"/>
      <c r="B4" s="580"/>
      <c r="C4" s="581"/>
      <c r="D4" s="581"/>
      <c r="E4" s="581"/>
      <c r="F4" s="581"/>
      <c r="G4" s="581"/>
      <c r="H4" s="581"/>
      <c r="I4" s="581"/>
      <c r="J4" s="581"/>
      <c r="K4" s="580"/>
      <c r="L4" s="580"/>
      <c r="M4" s="580"/>
      <c r="N4" s="580" t="s">
        <v>20</v>
      </c>
      <c r="O4" s="580"/>
      <c r="P4" s="580"/>
      <c r="Q4" s="581"/>
    </row>
    <row r="5" spans="1:17" ht="99" customHeight="1" thickTop="1" x14ac:dyDescent="0.2">
      <c r="A5" s="1073" t="s">
        <v>0</v>
      </c>
      <c r="B5" s="1052" t="s">
        <v>173</v>
      </c>
      <c r="C5" s="1052" t="s">
        <v>207</v>
      </c>
      <c r="D5" s="772" t="s">
        <v>208</v>
      </c>
      <c r="E5" s="1052" t="s">
        <v>154</v>
      </c>
      <c r="F5" s="1052" t="s">
        <v>161</v>
      </c>
      <c r="G5" s="1052" t="s">
        <v>211</v>
      </c>
      <c r="H5" s="1065" t="s">
        <v>210</v>
      </c>
      <c r="I5" s="1067" t="s">
        <v>212</v>
      </c>
      <c r="J5" s="1068"/>
      <c r="K5" s="1069"/>
      <c r="L5" s="1052" t="s">
        <v>213</v>
      </c>
      <c r="M5" s="1052" t="s">
        <v>214</v>
      </c>
      <c r="N5" s="1052" t="s">
        <v>39</v>
      </c>
      <c r="O5" s="1052" t="s">
        <v>88</v>
      </c>
      <c r="P5" s="1052" t="s">
        <v>89</v>
      </c>
      <c r="Q5" s="1054" t="s">
        <v>2</v>
      </c>
    </row>
    <row r="6" spans="1:17" ht="50.1" customHeight="1" x14ac:dyDescent="0.2">
      <c r="A6" s="1074"/>
      <c r="B6" s="1053"/>
      <c r="C6" s="1053"/>
      <c r="D6" s="773"/>
      <c r="E6" s="1053"/>
      <c r="F6" s="1053"/>
      <c r="G6" s="1053"/>
      <c r="H6" s="1066"/>
      <c r="I6" s="774" t="s">
        <v>162</v>
      </c>
      <c r="J6" s="774" t="s">
        <v>103</v>
      </c>
      <c r="K6" s="774" t="s">
        <v>160</v>
      </c>
      <c r="L6" s="1053"/>
      <c r="M6" s="1053"/>
      <c r="N6" s="1053"/>
      <c r="O6" s="1053"/>
      <c r="P6" s="1053"/>
      <c r="Q6" s="1055"/>
    </row>
    <row r="7" spans="1:17" s="587" customFormat="1" ht="30" customHeight="1" x14ac:dyDescent="0.2">
      <c r="A7" s="75" t="s">
        <v>117</v>
      </c>
      <c r="B7" s="775" t="s">
        <v>118</v>
      </c>
      <c r="C7" s="775" t="s">
        <v>119</v>
      </c>
      <c r="D7" s="776" t="s">
        <v>120</v>
      </c>
      <c r="E7" s="776" t="s">
        <v>121</v>
      </c>
      <c r="F7" s="777" t="s">
        <v>860</v>
      </c>
      <c r="G7" s="776" t="s">
        <v>123</v>
      </c>
      <c r="H7" s="776" t="s">
        <v>861</v>
      </c>
      <c r="I7" s="776" t="s">
        <v>862</v>
      </c>
      <c r="J7" s="776" t="s">
        <v>127</v>
      </c>
      <c r="K7" s="776" t="s">
        <v>136</v>
      </c>
      <c r="L7" s="776" t="s">
        <v>128</v>
      </c>
      <c r="M7" s="776" t="s">
        <v>129</v>
      </c>
      <c r="N7" s="776" t="s">
        <v>130</v>
      </c>
      <c r="O7" s="776" t="s">
        <v>131</v>
      </c>
      <c r="P7" s="240" t="s">
        <v>132</v>
      </c>
      <c r="Q7" s="240" t="s">
        <v>209</v>
      </c>
    </row>
    <row r="8" spans="1:17" ht="24.95" customHeight="1" x14ac:dyDescent="0.2">
      <c r="A8" s="588" t="s">
        <v>6</v>
      </c>
      <c r="B8" s="940" t="s">
        <v>297</v>
      </c>
      <c r="C8" s="589"/>
      <c r="D8" s="589"/>
      <c r="E8" s="589"/>
      <c r="F8" s="590"/>
      <c r="G8" s="589"/>
      <c r="H8" s="589"/>
      <c r="I8" s="589"/>
      <c r="J8" s="589"/>
      <c r="K8" s="588"/>
      <c r="L8" s="588"/>
      <c r="M8" s="588"/>
      <c r="N8" s="588"/>
      <c r="O8" s="588"/>
      <c r="P8" s="588"/>
      <c r="Q8" s="588"/>
    </row>
    <row r="9" spans="1:17" ht="24.95" customHeight="1" x14ac:dyDescent="0.2">
      <c r="A9" s="591" t="s">
        <v>7</v>
      </c>
      <c r="B9" s="591" t="s">
        <v>649</v>
      </c>
      <c r="C9" s="592"/>
      <c r="D9" s="592"/>
      <c r="E9" s="592"/>
      <c r="F9" s="593"/>
      <c r="G9" s="592"/>
      <c r="H9" s="592"/>
      <c r="I9" s="592"/>
      <c r="J9" s="592"/>
      <c r="K9" s="591"/>
      <c r="L9" s="591"/>
      <c r="M9" s="591"/>
      <c r="N9" s="591"/>
      <c r="O9" s="591"/>
      <c r="P9" s="591"/>
      <c r="Q9" s="591"/>
    </row>
    <row r="10" spans="1:17" ht="24.95" customHeight="1" x14ac:dyDescent="0.2">
      <c r="A10" s="591">
        <v>1</v>
      </c>
      <c r="B10" s="591" t="s">
        <v>4</v>
      </c>
      <c r="C10" s="592"/>
      <c r="D10" s="592"/>
      <c r="E10" s="592"/>
      <c r="F10" s="593"/>
      <c r="G10" s="592"/>
      <c r="H10" s="592"/>
      <c r="I10" s="592"/>
      <c r="J10" s="592"/>
      <c r="K10" s="591"/>
      <c r="L10" s="591"/>
      <c r="M10" s="591"/>
      <c r="N10" s="591"/>
      <c r="O10" s="591"/>
      <c r="P10" s="591"/>
      <c r="Q10" s="591"/>
    </row>
    <row r="11" spans="1:17" s="71" customFormat="1" ht="24.95" customHeight="1" x14ac:dyDescent="0.2">
      <c r="A11" s="594" t="s">
        <v>149</v>
      </c>
      <c r="B11" s="595" t="s">
        <v>163</v>
      </c>
      <c r="C11" s="596"/>
      <c r="D11" s="596"/>
      <c r="E11" s="596"/>
      <c r="F11" s="320"/>
      <c r="G11" s="596"/>
      <c r="H11" s="596"/>
      <c r="I11" s="597"/>
      <c r="J11" s="597"/>
      <c r="K11" s="597"/>
      <c r="L11" s="597"/>
      <c r="M11" s="597"/>
      <c r="N11" s="597"/>
      <c r="O11" s="597"/>
      <c r="P11" s="597"/>
      <c r="Q11" s="598"/>
    </row>
    <row r="12" spans="1:17" s="71" customFormat="1" ht="24.95" customHeight="1" x14ac:dyDescent="0.2">
      <c r="A12" s="599" t="s">
        <v>229</v>
      </c>
      <c r="B12" s="941" t="s">
        <v>253</v>
      </c>
      <c r="C12" s="896">
        <v>2</v>
      </c>
      <c r="D12" s="897">
        <v>1</v>
      </c>
      <c r="E12" s="896">
        <v>3</v>
      </c>
      <c r="F12" s="302">
        <f>I12+J12+K12</f>
        <v>99</v>
      </c>
      <c r="G12" s="894">
        <v>40</v>
      </c>
      <c r="H12" s="320">
        <f>C12*E12*G12</f>
        <v>240</v>
      </c>
      <c r="I12" s="318">
        <f>IF(G12&lt;70, C12*E12*16.5*1, C12*E12*16.5*1.3)</f>
        <v>99</v>
      </c>
      <c r="J12" s="597"/>
      <c r="K12" s="597"/>
      <c r="L12" s="597"/>
      <c r="M12" s="597"/>
      <c r="N12" s="597"/>
      <c r="O12" s="597"/>
      <c r="P12" s="597"/>
      <c r="Q12" s="598"/>
    </row>
    <row r="13" spans="1:17" s="71" customFormat="1" ht="24.95" customHeight="1" x14ac:dyDescent="0.2">
      <c r="A13" s="599" t="s">
        <v>230</v>
      </c>
      <c r="B13" s="941" t="s">
        <v>252</v>
      </c>
      <c r="C13" s="896">
        <v>2</v>
      </c>
      <c r="D13" s="896">
        <v>1</v>
      </c>
      <c r="E13" s="896">
        <v>3</v>
      </c>
      <c r="F13" s="302">
        <f>I13+J13+K13</f>
        <v>99</v>
      </c>
      <c r="G13" s="894">
        <v>40</v>
      </c>
      <c r="H13" s="320">
        <f t="shared" ref="H13:H43" si="0">C13*E13*G13</f>
        <v>240</v>
      </c>
      <c r="I13" s="318">
        <f t="shared" ref="I13:I41" si="1">IF(G13&lt;70, C13*E13*16.5*1, C13*E13*16.5*1.3)</f>
        <v>99</v>
      </c>
      <c r="J13" s="597"/>
      <c r="K13" s="597"/>
      <c r="L13" s="597"/>
      <c r="M13" s="597"/>
      <c r="N13" s="597"/>
      <c r="O13" s="597"/>
      <c r="P13" s="597"/>
      <c r="Q13" s="594" t="s">
        <v>763</v>
      </c>
    </row>
    <row r="14" spans="1:17" s="71" customFormat="1" ht="24.95" customHeight="1" x14ac:dyDescent="0.2">
      <c r="A14" s="599" t="s">
        <v>231</v>
      </c>
      <c r="B14" s="941" t="s">
        <v>1019</v>
      </c>
      <c r="C14" s="896">
        <v>2</v>
      </c>
      <c r="D14" s="896">
        <v>1</v>
      </c>
      <c r="E14" s="475">
        <v>4</v>
      </c>
      <c r="F14" s="302">
        <f t="shared" ref="F14:F43" si="2">I14+J14+K14</f>
        <v>171.6</v>
      </c>
      <c r="G14" s="894">
        <v>75</v>
      </c>
      <c r="H14" s="320">
        <f t="shared" si="0"/>
        <v>600</v>
      </c>
      <c r="I14" s="318">
        <f t="shared" si="1"/>
        <v>171.6</v>
      </c>
      <c r="J14" s="597"/>
      <c r="K14" s="597"/>
      <c r="L14" s="597"/>
      <c r="M14" s="597"/>
      <c r="N14" s="597"/>
      <c r="O14" s="597"/>
      <c r="P14" s="597"/>
      <c r="Q14" s="598"/>
    </row>
    <row r="15" spans="1:17" s="71" customFormat="1" ht="24.95" customHeight="1" x14ac:dyDescent="0.2">
      <c r="A15" s="599" t="s">
        <v>232</v>
      </c>
      <c r="B15" s="941" t="s">
        <v>1020</v>
      </c>
      <c r="C15" s="896">
        <v>3</v>
      </c>
      <c r="D15" s="896">
        <v>1</v>
      </c>
      <c r="E15" s="896">
        <v>4</v>
      </c>
      <c r="F15" s="302">
        <f t="shared" si="2"/>
        <v>257.40000000000003</v>
      </c>
      <c r="G15" s="894">
        <v>75</v>
      </c>
      <c r="H15" s="320">
        <f t="shared" si="0"/>
        <v>900</v>
      </c>
      <c r="I15" s="318">
        <f t="shared" si="1"/>
        <v>257.40000000000003</v>
      </c>
      <c r="J15" s="597"/>
      <c r="K15" s="597"/>
      <c r="L15" s="597"/>
      <c r="M15" s="597"/>
      <c r="N15" s="597"/>
      <c r="O15" s="597"/>
      <c r="P15" s="597"/>
      <c r="Q15" s="598"/>
    </row>
    <row r="16" spans="1:17" s="71" customFormat="1" ht="24.95" customHeight="1" x14ac:dyDescent="0.2">
      <c r="A16" s="599" t="s">
        <v>233</v>
      </c>
      <c r="B16" s="941" t="s">
        <v>254</v>
      </c>
      <c r="C16" s="896">
        <v>2</v>
      </c>
      <c r="D16" s="896">
        <v>1</v>
      </c>
      <c r="E16" s="896">
        <v>4</v>
      </c>
      <c r="F16" s="302">
        <f t="shared" si="2"/>
        <v>171.6</v>
      </c>
      <c r="G16" s="894">
        <v>75</v>
      </c>
      <c r="H16" s="320">
        <f t="shared" si="0"/>
        <v>600</v>
      </c>
      <c r="I16" s="318">
        <f t="shared" si="1"/>
        <v>171.6</v>
      </c>
      <c r="J16" s="597"/>
      <c r="K16" s="597"/>
      <c r="L16" s="597"/>
      <c r="M16" s="597"/>
      <c r="N16" s="597"/>
      <c r="O16" s="597"/>
      <c r="P16" s="597"/>
      <c r="Q16" s="598"/>
    </row>
    <row r="17" spans="1:17" s="71" customFormat="1" ht="24.95" customHeight="1" x14ac:dyDescent="0.2">
      <c r="A17" s="599" t="s">
        <v>234</v>
      </c>
      <c r="B17" s="941" t="s">
        <v>1021</v>
      </c>
      <c r="C17" s="896">
        <v>3</v>
      </c>
      <c r="D17" s="896">
        <v>1.3</v>
      </c>
      <c r="E17" s="896">
        <v>14</v>
      </c>
      <c r="F17" s="302">
        <f t="shared" si="2"/>
        <v>693</v>
      </c>
      <c r="G17" s="894">
        <v>20</v>
      </c>
      <c r="H17" s="320">
        <f t="shared" si="0"/>
        <v>840</v>
      </c>
      <c r="I17" s="318">
        <f t="shared" si="1"/>
        <v>693</v>
      </c>
      <c r="J17" s="597"/>
      <c r="K17" s="597"/>
      <c r="L17" s="597"/>
      <c r="M17" s="597"/>
      <c r="N17" s="597"/>
      <c r="O17" s="597"/>
      <c r="P17" s="597"/>
      <c r="Q17" s="598"/>
    </row>
    <row r="18" spans="1:17" s="71" customFormat="1" ht="24.95" customHeight="1" x14ac:dyDescent="0.2">
      <c r="A18" s="599" t="s">
        <v>285</v>
      </c>
      <c r="B18" s="942" t="s">
        <v>257</v>
      </c>
      <c r="C18" s="898">
        <v>4</v>
      </c>
      <c r="D18" s="897">
        <v>1.4</v>
      </c>
      <c r="E18" s="898">
        <v>14</v>
      </c>
      <c r="F18" s="302">
        <f t="shared" si="2"/>
        <v>924</v>
      </c>
      <c r="G18" s="895">
        <v>20</v>
      </c>
      <c r="H18" s="320">
        <f t="shared" si="0"/>
        <v>1120</v>
      </c>
      <c r="I18" s="318">
        <f t="shared" si="1"/>
        <v>924</v>
      </c>
      <c r="J18" s="597"/>
      <c r="K18" s="597"/>
      <c r="L18" s="597"/>
      <c r="M18" s="597"/>
      <c r="N18" s="597"/>
      <c r="O18" s="597"/>
      <c r="P18" s="597"/>
      <c r="Q18" s="598"/>
    </row>
    <row r="19" spans="1:17" s="71" customFormat="1" ht="24.95" customHeight="1" x14ac:dyDescent="0.2">
      <c r="A19" s="599" t="s">
        <v>286</v>
      </c>
      <c r="B19" s="943" t="s">
        <v>1022</v>
      </c>
      <c r="C19" s="896">
        <v>2</v>
      </c>
      <c r="D19" s="896">
        <v>1</v>
      </c>
      <c r="E19" s="896">
        <v>2</v>
      </c>
      <c r="F19" s="302">
        <f t="shared" si="2"/>
        <v>85.8</v>
      </c>
      <c r="G19" s="894">
        <v>70</v>
      </c>
      <c r="H19" s="320">
        <f t="shared" si="0"/>
        <v>280</v>
      </c>
      <c r="I19" s="318">
        <f t="shared" si="1"/>
        <v>85.8</v>
      </c>
      <c r="J19" s="597"/>
      <c r="K19" s="597"/>
      <c r="L19" s="597"/>
      <c r="M19" s="597"/>
      <c r="N19" s="597"/>
      <c r="O19" s="597"/>
      <c r="P19" s="597"/>
      <c r="Q19" s="598"/>
    </row>
    <row r="20" spans="1:17" s="71" customFormat="1" ht="24.95" customHeight="1" x14ac:dyDescent="0.2">
      <c r="A20" s="599" t="s">
        <v>287</v>
      </c>
      <c r="B20" s="944" t="s">
        <v>1023</v>
      </c>
      <c r="C20" s="896">
        <v>4</v>
      </c>
      <c r="D20" s="896">
        <v>1</v>
      </c>
      <c r="E20" s="896">
        <v>2</v>
      </c>
      <c r="F20" s="302">
        <f t="shared" si="2"/>
        <v>171.6</v>
      </c>
      <c r="G20" s="894">
        <v>70</v>
      </c>
      <c r="H20" s="320">
        <f t="shared" si="0"/>
        <v>560</v>
      </c>
      <c r="I20" s="318">
        <f t="shared" si="1"/>
        <v>171.6</v>
      </c>
      <c r="J20" s="597"/>
      <c r="K20" s="597"/>
      <c r="L20" s="597"/>
      <c r="M20" s="597"/>
      <c r="N20" s="597"/>
      <c r="O20" s="597"/>
      <c r="P20" s="597"/>
      <c r="Q20" s="598"/>
    </row>
    <row r="21" spans="1:17" s="71" customFormat="1" ht="24.95" customHeight="1" x14ac:dyDescent="0.2">
      <c r="A21" s="599" t="s">
        <v>288</v>
      </c>
      <c r="B21" s="943" t="s">
        <v>1024</v>
      </c>
      <c r="C21" s="896">
        <v>5</v>
      </c>
      <c r="D21" s="896">
        <v>1</v>
      </c>
      <c r="E21" s="896">
        <v>2</v>
      </c>
      <c r="F21" s="302">
        <f t="shared" si="2"/>
        <v>214.5</v>
      </c>
      <c r="G21" s="894">
        <v>70</v>
      </c>
      <c r="H21" s="320">
        <f t="shared" si="0"/>
        <v>700</v>
      </c>
      <c r="I21" s="318">
        <f t="shared" si="1"/>
        <v>214.5</v>
      </c>
      <c r="J21" s="319"/>
      <c r="K21" s="319"/>
      <c r="L21" s="319"/>
      <c r="M21" s="319"/>
      <c r="N21" s="319"/>
      <c r="O21" s="319"/>
      <c r="P21" s="319"/>
      <c r="Q21" s="302"/>
    </row>
    <row r="22" spans="1:17" s="71" customFormat="1" ht="24.95" customHeight="1" x14ac:dyDescent="0.2">
      <c r="A22" s="599" t="s">
        <v>289</v>
      </c>
      <c r="B22" s="6" t="s">
        <v>1025</v>
      </c>
      <c r="C22" s="896">
        <v>3</v>
      </c>
      <c r="D22" s="896">
        <v>1</v>
      </c>
      <c r="E22" s="896">
        <v>2</v>
      </c>
      <c r="F22" s="302">
        <f t="shared" si="2"/>
        <v>128.70000000000002</v>
      </c>
      <c r="G22" s="894">
        <v>70</v>
      </c>
      <c r="H22" s="320">
        <f t="shared" si="0"/>
        <v>420</v>
      </c>
      <c r="I22" s="318">
        <f t="shared" si="1"/>
        <v>128.70000000000002</v>
      </c>
      <c r="J22" s="319"/>
      <c r="K22" s="319"/>
      <c r="L22" s="319"/>
      <c r="M22" s="319"/>
      <c r="N22" s="319"/>
      <c r="O22" s="319"/>
      <c r="P22" s="319"/>
      <c r="Q22" s="302"/>
    </row>
    <row r="23" spans="1:17" s="71" customFormat="1" ht="24.95" customHeight="1" x14ac:dyDescent="0.2">
      <c r="A23" s="599" t="s">
        <v>292</v>
      </c>
      <c r="B23" s="942" t="s">
        <v>270</v>
      </c>
      <c r="C23" s="896">
        <v>2</v>
      </c>
      <c r="D23" s="896">
        <v>1</v>
      </c>
      <c r="E23" s="896">
        <v>2</v>
      </c>
      <c r="F23" s="302">
        <f t="shared" si="2"/>
        <v>66</v>
      </c>
      <c r="G23" s="894">
        <v>40</v>
      </c>
      <c r="H23" s="320">
        <f t="shared" si="0"/>
        <v>160</v>
      </c>
      <c r="I23" s="318">
        <f t="shared" si="1"/>
        <v>66</v>
      </c>
      <c r="J23" s="319"/>
      <c r="K23" s="319"/>
      <c r="L23" s="319"/>
      <c r="M23" s="319"/>
      <c r="N23" s="319"/>
      <c r="O23" s="319"/>
      <c r="P23" s="319"/>
      <c r="Q23" s="302"/>
    </row>
    <row r="24" spans="1:17" s="71" customFormat="1" ht="24.95" customHeight="1" x14ac:dyDescent="0.2">
      <c r="A24" s="599" t="s">
        <v>293</v>
      </c>
      <c r="B24" s="942" t="s">
        <v>1026</v>
      </c>
      <c r="C24" s="896">
        <v>2</v>
      </c>
      <c r="D24" s="896">
        <v>1</v>
      </c>
      <c r="E24" s="475">
        <v>1</v>
      </c>
      <c r="F24" s="302">
        <f t="shared" si="2"/>
        <v>33</v>
      </c>
      <c r="G24" s="894">
        <v>40</v>
      </c>
      <c r="H24" s="320">
        <f t="shared" si="0"/>
        <v>80</v>
      </c>
      <c r="I24" s="318">
        <f t="shared" si="1"/>
        <v>33</v>
      </c>
      <c r="J24" s="319"/>
      <c r="K24" s="319"/>
      <c r="L24" s="319"/>
      <c r="M24" s="319"/>
      <c r="N24" s="319"/>
      <c r="O24" s="319"/>
      <c r="P24" s="319"/>
      <c r="Q24" s="302"/>
    </row>
    <row r="25" spans="1:17" s="71" customFormat="1" ht="24.95" customHeight="1" x14ac:dyDescent="0.2">
      <c r="A25" s="599" t="s">
        <v>294</v>
      </c>
      <c r="B25" s="943" t="s">
        <v>1027</v>
      </c>
      <c r="C25" s="896">
        <v>5</v>
      </c>
      <c r="D25" s="896">
        <v>1.08</v>
      </c>
      <c r="E25" s="896">
        <v>2</v>
      </c>
      <c r="F25" s="302">
        <f t="shared" si="2"/>
        <v>214.5</v>
      </c>
      <c r="G25" s="894">
        <v>70</v>
      </c>
      <c r="H25" s="320">
        <f t="shared" si="0"/>
        <v>700</v>
      </c>
      <c r="I25" s="318">
        <f t="shared" si="1"/>
        <v>214.5</v>
      </c>
      <c r="J25" s="319"/>
      <c r="K25" s="319"/>
      <c r="L25" s="319"/>
      <c r="M25" s="319"/>
      <c r="N25" s="319"/>
      <c r="O25" s="319"/>
      <c r="P25" s="319"/>
      <c r="Q25" s="302"/>
    </row>
    <row r="26" spans="1:17" s="71" customFormat="1" ht="24.95" customHeight="1" x14ac:dyDescent="0.2">
      <c r="A26" s="599" t="s">
        <v>295</v>
      </c>
      <c r="B26" s="944" t="s">
        <v>1028</v>
      </c>
      <c r="C26" s="896">
        <v>5</v>
      </c>
      <c r="D26" s="896">
        <v>1.08</v>
      </c>
      <c r="E26" s="896">
        <v>2</v>
      </c>
      <c r="F26" s="302">
        <f t="shared" si="2"/>
        <v>214.5</v>
      </c>
      <c r="G26" s="894">
        <v>70</v>
      </c>
      <c r="H26" s="320">
        <f t="shared" si="0"/>
        <v>700</v>
      </c>
      <c r="I26" s="318">
        <f t="shared" si="1"/>
        <v>214.5</v>
      </c>
      <c r="J26" s="319"/>
      <c r="K26" s="319"/>
      <c r="L26" s="319"/>
      <c r="M26" s="319"/>
      <c r="N26" s="319"/>
      <c r="O26" s="319"/>
      <c r="P26" s="319"/>
      <c r="Q26" s="302"/>
    </row>
    <row r="27" spans="1:17" s="71" customFormat="1" ht="24.95" customHeight="1" x14ac:dyDescent="0.2">
      <c r="A27" s="599" t="s">
        <v>417</v>
      </c>
      <c r="B27" s="943" t="s">
        <v>1029</v>
      </c>
      <c r="C27" s="896">
        <v>5</v>
      </c>
      <c r="D27" s="896">
        <v>1.08</v>
      </c>
      <c r="E27" s="896">
        <v>2</v>
      </c>
      <c r="F27" s="302">
        <f t="shared" si="2"/>
        <v>214.5</v>
      </c>
      <c r="G27" s="894">
        <v>70</v>
      </c>
      <c r="H27" s="320">
        <f t="shared" si="0"/>
        <v>700</v>
      </c>
      <c r="I27" s="318">
        <f t="shared" si="1"/>
        <v>214.5</v>
      </c>
      <c r="J27" s="319"/>
      <c r="K27" s="319"/>
      <c r="L27" s="319"/>
      <c r="M27" s="319"/>
      <c r="N27" s="319"/>
      <c r="O27" s="319"/>
      <c r="P27" s="319"/>
      <c r="Q27" s="302"/>
    </row>
    <row r="28" spans="1:17" s="71" customFormat="1" ht="24.95" customHeight="1" x14ac:dyDescent="0.2">
      <c r="A28" s="599" t="s">
        <v>418</v>
      </c>
      <c r="B28" s="943" t="s">
        <v>1030</v>
      </c>
      <c r="C28" s="896">
        <v>2</v>
      </c>
      <c r="D28" s="896">
        <v>1.4</v>
      </c>
      <c r="E28" s="896">
        <v>3</v>
      </c>
      <c r="F28" s="302">
        <f t="shared" si="2"/>
        <v>99</v>
      </c>
      <c r="G28" s="894">
        <v>40</v>
      </c>
      <c r="H28" s="320">
        <f t="shared" si="0"/>
        <v>240</v>
      </c>
      <c r="I28" s="318">
        <f t="shared" si="1"/>
        <v>99</v>
      </c>
      <c r="J28" s="319"/>
      <c r="K28" s="319"/>
      <c r="L28" s="319"/>
      <c r="M28" s="319"/>
      <c r="N28" s="319"/>
      <c r="O28" s="319"/>
      <c r="P28" s="319"/>
      <c r="Q28" s="302"/>
    </row>
    <row r="29" spans="1:17" s="71" customFormat="1" ht="24.95" customHeight="1" x14ac:dyDescent="0.2">
      <c r="A29" s="599" t="s">
        <v>419</v>
      </c>
      <c r="B29" s="943" t="s">
        <v>1031</v>
      </c>
      <c r="C29" s="896">
        <v>3</v>
      </c>
      <c r="D29" s="896">
        <v>1</v>
      </c>
      <c r="E29" s="896">
        <v>3</v>
      </c>
      <c r="F29" s="302">
        <f t="shared" si="2"/>
        <v>148.5</v>
      </c>
      <c r="G29" s="894">
        <v>65</v>
      </c>
      <c r="H29" s="320">
        <f t="shared" si="0"/>
        <v>585</v>
      </c>
      <c r="I29" s="318">
        <f t="shared" si="1"/>
        <v>148.5</v>
      </c>
      <c r="J29" s="319"/>
      <c r="K29" s="319"/>
      <c r="L29" s="319"/>
      <c r="M29" s="319"/>
      <c r="N29" s="319"/>
      <c r="O29" s="319"/>
      <c r="P29" s="319"/>
      <c r="Q29" s="302"/>
    </row>
    <row r="30" spans="1:17" s="71" customFormat="1" ht="24.95" customHeight="1" x14ac:dyDescent="0.2">
      <c r="A30" s="599" t="s">
        <v>420</v>
      </c>
      <c r="B30" s="942" t="s">
        <v>1032</v>
      </c>
      <c r="C30" s="896">
        <v>2</v>
      </c>
      <c r="D30" s="896">
        <v>1</v>
      </c>
      <c r="E30" s="896">
        <v>1</v>
      </c>
      <c r="F30" s="302">
        <f t="shared" si="2"/>
        <v>42.9</v>
      </c>
      <c r="G30" s="894">
        <v>70</v>
      </c>
      <c r="H30" s="320">
        <f t="shared" si="0"/>
        <v>140</v>
      </c>
      <c r="I30" s="318">
        <f t="shared" si="1"/>
        <v>42.9</v>
      </c>
      <c r="J30" s="319"/>
      <c r="K30" s="319"/>
      <c r="L30" s="319"/>
      <c r="M30" s="319"/>
      <c r="N30" s="319"/>
      <c r="O30" s="319"/>
      <c r="P30" s="319"/>
      <c r="Q30" s="302"/>
    </row>
    <row r="31" spans="1:17" s="71" customFormat="1" ht="24.95" customHeight="1" x14ac:dyDescent="0.2">
      <c r="A31" s="599" t="s">
        <v>421</v>
      </c>
      <c r="B31" s="942" t="s">
        <v>1033</v>
      </c>
      <c r="C31" s="896">
        <v>2</v>
      </c>
      <c r="D31" s="896">
        <v>1</v>
      </c>
      <c r="E31" s="896">
        <v>1</v>
      </c>
      <c r="F31" s="302">
        <f t="shared" si="2"/>
        <v>42.9</v>
      </c>
      <c r="G31" s="894">
        <v>70</v>
      </c>
      <c r="H31" s="320">
        <f t="shared" si="0"/>
        <v>140</v>
      </c>
      <c r="I31" s="318">
        <f t="shared" si="1"/>
        <v>42.9</v>
      </c>
      <c r="J31" s="319"/>
      <c r="K31" s="319"/>
      <c r="L31" s="319"/>
      <c r="M31" s="319"/>
      <c r="N31" s="319"/>
      <c r="O31" s="319"/>
      <c r="P31" s="319"/>
      <c r="Q31" s="302"/>
    </row>
    <row r="32" spans="1:17" s="71" customFormat="1" ht="24.95" customHeight="1" x14ac:dyDescent="0.2">
      <c r="A32" s="599" t="s">
        <v>422</v>
      </c>
      <c r="B32" s="6" t="s">
        <v>269</v>
      </c>
      <c r="C32" s="541">
        <v>3</v>
      </c>
      <c r="D32" s="896">
        <v>1</v>
      </c>
      <c r="E32" s="899">
        <v>3</v>
      </c>
      <c r="F32" s="302">
        <f t="shared" si="2"/>
        <v>193.05</v>
      </c>
      <c r="G32" s="608">
        <v>70</v>
      </c>
      <c r="H32" s="320">
        <f t="shared" si="0"/>
        <v>630</v>
      </c>
      <c r="I32" s="318">
        <f t="shared" si="1"/>
        <v>193.05</v>
      </c>
      <c r="J32" s="319"/>
      <c r="K32" s="319"/>
      <c r="L32" s="319"/>
      <c r="M32" s="319"/>
      <c r="N32" s="319"/>
      <c r="O32" s="319"/>
      <c r="P32" s="319"/>
      <c r="Q32" s="302"/>
    </row>
    <row r="33" spans="1:17" s="71" customFormat="1" ht="24.95" customHeight="1" x14ac:dyDescent="0.2">
      <c r="A33" s="599" t="s">
        <v>423</v>
      </c>
      <c r="B33" s="942" t="s">
        <v>707</v>
      </c>
      <c r="C33" s="896">
        <v>3</v>
      </c>
      <c r="D33" s="896">
        <v>1</v>
      </c>
      <c r="E33" s="896">
        <v>3</v>
      </c>
      <c r="F33" s="302">
        <f t="shared" si="2"/>
        <v>193.05</v>
      </c>
      <c r="G33" s="894">
        <v>70</v>
      </c>
      <c r="H33" s="320">
        <f t="shared" si="0"/>
        <v>630</v>
      </c>
      <c r="I33" s="318">
        <f t="shared" si="1"/>
        <v>193.05</v>
      </c>
      <c r="J33" s="319"/>
      <c r="K33" s="319"/>
      <c r="L33" s="319"/>
      <c r="M33" s="319"/>
      <c r="N33" s="319"/>
      <c r="O33" s="319"/>
      <c r="P33" s="319"/>
      <c r="Q33" s="302"/>
    </row>
    <row r="34" spans="1:17" s="71" customFormat="1" ht="24.95" customHeight="1" x14ac:dyDescent="0.2">
      <c r="A34" s="599" t="s">
        <v>424</v>
      </c>
      <c r="B34" s="6" t="s">
        <v>1034</v>
      </c>
      <c r="C34" s="896">
        <v>2</v>
      </c>
      <c r="D34" s="896">
        <v>1.4</v>
      </c>
      <c r="E34" s="896">
        <v>4</v>
      </c>
      <c r="F34" s="302">
        <f t="shared" si="2"/>
        <v>132</v>
      </c>
      <c r="G34" s="894">
        <v>40</v>
      </c>
      <c r="H34" s="320">
        <f t="shared" si="0"/>
        <v>320</v>
      </c>
      <c r="I34" s="318">
        <f t="shared" si="1"/>
        <v>132</v>
      </c>
      <c r="J34" s="319"/>
      <c r="K34" s="319"/>
      <c r="L34" s="319"/>
      <c r="M34" s="319"/>
      <c r="N34" s="319"/>
      <c r="O34" s="319"/>
      <c r="P34" s="319"/>
      <c r="Q34" s="302"/>
    </row>
    <row r="35" spans="1:17" s="71" customFormat="1" ht="24.95" customHeight="1" x14ac:dyDescent="0.2">
      <c r="A35" s="599" t="s">
        <v>425</v>
      </c>
      <c r="B35" s="600" t="s">
        <v>267</v>
      </c>
      <c r="C35" s="896">
        <v>3</v>
      </c>
      <c r="D35" s="896">
        <v>1</v>
      </c>
      <c r="E35" s="896">
        <v>1</v>
      </c>
      <c r="F35" s="302">
        <f t="shared" si="2"/>
        <v>49.5</v>
      </c>
      <c r="G35" s="894">
        <v>21</v>
      </c>
      <c r="H35" s="320">
        <f t="shared" si="0"/>
        <v>63</v>
      </c>
      <c r="I35" s="318">
        <f t="shared" si="1"/>
        <v>49.5</v>
      </c>
      <c r="J35" s="319"/>
      <c r="K35" s="319"/>
      <c r="L35" s="319"/>
      <c r="M35" s="319"/>
      <c r="N35" s="319"/>
      <c r="O35" s="319"/>
      <c r="P35" s="319"/>
      <c r="Q35" s="302"/>
    </row>
    <row r="36" spans="1:17" s="71" customFormat="1" ht="24.95" customHeight="1" x14ac:dyDescent="0.2">
      <c r="A36" s="599" t="s">
        <v>426</v>
      </c>
      <c r="B36" s="943" t="s">
        <v>704</v>
      </c>
      <c r="C36" s="896">
        <v>4</v>
      </c>
      <c r="D36" s="896">
        <v>1</v>
      </c>
      <c r="E36" s="896">
        <v>3</v>
      </c>
      <c r="F36" s="302">
        <f t="shared" si="2"/>
        <v>257.40000000000003</v>
      </c>
      <c r="G36" s="894">
        <v>70</v>
      </c>
      <c r="H36" s="320">
        <f t="shared" si="0"/>
        <v>840</v>
      </c>
      <c r="I36" s="318">
        <f t="shared" si="1"/>
        <v>257.40000000000003</v>
      </c>
      <c r="J36" s="319"/>
      <c r="K36" s="319"/>
      <c r="L36" s="319"/>
      <c r="M36" s="319"/>
      <c r="N36" s="319"/>
      <c r="O36" s="319"/>
      <c r="P36" s="319"/>
      <c r="Q36" s="302"/>
    </row>
    <row r="37" spans="1:17" s="71" customFormat="1" ht="24.95" customHeight="1" x14ac:dyDescent="0.2">
      <c r="A37" s="599" t="s">
        <v>427</v>
      </c>
      <c r="B37" s="943" t="s">
        <v>1035</v>
      </c>
      <c r="C37" s="896">
        <v>3</v>
      </c>
      <c r="D37" s="896">
        <v>1</v>
      </c>
      <c r="E37" s="896">
        <v>3</v>
      </c>
      <c r="F37" s="302">
        <f t="shared" si="2"/>
        <v>193.05</v>
      </c>
      <c r="G37" s="894">
        <v>70</v>
      </c>
      <c r="H37" s="320">
        <f t="shared" si="0"/>
        <v>630</v>
      </c>
      <c r="I37" s="318">
        <f t="shared" si="1"/>
        <v>193.05</v>
      </c>
      <c r="J37" s="319"/>
      <c r="K37" s="319"/>
      <c r="L37" s="319"/>
      <c r="M37" s="319"/>
      <c r="N37" s="319"/>
      <c r="O37" s="319"/>
      <c r="P37" s="319"/>
      <c r="Q37" s="302"/>
    </row>
    <row r="38" spans="1:17" s="71" customFormat="1" ht="24.95" customHeight="1" x14ac:dyDescent="0.2">
      <c r="A38" s="599" t="s">
        <v>428</v>
      </c>
      <c r="B38" s="943" t="s">
        <v>1036</v>
      </c>
      <c r="C38" s="896">
        <v>4</v>
      </c>
      <c r="D38" s="896">
        <v>1</v>
      </c>
      <c r="E38" s="896">
        <v>2</v>
      </c>
      <c r="F38" s="302">
        <f t="shared" si="2"/>
        <v>132</v>
      </c>
      <c r="G38" s="894">
        <v>50</v>
      </c>
      <c r="H38" s="320">
        <f t="shared" si="0"/>
        <v>400</v>
      </c>
      <c r="I38" s="318">
        <f t="shared" si="1"/>
        <v>132</v>
      </c>
      <c r="J38" s="319"/>
      <c r="K38" s="319"/>
      <c r="L38" s="319"/>
      <c r="M38" s="319"/>
      <c r="N38" s="319"/>
      <c r="O38" s="319"/>
      <c r="P38" s="319"/>
      <c r="Q38" s="302"/>
    </row>
    <row r="39" spans="1:17" s="71" customFormat="1" ht="24.95" customHeight="1" x14ac:dyDescent="0.2">
      <c r="A39" s="599" t="s">
        <v>429</v>
      </c>
      <c r="B39" s="943" t="s">
        <v>706</v>
      </c>
      <c r="C39" s="896">
        <v>3</v>
      </c>
      <c r="D39" s="896">
        <v>1</v>
      </c>
      <c r="E39" s="497">
        <v>2</v>
      </c>
      <c r="F39" s="302">
        <f t="shared" si="2"/>
        <v>99</v>
      </c>
      <c r="G39" s="894">
        <v>50</v>
      </c>
      <c r="H39" s="320">
        <f t="shared" si="0"/>
        <v>300</v>
      </c>
      <c r="I39" s="318">
        <f t="shared" si="1"/>
        <v>99</v>
      </c>
      <c r="J39" s="319"/>
      <c r="K39" s="319"/>
      <c r="L39" s="319"/>
      <c r="M39" s="319"/>
      <c r="N39" s="319"/>
      <c r="O39" s="319"/>
      <c r="P39" s="319"/>
      <c r="Q39" s="302"/>
    </row>
    <row r="40" spans="1:17" s="71" customFormat="1" ht="24.95" customHeight="1" x14ac:dyDescent="0.2">
      <c r="A40" s="599" t="s">
        <v>430</v>
      </c>
      <c r="B40" s="942" t="s">
        <v>255</v>
      </c>
      <c r="C40" s="896">
        <v>2</v>
      </c>
      <c r="D40" s="896">
        <v>1</v>
      </c>
      <c r="E40" s="896">
        <v>2</v>
      </c>
      <c r="F40" s="302">
        <f t="shared" si="2"/>
        <v>85.8</v>
      </c>
      <c r="G40" s="894">
        <v>70</v>
      </c>
      <c r="H40" s="320">
        <f t="shared" si="0"/>
        <v>280</v>
      </c>
      <c r="I40" s="318">
        <f t="shared" si="1"/>
        <v>85.8</v>
      </c>
      <c r="J40" s="319"/>
      <c r="K40" s="319"/>
      <c r="L40" s="319"/>
      <c r="M40" s="319"/>
      <c r="N40" s="319"/>
      <c r="O40" s="319"/>
      <c r="P40" s="319"/>
      <c r="Q40" s="302"/>
    </row>
    <row r="41" spans="1:17" s="71" customFormat="1" ht="24.95" customHeight="1" x14ac:dyDescent="0.2">
      <c r="A41" s="599" t="s">
        <v>431</v>
      </c>
      <c r="B41" s="942" t="s">
        <v>1037</v>
      </c>
      <c r="C41" s="896">
        <v>2</v>
      </c>
      <c r="D41" s="896">
        <v>1</v>
      </c>
      <c r="E41" s="896">
        <v>2</v>
      </c>
      <c r="F41" s="302">
        <f t="shared" si="2"/>
        <v>85.8</v>
      </c>
      <c r="G41" s="894">
        <v>70</v>
      </c>
      <c r="H41" s="320">
        <f t="shared" si="0"/>
        <v>280</v>
      </c>
      <c r="I41" s="318">
        <f t="shared" si="1"/>
        <v>85.8</v>
      </c>
      <c r="J41" s="319"/>
      <c r="K41" s="319"/>
      <c r="L41" s="319"/>
      <c r="M41" s="319"/>
      <c r="N41" s="319"/>
      <c r="O41" s="319"/>
      <c r="P41" s="319"/>
      <c r="Q41" s="302"/>
    </row>
    <row r="42" spans="1:17" s="71" customFormat="1" ht="24.95" customHeight="1" x14ac:dyDescent="0.2">
      <c r="A42" s="617" t="s">
        <v>150</v>
      </c>
      <c r="B42" s="618" t="s">
        <v>153</v>
      </c>
      <c r="C42" s="601">
        <v>0</v>
      </c>
      <c r="D42" s="601">
        <v>0</v>
      </c>
      <c r="E42" s="601">
        <v>0</v>
      </c>
      <c r="F42" s="320">
        <v>0</v>
      </c>
      <c r="G42" s="601">
        <v>0</v>
      </c>
      <c r="H42" s="320">
        <v>0</v>
      </c>
      <c r="I42" s="320">
        <v>0</v>
      </c>
      <c r="J42" s="319"/>
      <c r="K42" s="319"/>
      <c r="L42" s="319"/>
      <c r="M42" s="319"/>
      <c r="N42" s="319"/>
      <c r="O42" s="319"/>
      <c r="P42" s="319"/>
      <c r="Q42" s="600"/>
    </row>
    <row r="43" spans="1:17" s="71" customFormat="1" ht="24.95" customHeight="1" x14ac:dyDescent="0.2">
      <c r="A43" s="619" t="s">
        <v>235</v>
      </c>
      <c r="B43" s="599" t="s">
        <v>158</v>
      </c>
      <c r="C43" s="425">
        <v>4</v>
      </c>
      <c r="D43" s="425">
        <v>1.4</v>
      </c>
      <c r="E43" s="425">
        <v>4</v>
      </c>
      <c r="F43" s="302">
        <f t="shared" si="2"/>
        <v>160</v>
      </c>
      <c r="G43" s="601">
        <v>20</v>
      </c>
      <c r="H43" s="320">
        <f t="shared" si="0"/>
        <v>320</v>
      </c>
      <c r="I43" s="318">
        <f>E43*G43*2</f>
        <v>160</v>
      </c>
      <c r="J43" s="319"/>
      <c r="K43" s="319"/>
      <c r="L43" s="319"/>
      <c r="M43" s="319"/>
      <c r="N43" s="319"/>
      <c r="O43" s="319"/>
      <c r="P43" s="319"/>
      <c r="Q43" s="600" t="s">
        <v>764</v>
      </c>
    </row>
    <row r="44" spans="1:17" s="71" customFormat="1" ht="24.95" customHeight="1" x14ac:dyDescent="0.2">
      <c r="A44" s="619" t="s">
        <v>236</v>
      </c>
      <c r="B44" s="599" t="s">
        <v>159</v>
      </c>
      <c r="C44" s="601">
        <v>0</v>
      </c>
      <c r="D44" s="601"/>
      <c r="E44" s="601">
        <v>0</v>
      </c>
      <c r="F44" s="320">
        <v>0</v>
      </c>
      <c r="G44" s="601">
        <v>0</v>
      </c>
      <c r="H44" s="320">
        <v>0</v>
      </c>
      <c r="I44" s="319">
        <v>0</v>
      </c>
      <c r="J44" s="319"/>
      <c r="K44" s="319"/>
      <c r="L44" s="319"/>
      <c r="M44" s="319"/>
      <c r="N44" s="319"/>
      <c r="O44" s="319"/>
      <c r="P44" s="319"/>
      <c r="Q44" s="302"/>
    </row>
    <row r="45" spans="1:17" s="71" customFormat="1" ht="24.95" customHeight="1" x14ac:dyDescent="0.2">
      <c r="A45" s="620"/>
      <c r="B45" s="621" t="s">
        <v>360</v>
      </c>
      <c r="C45" s="622">
        <f>SUM(C12:C44)</f>
        <v>93</v>
      </c>
      <c r="D45" s="622">
        <f t="shared" ref="D45:K45" si="3">SUM(D12:D44)</f>
        <v>33.139999999999993</v>
      </c>
      <c r="E45" s="622">
        <f t="shared" si="3"/>
        <v>100</v>
      </c>
      <c r="F45" s="622">
        <f t="shared" si="3"/>
        <v>5672.6500000000005</v>
      </c>
      <c r="G45" s="622">
        <f t="shared" si="3"/>
        <v>1761</v>
      </c>
      <c r="H45" s="622">
        <f t="shared" si="3"/>
        <v>14638</v>
      </c>
      <c r="I45" s="622">
        <f t="shared" si="3"/>
        <v>5672.6500000000005</v>
      </c>
      <c r="J45" s="622">
        <f t="shared" si="3"/>
        <v>0</v>
      </c>
      <c r="K45" s="622">
        <f t="shared" si="3"/>
        <v>0</v>
      </c>
      <c r="L45" s="623"/>
      <c r="M45" s="623"/>
      <c r="N45" s="623"/>
      <c r="O45" s="623"/>
      <c r="P45" s="623"/>
      <c r="Q45" s="624"/>
    </row>
    <row r="46" spans="1:17" s="71" customFormat="1" ht="24.95" customHeight="1" x14ac:dyDescent="0.2">
      <c r="A46" s="625">
        <v>2</v>
      </c>
      <c r="B46" s="625" t="s">
        <v>166</v>
      </c>
      <c r="C46" s="601"/>
      <c r="D46" s="601"/>
      <c r="E46" s="601"/>
      <c r="F46" s="302"/>
      <c r="G46" s="601"/>
      <c r="H46" s="320"/>
      <c r="I46" s="318"/>
      <c r="J46" s="319"/>
      <c r="K46" s="319"/>
      <c r="L46" s="319"/>
      <c r="M46" s="319"/>
      <c r="N46" s="319"/>
      <c r="O46" s="319"/>
      <c r="P46" s="319"/>
      <c r="Q46" s="302"/>
    </row>
    <row r="47" spans="1:17" s="71" customFormat="1" ht="24.95" customHeight="1" x14ac:dyDescent="0.2">
      <c r="A47" s="626" t="s">
        <v>149</v>
      </c>
      <c r="B47" s="627" t="s">
        <v>167</v>
      </c>
      <c r="C47" s="601"/>
      <c r="D47" s="601"/>
      <c r="E47" s="601"/>
      <c r="F47" s="302"/>
      <c r="G47" s="601"/>
      <c r="H47" s="320"/>
      <c r="I47" s="318"/>
      <c r="J47" s="319"/>
      <c r="K47" s="319"/>
      <c r="L47" s="319"/>
      <c r="M47" s="319"/>
      <c r="N47" s="319"/>
      <c r="O47" s="319"/>
      <c r="P47" s="319"/>
      <c r="Q47" s="302"/>
    </row>
    <row r="48" spans="1:17" s="71" customFormat="1" ht="24.95" customHeight="1" x14ac:dyDescent="0.2">
      <c r="A48" s="599" t="s">
        <v>229</v>
      </c>
      <c r="B48" s="628" t="s">
        <v>272</v>
      </c>
      <c r="C48" s="601">
        <v>3</v>
      </c>
      <c r="D48" s="601">
        <v>1</v>
      </c>
      <c r="E48" s="601">
        <v>1</v>
      </c>
      <c r="F48" s="302">
        <f>(I48+J48+K48)</f>
        <v>34.65</v>
      </c>
      <c r="G48" s="601">
        <v>10</v>
      </c>
      <c r="H48" s="320">
        <f t="shared" ref="H48:H53" si="4">C48*E48*G48</f>
        <v>30</v>
      </c>
      <c r="I48" s="318">
        <f>C48*E48*16.5*0.7</f>
        <v>34.65</v>
      </c>
      <c r="J48" s="319"/>
      <c r="K48" s="319"/>
      <c r="L48" s="319"/>
      <c r="M48" s="319"/>
      <c r="N48" s="319"/>
      <c r="O48" s="319"/>
      <c r="P48" s="319"/>
      <c r="Q48" s="302"/>
    </row>
    <row r="49" spans="1:17" s="71" customFormat="1" ht="24.95" customHeight="1" x14ac:dyDescent="0.2">
      <c r="A49" s="599" t="s">
        <v>230</v>
      </c>
      <c r="B49" s="628" t="s">
        <v>273</v>
      </c>
      <c r="C49" s="601">
        <v>3</v>
      </c>
      <c r="D49" s="601">
        <v>1</v>
      </c>
      <c r="E49" s="601">
        <v>1</v>
      </c>
      <c r="F49" s="302">
        <f t="shared" ref="F49:F53" si="5">(I49+J49+K49)</f>
        <v>34.65</v>
      </c>
      <c r="G49" s="601">
        <v>10</v>
      </c>
      <c r="H49" s="320">
        <f t="shared" si="4"/>
        <v>30</v>
      </c>
      <c r="I49" s="318">
        <f t="shared" ref="I49:I53" si="6">C49*E49*16.5*0.7</f>
        <v>34.65</v>
      </c>
      <c r="J49" s="319"/>
      <c r="K49" s="319"/>
      <c r="L49" s="319"/>
      <c r="M49" s="319"/>
      <c r="N49" s="319"/>
      <c r="O49" s="319"/>
      <c r="P49" s="319"/>
      <c r="Q49" s="302"/>
    </row>
    <row r="50" spans="1:17" s="71" customFormat="1" ht="24.95" customHeight="1" x14ac:dyDescent="0.2">
      <c r="A50" s="599" t="s">
        <v>231</v>
      </c>
      <c r="B50" s="628" t="s">
        <v>274</v>
      </c>
      <c r="C50" s="601">
        <v>3</v>
      </c>
      <c r="D50" s="601">
        <v>1</v>
      </c>
      <c r="E50" s="601">
        <v>1</v>
      </c>
      <c r="F50" s="302">
        <f t="shared" si="5"/>
        <v>34.65</v>
      </c>
      <c r="G50" s="601">
        <v>10</v>
      </c>
      <c r="H50" s="320">
        <f t="shared" si="4"/>
        <v>30</v>
      </c>
      <c r="I50" s="318">
        <f t="shared" si="6"/>
        <v>34.65</v>
      </c>
      <c r="J50" s="319"/>
      <c r="K50" s="319"/>
      <c r="L50" s="319"/>
      <c r="M50" s="319"/>
      <c r="N50" s="319"/>
      <c r="O50" s="319"/>
      <c r="P50" s="319"/>
      <c r="Q50" s="302"/>
    </row>
    <row r="51" spans="1:17" s="71" customFormat="1" ht="24.95" customHeight="1" x14ac:dyDescent="0.2">
      <c r="A51" s="599" t="s">
        <v>232</v>
      </c>
      <c r="B51" s="628" t="s">
        <v>275</v>
      </c>
      <c r="C51" s="601">
        <v>3</v>
      </c>
      <c r="D51" s="601">
        <v>1</v>
      </c>
      <c r="E51" s="601">
        <v>1</v>
      </c>
      <c r="F51" s="302">
        <f t="shared" si="5"/>
        <v>34.65</v>
      </c>
      <c r="G51" s="601">
        <v>10</v>
      </c>
      <c r="H51" s="320">
        <f t="shared" si="4"/>
        <v>30</v>
      </c>
      <c r="I51" s="318">
        <f t="shared" si="6"/>
        <v>34.65</v>
      </c>
      <c r="J51" s="319"/>
      <c r="K51" s="319"/>
      <c r="L51" s="319"/>
      <c r="M51" s="319"/>
      <c r="N51" s="319"/>
      <c r="O51" s="319"/>
      <c r="P51" s="319"/>
      <c r="Q51" s="302"/>
    </row>
    <row r="52" spans="1:17" s="71" customFormat="1" ht="24.95" customHeight="1" x14ac:dyDescent="0.2">
      <c r="A52" s="599" t="s">
        <v>233</v>
      </c>
      <c r="B52" s="629" t="s">
        <v>276</v>
      </c>
      <c r="C52" s="601">
        <v>3</v>
      </c>
      <c r="D52" s="601">
        <v>1</v>
      </c>
      <c r="E52" s="601">
        <v>1</v>
      </c>
      <c r="F52" s="302">
        <f t="shared" si="5"/>
        <v>34.65</v>
      </c>
      <c r="G52" s="601">
        <v>10</v>
      </c>
      <c r="H52" s="320">
        <f t="shared" si="4"/>
        <v>30</v>
      </c>
      <c r="I52" s="318">
        <f t="shared" si="6"/>
        <v>34.65</v>
      </c>
      <c r="J52" s="319"/>
      <c r="K52" s="319"/>
      <c r="L52" s="319"/>
      <c r="M52" s="319"/>
      <c r="N52" s="319"/>
      <c r="O52" s="319"/>
      <c r="P52" s="319"/>
      <c r="Q52" s="302"/>
    </row>
    <row r="53" spans="1:17" s="71" customFormat="1" ht="24.95" customHeight="1" x14ac:dyDescent="0.2">
      <c r="A53" s="599" t="s">
        <v>234</v>
      </c>
      <c r="B53" s="628" t="s">
        <v>557</v>
      </c>
      <c r="C53" s="601">
        <v>3</v>
      </c>
      <c r="D53" s="601">
        <v>1</v>
      </c>
      <c r="E53" s="601">
        <v>1</v>
      </c>
      <c r="F53" s="302">
        <f t="shared" si="5"/>
        <v>34.65</v>
      </c>
      <c r="G53" s="601">
        <v>15</v>
      </c>
      <c r="H53" s="320">
        <f t="shared" si="4"/>
        <v>45</v>
      </c>
      <c r="I53" s="318">
        <f t="shared" si="6"/>
        <v>34.65</v>
      </c>
      <c r="J53" s="319"/>
      <c r="K53" s="319"/>
      <c r="L53" s="319"/>
      <c r="M53" s="319"/>
      <c r="N53" s="319"/>
      <c r="O53" s="319"/>
      <c r="P53" s="319"/>
      <c r="Q53" s="302"/>
    </row>
    <row r="54" spans="1:17" s="71" customFormat="1" ht="24.95" customHeight="1" x14ac:dyDescent="0.2">
      <c r="A54" s="630" t="s">
        <v>150</v>
      </c>
      <c r="B54" s="631" t="s">
        <v>493</v>
      </c>
      <c r="C54" s="382"/>
      <c r="D54" s="382"/>
      <c r="E54" s="382"/>
      <c r="F54" s="320"/>
      <c r="G54" s="382"/>
      <c r="H54" s="320"/>
      <c r="I54" s="319"/>
      <c r="J54" s="319"/>
      <c r="K54" s="319"/>
      <c r="L54" s="319"/>
      <c r="M54" s="319"/>
      <c r="N54" s="319"/>
      <c r="O54" s="319"/>
      <c r="P54" s="319"/>
      <c r="Q54" s="302"/>
    </row>
    <row r="55" spans="1:17" s="71" customFormat="1" ht="24.95" customHeight="1" x14ac:dyDescent="0.2">
      <c r="A55" s="630"/>
      <c r="B55" s="900" t="s">
        <v>1038</v>
      </c>
      <c r="C55" s="901">
        <v>15</v>
      </c>
      <c r="D55" s="901">
        <v>1</v>
      </c>
      <c r="E55" s="901">
        <v>1</v>
      </c>
      <c r="F55" s="302">
        <f t="shared" ref="F55:F75" si="7">I55+J55+K55</f>
        <v>280</v>
      </c>
      <c r="G55" s="382">
        <v>11</v>
      </c>
      <c r="H55" s="320">
        <f>C55*E55*G55</f>
        <v>165</v>
      </c>
      <c r="I55" s="318">
        <f>8*35</f>
        <v>280</v>
      </c>
      <c r="J55" s="319"/>
      <c r="K55" s="319"/>
      <c r="L55" s="319"/>
      <c r="M55" s="319"/>
      <c r="N55" s="319"/>
      <c r="O55" s="319"/>
      <c r="P55" s="319"/>
      <c r="Q55" s="302" t="s">
        <v>766</v>
      </c>
    </row>
    <row r="56" spans="1:17" s="71" customFormat="1" ht="24.95" customHeight="1" x14ac:dyDescent="0.2">
      <c r="A56" s="633"/>
      <c r="B56" s="621" t="s">
        <v>360</v>
      </c>
      <c r="C56" s="622">
        <f>SUM(C48:C55)</f>
        <v>33</v>
      </c>
      <c r="D56" s="622">
        <f t="shared" ref="D56:E56" si="8">SUM(D48:D55)</f>
        <v>7</v>
      </c>
      <c r="E56" s="622">
        <f t="shared" si="8"/>
        <v>7</v>
      </c>
      <c r="F56" s="902">
        <f>SUM(F48:F55)</f>
        <v>487.9</v>
      </c>
      <c r="G56" s="902">
        <f t="shared" ref="G56:I56" si="9">SUM(G48:G55)</f>
        <v>76</v>
      </c>
      <c r="H56" s="902">
        <f t="shared" si="9"/>
        <v>360</v>
      </c>
      <c r="I56" s="902">
        <f t="shared" si="9"/>
        <v>487.9</v>
      </c>
      <c r="J56" s="623"/>
      <c r="K56" s="623"/>
      <c r="L56" s="623"/>
      <c r="M56" s="623"/>
      <c r="N56" s="623"/>
      <c r="O56" s="623"/>
      <c r="P56" s="623"/>
      <c r="Q56" s="624"/>
    </row>
    <row r="57" spans="1:17" s="71" customFormat="1" ht="24.95" customHeight="1" x14ac:dyDescent="0.2">
      <c r="A57" s="625">
        <v>3</v>
      </c>
      <c r="B57" s="625" t="s">
        <v>168</v>
      </c>
      <c r="C57" s="601"/>
      <c r="D57" s="601"/>
      <c r="E57" s="601"/>
      <c r="F57" s="302"/>
      <c r="G57" s="601"/>
      <c r="H57" s="320"/>
      <c r="I57" s="318"/>
      <c r="J57" s="319"/>
      <c r="K57" s="319"/>
      <c r="L57" s="319"/>
      <c r="M57" s="319"/>
      <c r="N57" s="319"/>
      <c r="O57" s="319"/>
      <c r="P57" s="319"/>
      <c r="Q57" s="302"/>
    </row>
    <row r="58" spans="1:17" s="71" customFormat="1" ht="24.95" customHeight="1" x14ac:dyDescent="0.2">
      <c r="A58" s="625" t="s">
        <v>8</v>
      </c>
      <c r="B58" s="625" t="s">
        <v>227</v>
      </c>
      <c r="C58" s="601"/>
      <c r="D58" s="601"/>
      <c r="E58" s="601"/>
      <c r="F58" s="302"/>
      <c r="G58" s="601"/>
      <c r="H58" s="320"/>
      <c r="I58" s="318"/>
      <c r="J58" s="319"/>
      <c r="K58" s="319"/>
      <c r="L58" s="319"/>
      <c r="M58" s="319"/>
      <c r="N58" s="319"/>
      <c r="O58" s="319"/>
      <c r="P58" s="319"/>
      <c r="Q58" s="302"/>
    </row>
    <row r="59" spans="1:17" s="71" customFormat="1" ht="24.95" customHeight="1" x14ac:dyDescent="0.2">
      <c r="A59" s="625">
        <v>1</v>
      </c>
      <c r="B59" s="627" t="s">
        <v>228</v>
      </c>
      <c r="C59" s="601"/>
      <c r="D59" s="601"/>
      <c r="E59" s="601"/>
      <c r="F59" s="302"/>
      <c r="G59" s="601"/>
      <c r="H59" s="320"/>
      <c r="I59" s="318"/>
      <c r="J59" s="319"/>
      <c r="K59" s="319"/>
      <c r="L59" s="319"/>
      <c r="M59" s="319"/>
      <c r="N59" s="319"/>
      <c r="O59" s="319"/>
      <c r="P59" s="319"/>
      <c r="Q59" s="302"/>
    </row>
    <row r="60" spans="1:17" s="71" customFormat="1" ht="24.95" customHeight="1" x14ac:dyDescent="0.2">
      <c r="A60" s="625" t="s">
        <v>149</v>
      </c>
      <c r="B60" s="627" t="s">
        <v>165</v>
      </c>
      <c r="C60" s="601"/>
      <c r="D60" s="601"/>
      <c r="E60" s="601"/>
      <c r="F60" s="302"/>
      <c r="G60" s="601"/>
      <c r="H60" s="320"/>
      <c r="I60" s="318"/>
      <c r="J60" s="319"/>
      <c r="K60" s="319"/>
      <c r="L60" s="319"/>
      <c r="M60" s="319"/>
      <c r="N60" s="319"/>
      <c r="O60" s="319"/>
      <c r="P60" s="319"/>
      <c r="Q60" s="302"/>
    </row>
    <row r="61" spans="1:17" s="71" customFormat="1" ht="24.95" customHeight="1" x14ac:dyDescent="0.2">
      <c r="A61" s="619" t="s">
        <v>229</v>
      </c>
      <c r="B61" s="903" t="s">
        <v>269</v>
      </c>
      <c r="C61" s="894">
        <v>3</v>
      </c>
      <c r="D61" s="894">
        <v>1</v>
      </c>
      <c r="E61" s="894">
        <v>3</v>
      </c>
      <c r="F61" s="302">
        <f t="shared" si="7"/>
        <v>148.5</v>
      </c>
      <c r="G61" s="601">
        <v>40</v>
      </c>
      <c r="H61" s="320">
        <f t="shared" ref="H61:H75" si="10">C61*E61*G61</f>
        <v>360</v>
      </c>
      <c r="I61" s="318">
        <f t="shared" ref="I61:I75" si="11">IF(G61&lt;70, C61*E61*16.5*1, C61*E61*16.5*1.3)</f>
        <v>148.5</v>
      </c>
      <c r="J61" s="319"/>
      <c r="K61" s="319"/>
      <c r="L61" s="319"/>
      <c r="M61" s="319"/>
      <c r="N61" s="319"/>
      <c r="O61" s="319"/>
      <c r="P61" s="319"/>
      <c r="Q61" s="302"/>
    </row>
    <row r="62" spans="1:17" s="71" customFormat="1" ht="24.95" customHeight="1" x14ac:dyDescent="0.2">
      <c r="A62" s="619" t="s">
        <v>230</v>
      </c>
      <c r="B62" s="903" t="s">
        <v>277</v>
      </c>
      <c r="C62" s="894">
        <v>5</v>
      </c>
      <c r="D62" s="894">
        <v>1</v>
      </c>
      <c r="E62" s="894">
        <v>3</v>
      </c>
      <c r="F62" s="302">
        <f t="shared" si="7"/>
        <v>247.5</v>
      </c>
      <c r="G62" s="601">
        <v>40</v>
      </c>
      <c r="H62" s="320">
        <f t="shared" si="10"/>
        <v>600</v>
      </c>
      <c r="I62" s="318">
        <f t="shared" si="11"/>
        <v>247.5</v>
      </c>
      <c r="J62" s="319"/>
      <c r="K62" s="319"/>
      <c r="L62" s="319"/>
      <c r="M62" s="319"/>
      <c r="N62" s="319"/>
      <c r="O62" s="319"/>
      <c r="P62" s="319"/>
      <c r="Q62" s="302"/>
    </row>
    <row r="63" spans="1:17" s="71" customFormat="1" ht="24.95" customHeight="1" x14ac:dyDescent="0.2">
      <c r="A63" s="619" t="s">
        <v>231</v>
      </c>
      <c r="B63" s="903" t="s">
        <v>1039</v>
      </c>
      <c r="C63" s="894">
        <v>3</v>
      </c>
      <c r="D63" s="894">
        <v>1</v>
      </c>
      <c r="E63" s="894">
        <v>3</v>
      </c>
      <c r="F63" s="302">
        <f t="shared" si="7"/>
        <v>148.5</v>
      </c>
      <c r="G63" s="601">
        <v>40</v>
      </c>
      <c r="H63" s="320">
        <f t="shared" si="10"/>
        <v>360</v>
      </c>
      <c r="I63" s="318">
        <f t="shared" si="11"/>
        <v>148.5</v>
      </c>
      <c r="J63" s="319"/>
      <c r="K63" s="319"/>
      <c r="L63" s="319"/>
      <c r="M63" s="319"/>
      <c r="N63" s="319"/>
      <c r="O63" s="319"/>
      <c r="P63" s="319"/>
      <c r="Q63" s="302"/>
    </row>
    <row r="64" spans="1:17" s="71" customFormat="1" ht="24.95" customHeight="1" x14ac:dyDescent="0.2">
      <c r="A64" s="619" t="s">
        <v>232</v>
      </c>
      <c r="B64" s="903" t="s">
        <v>279</v>
      </c>
      <c r="C64" s="894">
        <v>2</v>
      </c>
      <c r="D64" s="894">
        <v>1</v>
      </c>
      <c r="E64" s="894">
        <v>3</v>
      </c>
      <c r="F64" s="302">
        <f t="shared" si="7"/>
        <v>99</v>
      </c>
      <c r="G64" s="601">
        <v>40</v>
      </c>
      <c r="H64" s="320">
        <f t="shared" si="10"/>
        <v>240</v>
      </c>
      <c r="I64" s="318">
        <f t="shared" si="11"/>
        <v>99</v>
      </c>
      <c r="J64" s="319"/>
      <c r="K64" s="319"/>
      <c r="L64" s="319"/>
      <c r="M64" s="319"/>
      <c r="N64" s="319"/>
      <c r="O64" s="319"/>
      <c r="P64" s="319"/>
      <c r="Q64" s="302"/>
    </row>
    <row r="65" spans="1:17" s="71" customFormat="1" ht="24.95" customHeight="1" x14ac:dyDescent="0.2">
      <c r="A65" s="619" t="s">
        <v>233</v>
      </c>
      <c r="B65" s="903" t="s">
        <v>280</v>
      </c>
      <c r="C65" s="894">
        <v>2</v>
      </c>
      <c r="D65" s="894">
        <v>1</v>
      </c>
      <c r="E65" s="894">
        <v>3</v>
      </c>
      <c r="F65" s="302">
        <f t="shared" si="7"/>
        <v>99</v>
      </c>
      <c r="G65" s="601">
        <v>40</v>
      </c>
      <c r="H65" s="320">
        <f t="shared" si="10"/>
        <v>240</v>
      </c>
      <c r="I65" s="318">
        <f t="shared" si="11"/>
        <v>99</v>
      </c>
      <c r="J65" s="319"/>
      <c r="K65" s="319"/>
      <c r="L65" s="319"/>
      <c r="M65" s="319"/>
      <c r="N65" s="319"/>
      <c r="O65" s="319"/>
      <c r="P65" s="319"/>
      <c r="Q65" s="302"/>
    </row>
    <row r="66" spans="1:17" s="71" customFormat="1" ht="24.95" customHeight="1" x14ac:dyDescent="0.2">
      <c r="A66" s="619" t="s">
        <v>234</v>
      </c>
      <c r="B66" s="903" t="s">
        <v>281</v>
      </c>
      <c r="C66" s="894">
        <v>5</v>
      </c>
      <c r="D66" s="894">
        <v>1</v>
      </c>
      <c r="E66" s="894">
        <v>3</v>
      </c>
      <c r="F66" s="302">
        <f t="shared" si="7"/>
        <v>247.5</v>
      </c>
      <c r="G66" s="601">
        <v>40</v>
      </c>
      <c r="H66" s="320">
        <f t="shared" si="10"/>
        <v>600</v>
      </c>
      <c r="I66" s="318">
        <f t="shared" si="11"/>
        <v>247.5</v>
      </c>
      <c r="J66" s="319"/>
      <c r="K66" s="319"/>
      <c r="L66" s="319"/>
      <c r="M66" s="319"/>
      <c r="N66" s="319"/>
      <c r="O66" s="319"/>
      <c r="P66" s="319"/>
      <c r="Q66" s="302"/>
    </row>
    <row r="67" spans="1:17" s="71" customFormat="1" ht="24.95" customHeight="1" x14ac:dyDescent="0.2">
      <c r="A67" s="619" t="s">
        <v>285</v>
      </c>
      <c r="B67" s="903" t="s">
        <v>282</v>
      </c>
      <c r="C67" s="894">
        <v>2</v>
      </c>
      <c r="D67" s="894">
        <v>1</v>
      </c>
      <c r="E67" s="894">
        <v>3</v>
      </c>
      <c r="F67" s="302">
        <f t="shared" si="7"/>
        <v>99</v>
      </c>
      <c r="G67" s="601">
        <v>40</v>
      </c>
      <c r="H67" s="320">
        <f t="shared" si="10"/>
        <v>240</v>
      </c>
      <c r="I67" s="318">
        <f t="shared" si="11"/>
        <v>99</v>
      </c>
      <c r="J67" s="319"/>
      <c r="K67" s="319"/>
      <c r="L67" s="319"/>
      <c r="M67" s="319"/>
      <c r="N67" s="319"/>
      <c r="O67" s="319"/>
      <c r="P67" s="319"/>
      <c r="Q67" s="302"/>
    </row>
    <row r="68" spans="1:17" s="71" customFormat="1" ht="24.95" customHeight="1" x14ac:dyDescent="0.2">
      <c r="A68" s="619" t="s">
        <v>286</v>
      </c>
      <c r="B68" s="904" t="s">
        <v>259</v>
      </c>
      <c r="C68" s="894">
        <v>3</v>
      </c>
      <c r="D68" s="894">
        <v>1</v>
      </c>
      <c r="E68" s="894">
        <v>5</v>
      </c>
      <c r="F68" s="302">
        <f t="shared" si="7"/>
        <v>247.5</v>
      </c>
      <c r="G68" s="601">
        <v>40</v>
      </c>
      <c r="H68" s="320">
        <f t="shared" si="10"/>
        <v>600</v>
      </c>
      <c r="I68" s="318">
        <f t="shared" si="11"/>
        <v>247.5</v>
      </c>
      <c r="J68" s="319"/>
      <c r="K68" s="319"/>
      <c r="L68" s="319"/>
      <c r="M68" s="319"/>
      <c r="N68" s="319"/>
      <c r="O68" s="319"/>
      <c r="P68" s="319"/>
      <c r="Q68" s="302"/>
    </row>
    <row r="69" spans="1:17" s="71" customFormat="1" ht="24.95" customHeight="1" x14ac:dyDescent="0.2">
      <c r="A69" s="619" t="s">
        <v>287</v>
      </c>
      <c r="B69" s="904" t="s">
        <v>265</v>
      </c>
      <c r="C69" s="894">
        <v>5</v>
      </c>
      <c r="D69" s="894">
        <v>1</v>
      </c>
      <c r="E69" s="894">
        <v>5</v>
      </c>
      <c r="F69" s="302">
        <f t="shared" si="7"/>
        <v>412.5</v>
      </c>
      <c r="G69" s="601">
        <v>40</v>
      </c>
      <c r="H69" s="320">
        <f t="shared" si="10"/>
        <v>1000</v>
      </c>
      <c r="I69" s="318">
        <f t="shared" si="11"/>
        <v>412.5</v>
      </c>
      <c r="J69" s="319"/>
      <c r="K69" s="319"/>
      <c r="L69" s="319"/>
      <c r="M69" s="319"/>
      <c r="N69" s="319"/>
      <c r="O69" s="319"/>
      <c r="P69" s="319"/>
      <c r="Q69" s="302"/>
    </row>
    <row r="70" spans="1:17" s="71" customFormat="1" ht="24.95" customHeight="1" x14ac:dyDescent="0.2">
      <c r="A70" s="619" t="s">
        <v>288</v>
      </c>
      <c r="B70" s="904" t="s">
        <v>283</v>
      </c>
      <c r="C70" s="894">
        <v>2</v>
      </c>
      <c r="D70" s="894">
        <v>1</v>
      </c>
      <c r="E70" s="894">
        <v>5</v>
      </c>
      <c r="F70" s="302">
        <f t="shared" si="7"/>
        <v>165</v>
      </c>
      <c r="G70" s="601">
        <v>40</v>
      </c>
      <c r="H70" s="320">
        <f t="shared" si="10"/>
        <v>400</v>
      </c>
      <c r="I70" s="318">
        <f t="shared" si="11"/>
        <v>165</v>
      </c>
      <c r="J70" s="319"/>
      <c r="K70" s="319"/>
      <c r="L70" s="319"/>
      <c r="M70" s="319"/>
      <c r="N70" s="319"/>
      <c r="O70" s="319"/>
      <c r="P70" s="319"/>
      <c r="Q70" s="302"/>
    </row>
    <row r="71" spans="1:17" s="71" customFormat="1" ht="24.95" customHeight="1" x14ac:dyDescent="0.2">
      <c r="A71" s="619" t="s">
        <v>289</v>
      </c>
      <c r="B71" s="903" t="s">
        <v>1040</v>
      </c>
      <c r="C71" s="894">
        <v>5</v>
      </c>
      <c r="D71" s="894">
        <v>1</v>
      </c>
      <c r="E71" s="894">
        <v>5</v>
      </c>
      <c r="F71" s="302">
        <f t="shared" si="7"/>
        <v>412.5</v>
      </c>
      <c r="G71" s="601">
        <v>40</v>
      </c>
      <c r="H71" s="320">
        <f t="shared" si="10"/>
        <v>1000</v>
      </c>
      <c r="I71" s="318">
        <f t="shared" si="11"/>
        <v>412.5</v>
      </c>
      <c r="J71" s="319"/>
      <c r="K71" s="319"/>
      <c r="L71" s="319"/>
      <c r="M71" s="319"/>
      <c r="N71" s="319"/>
      <c r="O71" s="319"/>
      <c r="P71" s="319"/>
      <c r="Q71" s="302"/>
    </row>
    <row r="72" spans="1:17" s="563" customFormat="1" ht="24.95" customHeight="1" x14ac:dyDescent="0.2">
      <c r="A72" s="635" t="s">
        <v>292</v>
      </c>
      <c r="B72" s="905" t="s">
        <v>290</v>
      </c>
      <c r="C72" s="894">
        <v>3</v>
      </c>
      <c r="D72" s="894">
        <v>1</v>
      </c>
      <c r="E72" s="894">
        <v>3</v>
      </c>
      <c r="F72" s="302">
        <f t="shared" si="7"/>
        <v>148.5</v>
      </c>
      <c r="G72" s="601">
        <v>40</v>
      </c>
      <c r="H72" s="320">
        <f t="shared" si="10"/>
        <v>360</v>
      </c>
      <c r="I72" s="318">
        <f t="shared" si="11"/>
        <v>148.5</v>
      </c>
      <c r="Q72" s="638"/>
    </row>
    <row r="73" spans="1:17" s="563" customFormat="1" ht="24.95" customHeight="1" x14ac:dyDescent="0.2">
      <c r="A73" s="635" t="s">
        <v>293</v>
      </c>
      <c r="B73" s="905" t="s">
        <v>268</v>
      </c>
      <c r="C73" s="894">
        <v>3</v>
      </c>
      <c r="D73" s="894">
        <v>1</v>
      </c>
      <c r="E73" s="894">
        <v>3</v>
      </c>
      <c r="F73" s="302">
        <f t="shared" si="7"/>
        <v>148.5</v>
      </c>
      <c r="G73" s="601">
        <v>40</v>
      </c>
      <c r="H73" s="320">
        <f t="shared" si="10"/>
        <v>360</v>
      </c>
      <c r="I73" s="318">
        <f t="shared" si="11"/>
        <v>148.5</v>
      </c>
      <c r="J73" s="639"/>
      <c r="K73" s="639"/>
      <c r="L73" s="640"/>
      <c r="M73" s="641"/>
      <c r="N73" s="641"/>
      <c r="O73" s="642"/>
      <c r="P73" s="642"/>
      <c r="Q73" s="643"/>
    </row>
    <row r="74" spans="1:17" s="563" customFormat="1" ht="24.95" customHeight="1" x14ac:dyDescent="0.2">
      <c r="A74" s="635" t="s">
        <v>294</v>
      </c>
      <c r="B74" s="905" t="s">
        <v>291</v>
      </c>
      <c r="C74" s="894">
        <v>5</v>
      </c>
      <c r="D74" s="894">
        <v>1</v>
      </c>
      <c r="E74" s="894">
        <v>3</v>
      </c>
      <c r="F74" s="302">
        <f t="shared" si="7"/>
        <v>247.5</v>
      </c>
      <c r="G74" s="601">
        <v>40</v>
      </c>
      <c r="H74" s="320">
        <f t="shared" si="10"/>
        <v>600</v>
      </c>
      <c r="I74" s="318">
        <f t="shared" si="11"/>
        <v>247.5</v>
      </c>
      <c r="J74" s="639"/>
      <c r="K74" s="639"/>
      <c r="L74" s="640"/>
      <c r="M74" s="641"/>
      <c r="N74" s="641"/>
      <c r="O74" s="642"/>
      <c r="P74" s="642"/>
      <c r="Q74" s="643"/>
    </row>
    <row r="75" spans="1:17" s="563" customFormat="1" ht="24.95" customHeight="1" x14ac:dyDescent="0.2">
      <c r="A75" s="635" t="s">
        <v>295</v>
      </c>
      <c r="B75" s="905" t="s">
        <v>266</v>
      </c>
      <c r="C75" s="894">
        <v>3</v>
      </c>
      <c r="D75" s="894">
        <v>1</v>
      </c>
      <c r="E75" s="894">
        <v>3</v>
      </c>
      <c r="F75" s="302">
        <f t="shared" si="7"/>
        <v>148.5</v>
      </c>
      <c r="G75" s="601">
        <v>40</v>
      </c>
      <c r="H75" s="320">
        <f t="shared" si="10"/>
        <v>360</v>
      </c>
      <c r="I75" s="318">
        <f t="shared" si="11"/>
        <v>148.5</v>
      </c>
      <c r="J75" s="639"/>
      <c r="K75" s="639"/>
      <c r="L75" s="640"/>
      <c r="M75" s="641"/>
      <c r="N75" s="641"/>
      <c r="O75" s="642"/>
      <c r="P75" s="642"/>
      <c r="Q75" s="643"/>
    </row>
    <row r="76" spans="1:17" s="563" customFormat="1" ht="24.95" customHeight="1" x14ac:dyDescent="0.2">
      <c r="A76" s="644"/>
      <c r="B76" s="621" t="s">
        <v>360</v>
      </c>
      <c r="C76" s="622">
        <f>SUM(C61:C75)</f>
        <v>51</v>
      </c>
      <c r="D76" s="622">
        <f t="shared" ref="D76:F76" si="12">SUM(D61:D75)</f>
        <v>15</v>
      </c>
      <c r="E76" s="622">
        <f t="shared" si="12"/>
        <v>53</v>
      </c>
      <c r="F76" s="622">
        <f t="shared" si="12"/>
        <v>3019.5</v>
      </c>
      <c r="G76" s="622">
        <f>SUM(G61:G75)</f>
        <v>600</v>
      </c>
      <c r="H76" s="622">
        <f t="shared" ref="H76:I76" si="13">SUM(H61:H75)</f>
        <v>7320</v>
      </c>
      <c r="I76" s="622">
        <f t="shared" si="13"/>
        <v>3019.5</v>
      </c>
      <c r="J76" s="639"/>
      <c r="K76" s="639"/>
      <c r="L76" s="640"/>
      <c r="M76" s="641"/>
      <c r="N76" s="641"/>
      <c r="O76" s="642"/>
      <c r="P76" s="642"/>
      <c r="Q76" s="643"/>
    </row>
    <row r="77" spans="1:17" s="563" customFormat="1" ht="24.95" customHeight="1" x14ac:dyDescent="0.2">
      <c r="A77" s="645">
        <v>2</v>
      </c>
      <c r="B77" s="645" t="s">
        <v>87</v>
      </c>
      <c r="C77" s="637">
        <v>0</v>
      </c>
      <c r="D77" s="637">
        <v>0</v>
      </c>
      <c r="E77" s="637">
        <v>0</v>
      </c>
      <c r="F77" s="637"/>
      <c r="G77" s="601">
        <v>0</v>
      </c>
      <c r="H77" s="646"/>
      <c r="I77" s="646"/>
      <c r="J77" s="639"/>
      <c r="K77" s="639"/>
      <c r="L77" s="640"/>
      <c r="M77" s="641"/>
      <c r="N77" s="641"/>
      <c r="O77" s="642"/>
      <c r="P77" s="642"/>
      <c r="Q77" s="643"/>
    </row>
    <row r="78" spans="1:17" s="71" customFormat="1" ht="24.95" customHeight="1" x14ac:dyDescent="0.2">
      <c r="A78" s="647"/>
      <c r="B78" s="647" t="s">
        <v>397</v>
      </c>
      <c r="C78" s="539">
        <f>C45+C56+C76</f>
        <v>177</v>
      </c>
      <c r="D78" s="539">
        <f>D45+D56+D76</f>
        <v>55.139999999999993</v>
      </c>
      <c r="E78" s="539">
        <f>E45+E56+E76</f>
        <v>160</v>
      </c>
      <c r="F78" s="539">
        <f t="shared" ref="F78:I78" si="14">F45+F56+F76</f>
        <v>9180.0499999999993</v>
      </c>
      <c r="G78" s="539">
        <f t="shared" si="14"/>
        <v>2437</v>
      </c>
      <c r="H78" s="539">
        <f t="shared" si="14"/>
        <v>22318</v>
      </c>
      <c r="I78" s="539">
        <f t="shared" si="14"/>
        <v>9180.0499999999993</v>
      </c>
      <c r="J78" s="648">
        <v>0</v>
      </c>
      <c r="K78" s="648">
        <v>0</v>
      </c>
      <c r="L78" s="649">
        <f>'Bieu3 GDTH'!F24</f>
        <v>2632</v>
      </c>
      <c r="M78" s="650">
        <f>'Bieu3 GDTH'!N24</f>
        <v>2159.5</v>
      </c>
      <c r="N78" s="650">
        <f>F78-M78</f>
        <v>7020.5499999999993</v>
      </c>
      <c r="O78" s="332">
        <f>'Bieu3 GDTH'!O24</f>
        <v>1358</v>
      </c>
      <c r="P78" s="332">
        <f>'Bieu3 GDTH'!P24</f>
        <v>701</v>
      </c>
      <c r="Q78" s="542" t="s">
        <v>767</v>
      </c>
    </row>
    <row r="79" spans="1:17" s="71" customFormat="1" ht="24.95" customHeight="1" x14ac:dyDescent="0.2">
      <c r="A79" s="591" t="s">
        <v>19</v>
      </c>
      <c r="B79" s="891" t="s">
        <v>398</v>
      </c>
      <c r="C79" s="320"/>
      <c r="D79" s="320"/>
      <c r="E79" s="320"/>
      <c r="F79" s="320"/>
      <c r="G79" s="320"/>
      <c r="H79" s="320"/>
      <c r="I79" s="319"/>
      <c r="J79" s="319"/>
      <c r="K79" s="319"/>
      <c r="L79" s="319"/>
      <c r="M79" s="319"/>
      <c r="N79" s="319"/>
      <c r="O79" s="319"/>
      <c r="P79" s="319"/>
      <c r="Q79" s="302"/>
    </row>
    <row r="80" spans="1:17" s="71" customFormat="1" ht="24.95" customHeight="1" x14ac:dyDescent="0.2">
      <c r="A80" s="651" t="s">
        <v>400</v>
      </c>
      <c r="B80" s="651" t="s">
        <v>401</v>
      </c>
      <c r="C80" s="320"/>
      <c r="D80" s="320"/>
      <c r="E80" s="320"/>
      <c r="F80" s="320"/>
      <c r="G80" s="320"/>
      <c r="H80" s="320"/>
      <c r="I80" s="319"/>
      <c r="J80" s="319"/>
      <c r="K80" s="319"/>
      <c r="L80" s="319"/>
      <c r="M80" s="319"/>
      <c r="N80" s="319"/>
      <c r="O80" s="319"/>
      <c r="P80" s="319"/>
      <c r="Q80" s="302"/>
    </row>
    <row r="81" spans="1:17" s="71" customFormat="1" ht="24.95" customHeight="1" x14ac:dyDescent="0.2">
      <c r="A81" s="651">
        <v>1</v>
      </c>
      <c r="B81" s="651" t="s">
        <v>402</v>
      </c>
      <c r="C81" s="320"/>
      <c r="D81" s="320"/>
      <c r="E81" s="320"/>
      <c r="F81" s="320"/>
      <c r="G81" s="320"/>
      <c r="H81" s="320"/>
      <c r="I81" s="319"/>
      <c r="J81" s="319"/>
      <c r="K81" s="319"/>
      <c r="L81" s="319"/>
      <c r="M81" s="319"/>
      <c r="N81" s="319"/>
      <c r="O81" s="319"/>
      <c r="P81" s="319"/>
      <c r="Q81" s="302"/>
    </row>
    <row r="82" spans="1:17" s="71" customFormat="1" ht="24.95" customHeight="1" x14ac:dyDescent="0.2">
      <c r="A82" s="652" t="s">
        <v>149</v>
      </c>
      <c r="B82" s="653" t="s">
        <v>163</v>
      </c>
      <c r="C82" s="320"/>
      <c r="D82" s="320"/>
      <c r="E82" s="320"/>
      <c r="F82" s="320"/>
      <c r="G82" s="320"/>
      <c r="H82" s="320"/>
      <c r="I82" s="319"/>
      <c r="J82" s="319"/>
      <c r="K82" s="319"/>
      <c r="L82" s="319"/>
      <c r="M82" s="319"/>
      <c r="N82" s="319"/>
      <c r="O82" s="319"/>
      <c r="P82" s="319"/>
      <c r="Q82" s="302"/>
    </row>
    <row r="83" spans="1:17" s="71" customFormat="1" ht="24.95" customHeight="1" x14ac:dyDescent="0.2">
      <c r="A83" s="599" t="s">
        <v>229</v>
      </c>
      <c r="B83" s="628" t="s">
        <v>982</v>
      </c>
      <c r="C83" s="604">
        <v>3</v>
      </c>
      <c r="D83" s="604">
        <v>1</v>
      </c>
      <c r="E83" s="604">
        <v>3</v>
      </c>
      <c r="F83" s="302">
        <f t="shared" ref="F83:F103" si="15">I83+J83+K83</f>
        <v>148.5</v>
      </c>
      <c r="G83" s="604">
        <v>60</v>
      </c>
      <c r="H83" s="320">
        <f t="shared" ref="H83:H117" si="16">C83*E83*G83</f>
        <v>540</v>
      </c>
      <c r="I83" s="318">
        <f t="shared" ref="I83:I107" si="17">IF(G83&lt;70, C83*E83*16.5*1, C83*E83*16.5*1.3)</f>
        <v>148.5</v>
      </c>
      <c r="J83" s="526"/>
      <c r="K83" s="526"/>
      <c r="L83" s="319"/>
      <c r="M83" s="319"/>
      <c r="N83" s="319"/>
      <c r="O83" s="319"/>
      <c r="P83" s="319"/>
      <c r="Q83" s="302"/>
    </row>
    <row r="84" spans="1:17" s="71" customFormat="1" ht="24.95" customHeight="1" x14ac:dyDescent="0.2">
      <c r="A84" s="599" t="s">
        <v>230</v>
      </c>
      <c r="B84" s="628" t="s">
        <v>983</v>
      </c>
      <c r="C84" s="604">
        <v>5</v>
      </c>
      <c r="D84" s="604">
        <v>1.3</v>
      </c>
      <c r="E84" s="604">
        <v>3</v>
      </c>
      <c r="F84" s="302">
        <f t="shared" si="15"/>
        <v>321.75</v>
      </c>
      <c r="G84" s="604">
        <v>70</v>
      </c>
      <c r="H84" s="320">
        <f t="shared" si="16"/>
        <v>1050</v>
      </c>
      <c r="I84" s="318">
        <f t="shared" si="17"/>
        <v>321.75</v>
      </c>
      <c r="J84" s="526"/>
      <c r="K84" s="526"/>
      <c r="L84" s="319"/>
      <c r="M84" s="319"/>
      <c r="N84" s="319"/>
      <c r="O84" s="319"/>
      <c r="P84" s="319"/>
      <c r="Q84" s="302"/>
    </row>
    <row r="85" spans="1:17" s="71" customFormat="1" ht="24.95" customHeight="1" x14ac:dyDescent="0.2">
      <c r="A85" s="599" t="s">
        <v>231</v>
      </c>
      <c r="B85" s="628" t="s">
        <v>984</v>
      </c>
      <c r="C85" s="604">
        <v>1</v>
      </c>
      <c r="D85" s="604">
        <v>1.3</v>
      </c>
      <c r="E85" s="604">
        <v>8</v>
      </c>
      <c r="F85" s="302">
        <f t="shared" si="15"/>
        <v>132</v>
      </c>
      <c r="G85" s="604">
        <v>20</v>
      </c>
      <c r="H85" s="320">
        <f t="shared" si="16"/>
        <v>160</v>
      </c>
      <c r="I85" s="318">
        <f t="shared" si="17"/>
        <v>132</v>
      </c>
      <c r="J85" s="526"/>
      <c r="K85" s="526"/>
      <c r="L85" s="319"/>
      <c r="M85" s="319"/>
      <c r="N85" s="319"/>
      <c r="O85" s="319"/>
      <c r="P85" s="319"/>
      <c r="Q85" s="302"/>
    </row>
    <row r="86" spans="1:17" s="71" customFormat="1" ht="24.95" customHeight="1" x14ac:dyDescent="0.2">
      <c r="A86" s="599" t="s">
        <v>231</v>
      </c>
      <c r="B86" s="628" t="s">
        <v>985</v>
      </c>
      <c r="C86" s="604">
        <v>4</v>
      </c>
      <c r="D86" s="604">
        <v>1</v>
      </c>
      <c r="E86" s="604">
        <v>3</v>
      </c>
      <c r="F86" s="302">
        <f t="shared" si="15"/>
        <v>198</v>
      </c>
      <c r="G86" s="604">
        <v>60</v>
      </c>
      <c r="H86" s="320">
        <f t="shared" si="16"/>
        <v>720</v>
      </c>
      <c r="I86" s="318">
        <f t="shared" si="17"/>
        <v>198</v>
      </c>
      <c r="J86" s="526"/>
      <c r="K86" s="526"/>
      <c r="L86" s="319"/>
      <c r="M86" s="319"/>
      <c r="N86" s="319"/>
      <c r="O86" s="319"/>
      <c r="P86" s="319"/>
      <c r="Q86" s="302"/>
    </row>
    <row r="87" spans="1:17" s="71" customFormat="1" ht="24.95" customHeight="1" x14ac:dyDescent="0.2">
      <c r="A87" s="599" t="s">
        <v>232</v>
      </c>
      <c r="B87" s="628" t="s">
        <v>709</v>
      </c>
      <c r="C87" s="604">
        <v>3</v>
      </c>
      <c r="D87" s="604">
        <v>1</v>
      </c>
      <c r="E87" s="604">
        <v>2</v>
      </c>
      <c r="F87" s="302">
        <f t="shared" si="15"/>
        <v>99</v>
      </c>
      <c r="G87" s="604">
        <v>60</v>
      </c>
      <c r="H87" s="320">
        <f t="shared" si="16"/>
        <v>360</v>
      </c>
      <c r="I87" s="318">
        <f t="shared" si="17"/>
        <v>99</v>
      </c>
      <c r="J87" s="526"/>
      <c r="K87" s="526"/>
      <c r="L87" s="319"/>
      <c r="M87" s="319"/>
      <c r="N87" s="319"/>
      <c r="O87" s="319"/>
      <c r="P87" s="319"/>
      <c r="Q87" s="302"/>
    </row>
    <row r="88" spans="1:17" s="71" customFormat="1" ht="24.95" customHeight="1" x14ac:dyDescent="0.2">
      <c r="A88" s="599" t="s">
        <v>233</v>
      </c>
      <c r="B88" s="628" t="s">
        <v>986</v>
      </c>
      <c r="C88" s="601">
        <v>3</v>
      </c>
      <c r="D88" s="601">
        <v>1</v>
      </c>
      <c r="E88" s="601">
        <v>3</v>
      </c>
      <c r="F88" s="302">
        <f t="shared" si="15"/>
        <v>193.05</v>
      </c>
      <c r="G88" s="601">
        <v>70</v>
      </c>
      <c r="H88" s="320">
        <f t="shared" si="16"/>
        <v>630</v>
      </c>
      <c r="I88" s="318">
        <f t="shared" si="17"/>
        <v>193.05</v>
      </c>
      <c r="J88" s="526"/>
      <c r="K88" s="526"/>
      <c r="L88" s="319"/>
      <c r="M88" s="319"/>
      <c r="N88" s="319"/>
      <c r="O88" s="319"/>
      <c r="P88" s="319"/>
      <c r="Q88" s="302"/>
    </row>
    <row r="89" spans="1:17" s="71" customFormat="1" ht="24.95" customHeight="1" x14ac:dyDescent="0.2">
      <c r="A89" s="599" t="s">
        <v>285</v>
      </c>
      <c r="B89" s="628" t="s">
        <v>987</v>
      </c>
      <c r="C89" s="601">
        <v>5</v>
      </c>
      <c r="D89" s="601">
        <v>1</v>
      </c>
      <c r="E89" s="601">
        <v>3</v>
      </c>
      <c r="F89" s="302">
        <f t="shared" si="15"/>
        <v>321.75</v>
      </c>
      <c r="G89" s="601">
        <v>70</v>
      </c>
      <c r="H89" s="320">
        <f t="shared" si="16"/>
        <v>1050</v>
      </c>
      <c r="I89" s="318">
        <f t="shared" si="17"/>
        <v>321.75</v>
      </c>
      <c r="J89" s="526"/>
      <c r="K89" s="526"/>
      <c r="L89" s="319"/>
      <c r="M89" s="319"/>
      <c r="N89" s="319"/>
      <c r="O89" s="319"/>
      <c r="P89" s="319"/>
      <c r="Q89" s="302"/>
    </row>
    <row r="90" spans="1:17" s="71" customFormat="1" ht="24.95" customHeight="1" x14ac:dyDescent="0.2">
      <c r="A90" s="599" t="s">
        <v>286</v>
      </c>
      <c r="B90" s="628" t="s">
        <v>988</v>
      </c>
      <c r="C90" s="601">
        <v>2</v>
      </c>
      <c r="D90" s="601">
        <v>1.3</v>
      </c>
      <c r="E90" s="601">
        <v>6</v>
      </c>
      <c r="F90" s="302">
        <f t="shared" si="15"/>
        <v>198</v>
      </c>
      <c r="G90" s="601">
        <v>25</v>
      </c>
      <c r="H90" s="320">
        <f t="shared" si="16"/>
        <v>300</v>
      </c>
      <c r="I90" s="318">
        <f t="shared" si="17"/>
        <v>198</v>
      </c>
      <c r="J90" s="526"/>
      <c r="K90" s="526"/>
      <c r="L90" s="319"/>
      <c r="M90" s="319"/>
      <c r="N90" s="319"/>
      <c r="O90" s="319"/>
      <c r="P90" s="319"/>
      <c r="Q90" s="302"/>
    </row>
    <row r="91" spans="1:17" s="71" customFormat="1" ht="24.95" customHeight="1" x14ac:dyDescent="0.2">
      <c r="A91" s="599" t="s">
        <v>287</v>
      </c>
      <c r="B91" s="628" t="s">
        <v>985</v>
      </c>
      <c r="C91" s="601">
        <v>3</v>
      </c>
      <c r="D91" s="601">
        <v>1</v>
      </c>
      <c r="E91" s="601">
        <v>3</v>
      </c>
      <c r="F91" s="302">
        <f t="shared" si="15"/>
        <v>193.05</v>
      </c>
      <c r="G91" s="601">
        <v>70</v>
      </c>
      <c r="H91" s="320">
        <f t="shared" si="16"/>
        <v>630</v>
      </c>
      <c r="I91" s="318">
        <f t="shared" si="17"/>
        <v>193.05</v>
      </c>
      <c r="J91" s="526"/>
      <c r="K91" s="526"/>
      <c r="L91" s="319"/>
      <c r="M91" s="319"/>
      <c r="N91" s="319"/>
      <c r="O91" s="319"/>
      <c r="P91" s="319"/>
      <c r="Q91" s="302"/>
    </row>
    <row r="92" spans="1:17" s="71" customFormat="1" ht="24.95" customHeight="1" x14ac:dyDescent="0.2">
      <c r="A92" s="599" t="s">
        <v>288</v>
      </c>
      <c r="B92" s="628" t="s">
        <v>523</v>
      </c>
      <c r="C92" s="601">
        <v>2</v>
      </c>
      <c r="D92" s="601">
        <v>1</v>
      </c>
      <c r="E92" s="601">
        <v>1</v>
      </c>
      <c r="F92" s="302">
        <f t="shared" si="15"/>
        <v>33</v>
      </c>
      <c r="G92" s="601">
        <v>40</v>
      </c>
      <c r="H92" s="320">
        <f t="shared" si="16"/>
        <v>80</v>
      </c>
      <c r="I92" s="318">
        <f t="shared" si="17"/>
        <v>33</v>
      </c>
      <c r="J92" s="526"/>
      <c r="K92" s="526"/>
      <c r="L92" s="319"/>
      <c r="M92" s="319"/>
      <c r="N92" s="319"/>
      <c r="O92" s="319"/>
      <c r="P92" s="319"/>
      <c r="Q92" s="302"/>
    </row>
    <row r="93" spans="1:17" s="71" customFormat="1" ht="24.95" customHeight="1" x14ac:dyDescent="0.2">
      <c r="A93" s="599" t="s">
        <v>289</v>
      </c>
      <c r="B93" s="629" t="s">
        <v>989</v>
      </c>
      <c r="C93" s="601">
        <v>5</v>
      </c>
      <c r="D93" s="601">
        <v>1</v>
      </c>
      <c r="E93" s="601">
        <v>3</v>
      </c>
      <c r="F93" s="302">
        <f t="shared" si="15"/>
        <v>321.75</v>
      </c>
      <c r="G93" s="601">
        <v>70</v>
      </c>
      <c r="H93" s="320">
        <f t="shared" si="16"/>
        <v>1050</v>
      </c>
      <c r="I93" s="318">
        <f t="shared" si="17"/>
        <v>321.75</v>
      </c>
      <c r="J93" s="526"/>
      <c r="K93" s="526"/>
      <c r="L93" s="319"/>
      <c r="M93" s="319"/>
      <c r="N93" s="319"/>
      <c r="O93" s="319"/>
      <c r="P93" s="319"/>
      <c r="Q93" s="302"/>
    </row>
    <row r="94" spans="1:17" s="71" customFormat="1" ht="24.95" customHeight="1" x14ac:dyDescent="0.2">
      <c r="A94" s="599" t="s">
        <v>292</v>
      </c>
      <c r="B94" s="629" t="s">
        <v>990</v>
      </c>
      <c r="C94" s="601">
        <v>3</v>
      </c>
      <c r="D94" s="601">
        <v>1.2</v>
      </c>
      <c r="E94" s="601">
        <v>2</v>
      </c>
      <c r="F94" s="302">
        <f t="shared" si="15"/>
        <v>99</v>
      </c>
      <c r="G94" s="601">
        <v>25</v>
      </c>
      <c r="H94" s="320">
        <f t="shared" si="16"/>
        <v>150</v>
      </c>
      <c r="I94" s="318">
        <f t="shared" si="17"/>
        <v>99</v>
      </c>
      <c r="J94" s="526"/>
      <c r="K94" s="526"/>
      <c r="L94" s="319"/>
      <c r="M94" s="319"/>
      <c r="N94" s="319"/>
      <c r="O94" s="319"/>
      <c r="P94" s="319"/>
      <c r="Q94" s="302"/>
    </row>
    <row r="95" spans="1:17" s="71" customFormat="1" ht="24.95" customHeight="1" x14ac:dyDescent="0.2">
      <c r="A95" s="599" t="s">
        <v>293</v>
      </c>
      <c r="B95" s="629" t="s">
        <v>991</v>
      </c>
      <c r="C95" s="601">
        <v>5</v>
      </c>
      <c r="D95" s="601">
        <v>1</v>
      </c>
      <c r="E95" s="601">
        <v>3</v>
      </c>
      <c r="F95" s="302">
        <f t="shared" si="15"/>
        <v>321.75</v>
      </c>
      <c r="G95" s="601">
        <v>70</v>
      </c>
      <c r="H95" s="320">
        <f t="shared" si="16"/>
        <v>1050</v>
      </c>
      <c r="I95" s="318">
        <f t="shared" si="17"/>
        <v>321.75</v>
      </c>
      <c r="J95" s="526"/>
      <c r="K95" s="526"/>
      <c r="L95" s="319"/>
      <c r="M95" s="319"/>
      <c r="N95" s="319"/>
      <c r="O95" s="319"/>
      <c r="P95" s="319"/>
      <c r="Q95" s="302"/>
    </row>
    <row r="96" spans="1:17" s="71" customFormat="1" ht="24.95" customHeight="1" x14ac:dyDescent="0.2">
      <c r="A96" s="599" t="s">
        <v>294</v>
      </c>
      <c r="B96" s="629" t="s">
        <v>992</v>
      </c>
      <c r="C96" s="601">
        <v>4</v>
      </c>
      <c r="D96" s="601">
        <v>1</v>
      </c>
      <c r="E96" s="601">
        <v>3</v>
      </c>
      <c r="F96" s="302">
        <f t="shared" si="15"/>
        <v>257.40000000000003</v>
      </c>
      <c r="G96" s="601">
        <v>70</v>
      </c>
      <c r="H96" s="320">
        <f t="shared" si="16"/>
        <v>840</v>
      </c>
      <c r="I96" s="318">
        <f t="shared" si="17"/>
        <v>257.40000000000003</v>
      </c>
      <c r="J96" s="526"/>
      <c r="K96" s="526"/>
      <c r="L96" s="319"/>
      <c r="M96" s="319"/>
      <c r="N96" s="319"/>
      <c r="O96" s="319"/>
      <c r="P96" s="319"/>
      <c r="Q96" s="302"/>
    </row>
    <row r="97" spans="1:17" s="71" customFormat="1" ht="24.95" customHeight="1" x14ac:dyDescent="0.2">
      <c r="A97" s="599" t="s">
        <v>295</v>
      </c>
      <c r="B97" s="629" t="s">
        <v>993</v>
      </c>
      <c r="C97" s="601">
        <v>4</v>
      </c>
      <c r="D97" s="601">
        <v>1.3</v>
      </c>
      <c r="E97" s="601">
        <v>3</v>
      </c>
      <c r="F97" s="302">
        <f t="shared" si="15"/>
        <v>257.40000000000003</v>
      </c>
      <c r="G97" s="601">
        <v>70</v>
      </c>
      <c r="H97" s="320">
        <f t="shared" si="16"/>
        <v>840</v>
      </c>
      <c r="I97" s="318">
        <f t="shared" si="17"/>
        <v>257.40000000000003</v>
      </c>
      <c r="J97" s="654"/>
      <c r="K97" s="654"/>
      <c r="L97" s="319"/>
      <c r="M97" s="319"/>
      <c r="N97" s="319"/>
      <c r="O97" s="319"/>
      <c r="P97" s="319"/>
      <c r="Q97" s="302"/>
    </row>
    <row r="98" spans="1:17" s="71" customFormat="1" ht="24.95" customHeight="1" x14ac:dyDescent="0.2">
      <c r="A98" s="599" t="s">
        <v>418</v>
      </c>
      <c r="B98" s="629" t="s">
        <v>994</v>
      </c>
      <c r="C98" s="601">
        <v>3</v>
      </c>
      <c r="D98" s="601">
        <v>1</v>
      </c>
      <c r="E98" s="601">
        <v>3</v>
      </c>
      <c r="F98" s="302">
        <f t="shared" si="15"/>
        <v>193.05</v>
      </c>
      <c r="G98" s="601">
        <v>70</v>
      </c>
      <c r="H98" s="320">
        <f t="shared" si="16"/>
        <v>630</v>
      </c>
      <c r="I98" s="318">
        <f t="shared" si="17"/>
        <v>193.05</v>
      </c>
      <c r="J98" s="604"/>
      <c r="K98" s="526"/>
      <c r="L98" s="319"/>
      <c r="M98" s="319"/>
      <c r="N98" s="319"/>
      <c r="O98" s="319"/>
      <c r="P98" s="319"/>
      <c r="Q98" s="302"/>
    </row>
    <row r="99" spans="1:17" s="71" customFormat="1" ht="24.95" customHeight="1" x14ac:dyDescent="0.2">
      <c r="A99" s="599" t="s">
        <v>419</v>
      </c>
      <c r="B99" s="629" t="s">
        <v>995</v>
      </c>
      <c r="C99" s="601">
        <v>2</v>
      </c>
      <c r="D99" s="601">
        <v>1.3</v>
      </c>
      <c r="E99" s="601">
        <v>2</v>
      </c>
      <c r="F99" s="302">
        <f t="shared" si="15"/>
        <v>66</v>
      </c>
      <c r="G99" s="601">
        <v>60</v>
      </c>
      <c r="H99" s="320">
        <f t="shared" si="16"/>
        <v>240</v>
      </c>
      <c r="I99" s="318">
        <f t="shared" si="17"/>
        <v>66</v>
      </c>
      <c r="J99" s="526"/>
      <c r="K99" s="526"/>
      <c r="L99" s="319"/>
      <c r="M99" s="319"/>
      <c r="N99" s="319"/>
      <c r="O99" s="319"/>
      <c r="P99" s="319"/>
      <c r="Q99" s="302"/>
    </row>
    <row r="100" spans="1:17" s="71" customFormat="1" ht="24.95" customHeight="1" x14ac:dyDescent="0.2">
      <c r="A100" s="599" t="s">
        <v>420</v>
      </c>
      <c r="B100" s="629" t="s">
        <v>996</v>
      </c>
      <c r="C100" s="601">
        <v>4</v>
      </c>
      <c r="D100" s="601">
        <v>1</v>
      </c>
      <c r="E100" s="601">
        <v>3</v>
      </c>
      <c r="F100" s="302">
        <f t="shared" si="15"/>
        <v>257.40000000000003</v>
      </c>
      <c r="G100" s="601">
        <v>70</v>
      </c>
      <c r="H100" s="320">
        <f t="shared" si="16"/>
        <v>840</v>
      </c>
      <c r="I100" s="318">
        <f t="shared" si="17"/>
        <v>257.40000000000003</v>
      </c>
      <c r="J100" s="526"/>
      <c r="K100" s="526"/>
      <c r="L100" s="319"/>
      <c r="M100" s="319"/>
      <c r="N100" s="319"/>
      <c r="O100" s="319"/>
      <c r="P100" s="319"/>
      <c r="Q100" s="302"/>
    </row>
    <row r="101" spans="1:17" s="71" customFormat="1" ht="24.95" customHeight="1" x14ac:dyDescent="0.2">
      <c r="A101" s="599" t="s">
        <v>421</v>
      </c>
      <c r="B101" s="629" t="s">
        <v>997</v>
      </c>
      <c r="C101" s="601">
        <v>4</v>
      </c>
      <c r="D101" s="601">
        <v>1.1200000000000001</v>
      </c>
      <c r="E101" s="601">
        <v>3</v>
      </c>
      <c r="F101" s="302">
        <f t="shared" si="15"/>
        <v>257.40000000000003</v>
      </c>
      <c r="G101" s="601">
        <v>70</v>
      </c>
      <c r="H101" s="320">
        <f t="shared" si="16"/>
        <v>840</v>
      </c>
      <c r="I101" s="318">
        <f t="shared" si="17"/>
        <v>257.40000000000003</v>
      </c>
      <c r="J101" s="526"/>
      <c r="K101" s="526"/>
      <c r="L101" s="319"/>
      <c r="M101" s="319"/>
      <c r="N101" s="319"/>
      <c r="O101" s="319"/>
      <c r="P101" s="319"/>
      <c r="Q101" s="302"/>
    </row>
    <row r="102" spans="1:17" s="71" customFormat="1" ht="24.95" customHeight="1" x14ac:dyDescent="0.2">
      <c r="A102" s="630" t="s">
        <v>150</v>
      </c>
      <c r="B102" s="631" t="s">
        <v>153</v>
      </c>
      <c r="C102" s="382"/>
      <c r="D102" s="382"/>
      <c r="E102" s="382"/>
      <c r="F102" s="322"/>
      <c r="G102" s="382"/>
      <c r="H102" s="320">
        <f t="shared" si="16"/>
        <v>0</v>
      </c>
      <c r="I102" s="596"/>
      <c r="J102" s="654"/>
      <c r="K102" s="654"/>
      <c r="L102" s="319"/>
      <c r="M102" s="319"/>
      <c r="N102" s="319"/>
      <c r="O102" s="319"/>
      <c r="P102" s="319"/>
      <c r="Q102" s="302"/>
    </row>
    <row r="103" spans="1:17" s="71" customFormat="1" ht="24.95" customHeight="1" x14ac:dyDescent="0.2">
      <c r="A103" s="655" t="s">
        <v>235</v>
      </c>
      <c r="B103" s="632" t="s">
        <v>156</v>
      </c>
      <c r="C103" s="382"/>
      <c r="D103" s="382"/>
      <c r="E103" s="382"/>
      <c r="F103" s="302">
        <f t="shared" si="15"/>
        <v>0</v>
      </c>
      <c r="G103" s="382">
        <v>0</v>
      </c>
      <c r="H103" s="320">
        <f t="shared" si="16"/>
        <v>0</v>
      </c>
      <c r="I103" s="318">
        <f t="shared" si="17"/>
        <v>0</v>
      </c>
      <c r="J103" s="654"/>
      <c r="K103" s="654"/>
      <c r="L103" s="319"/>
      <c r="M103" s="319"/>
      <c r="N103" s="319"/>
      <c r="O103" s="319"/>
      <c r="P103" s="319"/>
      <c r="Q103" s="302"/>
    </row>
    <row r="104" spans="1:17" s="71" customFormat="1" ht="24.95" customHeight="1" x14ac:dyDescent="0.2">
      <c r="A104" s="655" t="s">
        <v>236</v>
      </c>
      <c r="B104" s="632" t="s">
        <v>155</v>
      </c>
      <c r="C104" s="382"/>
      <c r="D104" s="382"/>
      <c r="E104" s="382"/>
      <c r="F104" s="322">
        <v>0</v>
      </c>
      <c r="G104" s="382">
        <v>0</v>
      </c>
      <c r="H104" s="320">
        <f t="shared" si="16"/>
        <v>0</v>
      </c>
      <c r="I104" s="318">
        <f t="shared" si="17"/>
        <v>0</v>
      </c>
      <c r="J104" s="654"/>
      <c r="K104" s="654"/>
      <c r="L104" s="319"/>
      <c r="M104" s="319"/>
      <c r="N104" s="319"/>
      <c r="O104" s="319"/>
      <c r="P104" s="319"/>
      <c r="Q104" s="302"/>
    </row>
    <row r="105" spans="1:17" s="71" customFormat="1" ht="24.95" customHeight="1" x14ac:dyDescent="0.2">
      <c r="A105" s="655" t="s">
        <v>237</v>
      </c>
      <c r="B105" s="632" t="s">
        <v>157</v>
      </c>
      <c r="C105" s="382"/>
      <c r="D105" s="382"/>
      <c r="E105" s="382"/>
      <c r="F105" s="656">
        <f>I105</f>
        <v>0</v>
      </c>
      <c r="G105" s="382">
        <v>0</v>
      </c>
      <c r="H105" s="320">
        <f t="shared" si="16"/>
        <v>0</v>
      </c>
      <c r="I105" s="318">
        <f t="shared" si="17"/>
        <v>0</v>
      </c>
      <c r="J105" s="654"/>
      <c r="K105" s="654"/>
      <c r="L105" s="319"/>
      <c r="M105" s="319"/>
      <c r="N105" s="319"/>
      <c r="O105" s="319"/>
      <c r="P105" s="319"/>
      <c r="Q105" s="302"/>
    </row>
    <row r="106" spans="1:17" s="71" customFormat="1" ht="24.95" customHeight="1" x14ac:dyDescent="0.2">
      <c r="A106" s="655" t="s">
        <v>238</v>
      </c>
      <c r="B106" s="632" t="s">
        <v>158</v>
      </c>
      <c r="C106" s="906">
        <v>4</v>
      </c>
      <c r="D106" s="906">
        <v>1.4</v>
      </c>
      <c r="E106" s="906">
        <v>6</v>
      </c>
      <c r="F106" s="656">
        <f>I106+J106+K106</f>
        <v>1200</v>
      </c>
      <c r="G106" s="382">
        <v>25</v>
      </c>
      <c r="H106" s="320">
        <f t="shared" si="16"/>
        <v>600</v>
      </c>
      <c r="I106" s="596">
        <f>H106*2</f>
        <v>1200</v>
      </c>
      <c r="J106" s="654"/>
      <c r="K106" s="654"/>
      <c r="L106" s="319"/>
      <c r="M106" s="319"/>
      <c r="N106" s="319"/>
      <c r="O106" s="319"/>
      <c r="P106" s="319"/>
      <c r="Q106" s="302"/>
    </row>
    <row r="107" spans="1:17" s="71" customFormat="1" ht="24.95" customHeight="1" x14ac:dyDescent="0.2">
      <c r="A107" s="655" t="s">
        <v>239</v>
      </c>
      <c r="B107" s="632" t="s">
        <v>159</v>
      </c>
      <c r="C107" s="382">
        <v>0</v>
      </c>
      <c r="D107" s="382"/>
      <c r="E107" s="382">
        <v>0</v>
      </c>
      <c r="F107" s="656">
        <f>I107+J107+K107</f>
        <v>0</v>
      </c>
      <c r="G107" s="382">
        <v>0</v>
      </c>
      <c r="H107" s="320">
        <f t="shared" si="16"/>
        <v>0</v>
      </c>
      <c r="I107" s="318">
        <f t="shared" si="17"/>
        <v>0</v>
      </c>
      <c r="J107" s="654"/>
      <c r="K107" s="654"/>
      <c r="L107" s="319"/>
      <c r="M107" s="319"/>
      <c r="N107" s="319"/>
      <c r="O107" s="319"/>
      <c r="P107" s="319"/>
      <c r="Q107" s="302"/>
    </row>
    <row r="108" spans="1:17" s="71" customFormat="1" ht="24.95" customHeight="1" x14ac:dyDescent="0.2">
      <c r="A108" s="657"/>
      <c r="B108" s="658" t="s">
        <v>403</v>
      </c>
      <c r="C108" s="622">
        <f t="shared" ref="C108:K108" si="18">SUM(C83:C107)</f>
        <v>69</v>
      </c>
      <c r="D108" s="622">
        <f t="shared" si="18"/>
        <v>22.22</v>
      </c>
      <c r="E108" s="622">
        <f t="shared" si="18"/>
        <v>66</v>
      </c>
      <c r="F108" s="622">
        <f t="shared" si="18"/>
        <v>5069.25</v>
      </c>
      <c r="G108" s="622">
        <f t="shared" si="18"/>
        <v>1145</v>
      </c>
      <c r="H108" s="622">
        <f t="shared" si="18"/>
        <v>12600</v>
      </c>
      <c r="I108" s="622">
        <f t="shared" si="18"/>
        <v>5069.25</v>
      </c>
      <c r="J108" s="622">
        <f t="shared" si="18"/>
        <v>0</v>
      </c>
      <c r="K108" s="622">
        <f t="shared" si="18"/>
        <v>0</v>
      </c>
      <c r="L108" s="319"/>
      <c r="M108" s="319"/>
      <c r="N108" s="319"/>
      <c r="O108" s="319"/>
      <c r="P108" s="319"/>
      <c r="Q108" s="302"/>
    </row>
    <row r="109" spans="1:17" s="71" customFormat="1" ht="24.95" customHeight="1" x14ac:dyDescent="0.2">
      <c r="A109" s="659">
        <v>2</v>
      </c>
      <c r="B109" s="659" t="s">
        <v>525</v>
      </c>
      <c r="C109" s="382"/>
      <c r="D109" s="382"/>
      <c r="E109" s="382"/>
      <c r="F109" s="318"/>
      <c r="G109" s="382"/>
      <c r="H109" s="320"/>
      <c r="I109" s="320"/>
      <c r="J109" s="654"/>
      <c r="K109" s="654"/>
      <c r="L109" s="319"/>
      <c r="M109" s="319"/>
      <c r="N109" s="319"/>
      <c r="O109" s="319"/>
      <c r="P109" s="319"/>
      <c r="Q109" s="1056"/>
    </row>
    <row r="110" spans="1:17" s="71" customFormat="1" ht="24.95" customHeight="1" x14ac:dyDescent="0.2">
      <c r="A110" s="545" t="s">
        <v>149</v>
      </c>
      <c r="B110" s="660" t="s">
        <v>167</v>
      </c>
      <c r="C110" s="382"/>
      <c r="D110" s="382"/>
      <c r="E110" s="382"/>
      <c r="F110" s="318"/>
      <c r="G110" s="382"/>
      <c r="H110" s="320"/>
      <c r="I110" s="320"/>
      <c r="J110" s="654"/>
      <c r="K110" s="654"/>
      <c r="L110" s="319"/>
      <c r="M110" s="319"/>
      <c r="N110" s="319"/>
      <c r="O110" s="319"/>
      <c r="P110" s="319"/>
      <c r="Q110" s="1056"/>
    </row>
    <row r="111" spans="1:17" s="71" customFormat="1" ht="24.95" customHeight="1" x14ac:dyDescent="0.2">
      <c r="A111" s="632" t="s">
        <v>229</v>
      </c>
      <c r="B111" s="381" t="s">
        <v>998</v>
      </c>
      <c r="C111" s="382">
        <v>3</v>
      </c>
      <c r="D111" s="382">
        <v>1</v>
      </c>
      <c r="E111" s="382">
        <v>2</v>
      </c>
      <c r="F111" s="302">
        <f>(I111+J111+K111)</f>
        <v>69.3</v>
      </c>
      <c r="G111" s="601">
        <v>13</v>
      </c>
      <c r="H111" s="320">
        <f t="shared" si="16"/>
        <v>78</v>
      </c>
      <c r="I111" s="318">
        <f>C111*E111*16.5*0.7</f>
        <v>69.3</v>
      </c>
      <c r="J111" s="654"/>
      <c r="K111" s="654"/>
      <c r="L111" s="298"/>
      <c r="M111" s="319"/>
      <c r="N111" s="319"/>
      <c r="O111" s="319"/>
      <c r="P111" s="319"/>
      <c r="Q111" s="1056"/>
    </row>
    <row r="112" spans="1:17" s="71" customFormat="1" ht="24.95" customHeight="1" x14ac:dyDescent="0.2">
      <c r="A112" s="632" t="s">
        <v>230</v>
      </c>
      <c r="B112" s="381" t="s">
        <v>999</v>
      </c>
      <c r="C112" s="382">
        <v>3</v>
      </c>
      <c r="D112" s="382">
        <v>1</v>
      </c>
      <c r="E112" s="382">
        <v>2</v>
      </c>
      <c r="F112" s="302">
        <f t="shared" ref="F112:F117" si="19">(I112+J112+K112)</f>
        <v>69.3</v>
      </c>
      <c r="G112" s="382">
        <v>13</v>
      </c>
      <c r="H112" s="320">
        <f t="shared" si="16"/>
        <v>78</v>
      </c>
      <c r="I112" s="318">
        <f t="shared" ref="I112:I115" si="20">C112*E112*16.5*0.7</f>
        <v>69.3</v>
      </c>
      <c r="J112" s="654"/>
      <c r="K112" s="654"/>
      <c r="L112" s="298"/>
      <c r="M112" s="319"/>
      <c r="N112" s="319"/>
      <c r="O112" s="319"/>
      <c r="P112" s="319"/>
      <c r="Q112" s="1056"/>
    </row>
    <row r="113" spans="1:17" s="71" customFormat="1" ht="24.95" customHeight="1" x14ac:dyDescent="0.2">
      <c r="A113" s="632" t="s">
        <v>231</v>
      </c>
      <c r="B113" s="381" t="s">
        <v>1000</v>
      </c>
      <c r="C113" s="382">
        <v>3</v>
      </c>
      <c r="D113" s="382">
        <v>1</v>
      </c>
      <c r="E113" s="382">
        <v>2</v>
      </c>
      <c r="F113" s="302">
        <f t="shared" si="19"/>
        <v>69.3</v>
      </c>
      <c r="G113" s="382">
        <v>13</v>
      </c>
      <c r="H113" s="320">
        <f t="shared" si="16"/>
        <v>78</v>
      </c>
      <c r="I113" s="318">
        <f t="shared" si="20"/>
        <v>69.3</v>
      </c>
      <c r="J113" s="654"/>
      <c r="K113" s="654"/>
      <c r="L113" s="298"/>
      <c r="M113" s="319"/>
      <c r="N113" s="319"/>
      <c r="O113" s="319"/>
      <c r="P113" s="319"/>
      <c r="Q113" s="1056"/>
    </row>
    <row r="114" spans="1:17" s="71" customFormat="1" ht="24.95" customHeight="1" x14ac:dyDescent="0.2">
      <c r="A114" s="632" t="s">
        <v>232</v>
      </c>
      <c r="B114" s="381" t="s">
        <v>1001</v>
      </c>
      <c r="C114" s="382">
        <v>3</v>
      </c>
      <c r="D114" s="382">
        <v>1</v>
      </c>
      <c r="E114" s="382">
        <v>2</v>
      </c>
      <c r="F114" s="302">
        <f t="shared" si="19"/>
        <v>69.3</v>
      </c>
      <c r="G114" s="382">
        <v>13</v>
      </c>
      <c r="H114" s="320">
        <f t="shared" si="16"/>
        <v>78</v>
      </c>
      <c r="I114" s="318">
        <f t="shared" si="20"/>
        <v>69.3</v>
      </c>
      <c r="J114" s="654"/>
      <c r="K114" s="654"/>
      <c r="L114" s="298"/>
      <c r="M114" s="319"/>
      <c r="N114" s="319"/>
      <c r="O114" s="319"/>
      <c r="P114" s="319"/>
      <c r="Q114" s="1056"/>
    </row>
    <row r="115" spans="1:17" s="71" customFormat="1" ht="24.95" customHeight="1" x14ac:dyDescent="0.2">
      <c r="A115" s="632" t="s">
        <v>233</v>
      </c>
      <c r="B115" s="632" t="s">
        <v>1002</v>
      </c>
      <c r="C115" s="382">
        <v>3</v>
      </c>
      <c r="D115" s="382">
        <v>1</v>
      </c>
      <c r="E115" s="382">
        <v>2</v>
      </c>
      <c r="F115" s="302">
        <f t="shared" si="19"/>
        <v>69.3</v>
      </c>
      <c r="G115" s="382">
        <v>13</v>
      </c>
      <c r="H115" s="320">
        <f t="shared" si="16"/>
        <v>78</v>
      </c>
      <c r="I115" s="318">
        <f t="shared" si="20"/>
        <v>69.3</v>
      </c>
      <c r="J115" s="654"/>
      <c r="K115" s="654"/>
      <c r="L115" s="298"/>
      <c r="M115" s="319"/>
      <c r="N115" s="319"/>
      <c r="O115" s="319"/>
      <c r="P115" s="319"/>
      <c r="Q115" s="1056"/>
    </row>
    <row r="116" spans="1:17" s="71" customFormat="1" ht="24.95" customHeight="1" x14ac:dyDescent="0.2">
      <c r="A116" s="632" t="s">
        <v>234</v>
      </c>
      <c r="B116" s="661" t="s">
        <v>1003</v>
      </c>
      <c r="C116" s="382">
        <v>3</v>
      </c>
      <c r="D116" s="382">
        <v>1</v>
      </c>
      <c r="E116" s="382">
        <v>2</v>
      </c>
      <c r="F116" s="302">
        <f t="shared" si="19"/>
        <v>69.3</v>
      </c>
      <c r="G116" s="382">
        <v>13</v>
      </c>
      <c r="H116" s="320">
        <f t="shared" si="16"/>
        <v>78</v>
      </c>
      <c r="I116" s="596">
        <v>0</v>
      </c>
      <c r="J116" s="654"/>
      <c r="K116" s="318">
        <f>C116*E116*16.5*0.7</f>
        <v>69.3</v>
      </c>
      <c r="L116" s="319"/>
      <c r="M116" s="319"/>
      <c r="N116" s="319"/>
      <c r="O116" s="319"/>
      <c r="P116" s="319"/>
      <c r="Q116" s="302"/>
    </row>
    <row r="117" spans="1:17" s="71" customFormat="1" ht="24.95" customHeight="1" x14ac:dyDescent="0.2">
      <c r="A117" s="655" t="s">
        <v>285</v>
      </c>
      <c r="B117" s="661" t="s">
        <v>1004</v>
      </c>
      <c r="C117" s="382">
        <v>3</v>
      </c>
      <c r="D117" s="382">
        <v>1</v>
      </c>
      <c r="E117" s="382">
        <v>2</v>
      </c>
      <c r="F117" s="302">
        <f t="shared" si="19"/>
        <v>69.3</v>
      </c>
      <c r="G117" s="382">
        <v>13</v>
      </c>
      <c r="H117" s="320">
        <f t="shared" si="16"/>
        <v>78</v>
      </c>
      <c r="I117" s="596">
        <v>0</v>
      </c>
      <c r="J117" s="654"/>
      <c r="K117" s="318">
        <f>C117*E117*16.5*0.7</f>
        <v>69.3</v>
      </c>
      <c r="L117" s="319"/>
      <c r="M117" s="319"/>
      <c r="N117" s="319"/>
      <c r="O117" s="319"/>
      <c r="P117" s="319"/>
      <c r="Q117" s="302"/>
    </row>
    <row r="118" spans="1:17" s="71" customFormat="1" ht="24.95" customHeight="1" x14ac:dyDescent="0.2">
      <c r="A118" s="630" t="s">
        <v>150</v>
      </c>
      <c r="B118" s="631" t="s">
        <v>493</v>
      </c>
      <c r="C118" s="382"/>
      <c r="D118" s="382"/>
      <c r="E118" s="382"/>
      <c r="F118" s="302"/>
      <c r="G118" s="382"/>
      <c r="H118" s="320"/>
      <c r="I118" s="318"/>
      <c r="J118" s="519"/>
      <c r="K118" s="654"/>
      <c r="L118" s="319"/>
      <c r="M118" s="319"/>
      <c r="N118" s="319"/>
      <c r="O118" s="319"/>
      <c r="P118" s="319"/>
      <c r="Q118" s="302"/>
    </row>
    <row r="119" spans="1:17" s="71" customFormat="1" ht="24.95" customHeight="1" x14ac:dyDescent="0.2">
      <c r="A119" s="630"/>
      <c r="B119" s="632" t="s">
        <v>1005</v>
      </c>
      <c r="C119" s="382">
        <v>15</v>
      </c>
      <c r="D119" s="382">
        <v>1</v>
      </c>
      <c r="E119" s="382">
        <v>1</v>
      </c>
      <c r="F119" s="302">
        <f t="shared" ref="F119:F133" si="21">I119+J119+K119</f>
        <v>210</v>
      </c>
      <c r="G119" s="382">
        <v>11</v>
      </c>
      <c r="H119" s="320">
        <f>C119*E119*G119</f>
        <v>165</v>
      </c>
      <c r="I119" s="318">
        <f>6*35</f>
        <v>210</v>
      </c>
      <c r="J119" s="519"/>
      <c r="K119" s="654"/>
      <c r="L119" s="319"/>
      <c r="M119" s="319"/>
      <c r="N119" s="319"/>
      <c r="O119" s="319"/>
      <c r="P119" s="319"/>
      <c r="Q119" s="302"/>
    </row>
    <row r="120" spans="1:17" s="71" customFormat="1" ht="24.95" customHeight="1" x14ac:dyDescent="0.2">
      <c r="A120" s="620"/>
      <c r="B120" s="621" t="s">
        <v>403</v>
      </c>
      <c r="C120" s="622">
        <f>SUM(C111:C119)</f>
        <v>36</v>
      </c>
      <c r="D120" s="622">
        <f t="shared" ref="D120:K120" si="22">SUM(D111:D119)</f>
        <v>8</v>
      </c>
      <c r="E120" s="622">
        <f t="shared" si="22"/>
        <v>15</v>
      </c>
      <c r="F120" s="622">
        <f t="shared" si="22"/>
        <v>695.1</v>
      </c>
      <c r="G120" s="622">
        <f t="shared" si="22"/>
        <v>102</v>
      </c>
      <c r="H120" s="622">
        <f t="shared" si="22"/>
        <v>711</v>
      </c>
      <c r="I120" s="622">
        <f t="shared" si="22"/>
        <v>556.5</v>
      </c>
      <c r="J120" s="622">
        <f t="shared" si="22"/>
        <v>0</v>
      </c>
      <c r="K120" s="622">
        <f t="shared" si="22"/>
        <v>138.6</v>
      </c>
      <c r="L120" s="319"/>
      <c r="M120" s="319"/>
      <c r="N120" s="319"/>
      <c r="O120" s="319"/>
      <c r="P120" s="319"/>
      <c r="Q120" s="302"/>
    </row>
    <row r="121" spans="1:17" s="71" customFormat="1" ht="24.95" customHeight="1" x14ac:dyDescent="0.2">
      <c r="A121" s="659">
        <v>1</v>
      </c>
      <c r="B121" s="660" t="s">
        <v>228</v>
      </c>
      <c r="C121" s="382"/>
      <c r="D121" s="382"/>
      <c r="E121" s="382"/>
      <c r="F121" s="302"/>
      <c r="G121" s="382"/>
      <c r="H121" s="320"/>
      <c r="I121" s="318"/>
      <c r="J121" s="526"/>
      <c r="K121" s="526"/>
      <c r="L121" s="319"/>
      <c r="M121" s="319"/>
      <c r="N121" s="319"/>
      <c r="O121" s="319"/>
      <c r="P121" s="319"/>
      <c r="Q121" s="302"/>
    </row>
    <row r="122" spans="1:17" s="71" customFormat="1" ht="24.95" customHeight="1" x14ac:dyDescent="0.2">
      <c r="A122" s="659" t="s">
        <v>404</v>
      </c>
      <c r="B122" s="660" t="s">
        <v>165</v>
      </c>
      <c r="C122" s="382"/>
      <c r="D122" s="382"/>
      <c r="E122" s="382"/>
      <c r="F122" s="302"/>
      <c r="G122" s="382"/>
      <c r="H122" s="320"/>
      <c r="I122" s="318"/>
      <c r="J122" s="526"/>
      <c r="K122" s="526"/>
      <c r="L122" s="319"/>
      <c r="M122" s="319"/>
      <c r="N122" s="319"/>
      <c r="O122" s="319"/>
      <c r="P122" s="319"/>
      <c r="Q122" s="302"/>
    </row>
    <row r="123" spans="1:17" s="71" customFormat="1" ht="24.95" customHeight="1" x14ac:dyDescent="0.2">
      <c r="A123" s="655" t="s">
        <v>231</v>
      </c>
      <c r="B123" s="634" t="s">
        <v>1006</v>
      </c>
      <c r="C123" s="382">
        <v>3</v>
      </c>
      <c r="D123" s="382">
        <v>1</v>
      </c>
      <c r="E123" s="382">
        <v>7</v>
      </c>
      <c r="F123" s="302">
        <f t="shared" si="21"/>
        <v>450.45</v>
      </c>
      <c r="G123" s="382">
        <v>70</v>
      </c>
      <c r="H123" s="320">
        <f>C123*E123*G123</f>
        <v>1470</v>
      </c>
      <c r="I123" s="318">
        <f>IF(G123&lt;70, C123*E123*16.5*1, C123*E123*16.5*1.3)</f>
        <v>450.45</v>
      </c>
      <c r="J123" s="526"/>
      <c r="K123" s="526"/>
      <c r="L123" s="319"/>
      <c r="M123" s="319"/>
      <c r="N123" s="319"/>
      <c r="O123" s="319"/>
      <c r="P123" s="319"/>
      <c r="Q123" s="302"/>
    </row>
    <row r="124" spans="1:17" s="71" customFormat="1" ht="24.95" customHeight="1" x14ac:dyDescent="0.2">
      <c r="A124" s="655" t="s">
        <v>232</v>
      </c>
      <c r="B124" s="634" t="s">
        <v>1007</v>
      </c>
      <c r="C124" s="382">
        <v>3</v>
      </c>
      <c r="D124" s="382">
        <v>1</v>
      </c>
      <c r="E124" s="382">
        <v>7</v>
      </c>
      <c r="F124" s="302">
        <f t="shared" si="21"/>
        <v>450.45</v>
      </c>
      <c r="G124" s="382">
        <v>70</v>
      </c>
      <c r="H124" s="320">
        <f t="shared" ref="H124:H133" si="23">C124*E124*G124</f>
        <v>1470</v>
      </c>
      <c r="I124" s="318">
        <f t="shared" ref="I124:I133" si="24">IF(G124&lt;70, C124*E124*16.5*1, C124*E124*16.5*1.3)</f>
        <v>450.45</v>
      </c>
      <c r="J124" s="526"/>
      <c r="K124" s="526"/>
      <c r="L124" s="319"/>
      <c r="M124" s="319"/>
      <c r="N124" s="319"/>
      <c r="O124" s="319"/>
      <c r="P124" s="319"/>
      <c r="Q124" s="302"/>
    </row>
    <row r="125" spans="1:17" s="71" customFormat="1" ht="24.95" customHeight="1" x14ac:dyDescent="0.2">
      <c r="A125" s="655" t="s">
        <v>233</v>
      </c>
      <c r="B125" s="634" t="s">
        <v>1008</v>
      </c>
      <c r="C125" s="382">
        <v>2</v>
      </c>
      <c r="D125" s="382">
        <v>1</v>
      </c>
      <c r="E125" s="382">
        <v>10</v>
      </c>
      <c r="F125" s="302">
        <f t="shared" si="21"/>
        <v>429</v>
      </c>
      <c r="G125" s="382">
        <v>70</v>
      </c>
      <c r="H125" s="320">
        <f t="shared" si="23"/>
        <v>1400</v>
      </c>
      <c r="I125" s="318">
        <f t="shared" si="24"/>
        <v>429</v>
      </c>
      <c r="J125" s="526"/>
      <c r="K125" s="526"/>
      <c r="L125" s="319"/>
      <c r="M125" s="319"/>
      <c r="N125" s="319"/>
      <c r="O125" s="319"/>
      <c r="P125" s="319"/>
      <c r="Q125" s="302"/>
    </row>
    <row r="126" spans="1:17" s="71" customFormat="1" ht="24.95" customHeight="1" x14ac:dyDescent="0.2">
      <c r="A126" s="655" t="s">
        <v>234</v>
      </c>
      <c r="B126" s="634" t="s">
        <v>1009</v>
      </c>
      <c r="C126" s="382">
        <v>3</v>
      </c>
      <c r="D126" s="382">
        <v>1</v>
      </c>
      <c r="E126" s="382">
        <v>16</v>
      </c>
      <c r="F126" s="302">
        <f t="shared" si="21"/>
        <v>1029.6000000000001</v>
      </c>
      <c r="G126" s="382">
        <v>70</v>
      </c>
      <c r="H126" s="320">
        <f t="shared" si="23"/>
        <v>3360</v>
      </c>
      <c r="I126" s="318">
        <f t="shared" si="24"/>
        <v>1029.6000000000001</v>
      </c>
      <c r="J126" s="526"/>
      <c r="K126" s="526"/>
      <c r="L126" s="319"/>
      <c r="M126" s="319"/>
      <c r="N126" s="319"/>
      <c r="O126" s="319"/>
      <c r="P126" s="319"/>
      <c r="Q126" s="302"/>
    </row>
    <row r="127" spans="1:17" s="71" customFormat="1" ht="24.95" customHeight="1" x14ac:dyDescent="0.2">
      <c r="A127" s="655" t="s">
        <v>285</v>
      </c>
      <c r="B127" s="634" t="s">
        <v>1010</v>
      </c>
      <c r="C127" s="382">
        <v>2</v>
      </c>
      <c r="D127" s="382">
        <v>1</v>
      </c>
      <c r="E127" s="382">
        <v>10</v>
      </c>
      <c r="F127" s="302">
        <f t="shared" si="21"/>
        <v>429</v>
      </c>
      <c r="G127" s="382">
        <v>80</v>
      </c>
      <c r="H127" s="320">
        <f t="shared" si="23"/>
        <v>1600</v>
      </c>
      <c r="I127" s="318">
        <f t="shared" si="24"/>
        <v>429</v>
      </c>
      <c r="J127" s="526"/>
      <c r="K127" s="526"/>
      <c r="L127" s="319"/>
      <c r="M127" s="319"/>
      <c r="N127" s="319"/>
      <c r="O127" s="319"/>
      <c r="P127" s="319"/>
      <c r="Q127" s="302"/>
    </row>
    <row r="128" spans="1:17" s="71" customFormat="1" ht="24.95" customHeight="1" x14ac:dyDescent="0.2">
      <c r="A128" s="655" t="s">
        <v>287</v>
      </c>
      <c r="B128" s="661" t="s">
        <v>688</v>
      </c>
      <c r="C128" s="382">
        <v>3</v>
      </c>
      <c r="D128" s="382">
        <v>1</v>
      </c>
      <c r="E128" s="382">
        <v>10</v>
      </c>
      <c r="F128" s="302">
        <f t="shared" si="21"/>
        <v>643.5</v>
      </c>
      <c r="G128" s="382">
        <v>70</v>
      </c>
      <c r="H128" s="320">
        <f t="shared" si="23"/>
        <v>2100</v>
      </c>
      <c r="I128" s="318">
        <f t="shared" si="24"/>
        <v>643.5</v>
      </c>
      <c r="J128" s="526"/>
      <c r="K128" s="526"/>
      <c r="L128" s="319"/>
      <c r="M128" s="319"/>
      <c r="N128" s="319"/>
      <c r="O128" s="319"/>
      <c r="P128" s="319"/>
      <c r="Q128" s="302"/>
    </row>
    <row r="129" spans="1:17" s="71" customFormat="1" ht="24.95" customHeight="1" x14ac:dyDescent="0.2">
      <c r="A129" s="655" t="s">
        <v>289</v>
      </c>
      <c r="B129" s="632" t="s">
        <v>1011</v>
      </c>
      <c r="C129" s="382">
        <v>3</v>
      </c>
      <c r="D129" s="382">
        <v>1</v>
      </c>
      <c r="E129" s="382">
        <v>10</v>
      </c>
      <c r="F129" s="302">
        <f t="shared" si="21"/>
        <v>643.5</v>
      </c>
      <c r="G129" s="382">
        <v>70</v>
      </c>
      <c r="H129" s="320">
        <f t="shared" si="23"/>
        <v>2100</v>
      </c>
      <c r="I129" s="318">
        <f t="shared" si="24"/>
        <v>643.5</v>
      </c>
      <c r="J129" s="526"/>
      <c r="K129" s="526"/>
      <c r="L129" s="319"/>
      <c r="M129" s="319"/>
      <c r="N129" s="319"/>
      <c r="O129" s="319"/>
      <c r="P129" s="319"/>
      <c r="Q129" s="302"/>
    </row>
    <row r="130" spans="1:17" s="71" customFormat="1" ht="24.95" customHeight="1" x14ac:dyDescent="0.2">
      <c r="A130" s="655" t="s">
        <v>292</v>
      </c>
      <c r="B130" s="632" t="s">
        <v>1012</v>
      </c>
      <c r="C130" s="382">
        <v>3</v>
      </c>
      <c r="D130" s="382">
        <v>1</v>
      </c>
      <c r="E130" s="382">
        <v>10</v>
      </c>
      <c r="F130" s="302">
        <f t="shared" si="21"/>
        <v>643.5</v>
      </c>
      <c r="G130" s="382">
        <v>70</v>
      </c>
      <c r="H130" s="320">
        <f t="shared" si="23"/>
        <v>2100</v>
      </c>
      <c r="I130" s="318">
        <f t="shared" si="24"/>
        <v>643.5</v>
      </c>
      <c r="J130" s="526"/>
      <c r="K130" s="526"/>
      <c r="L130" s="319"/>
      <c r="M130" s="319"/>
      <c r="N130" s="319"/>
      <c r="O130" s="319"/>
      <c r="P130" s="319"/>
      <c r="Q130" s="302"/>
    </row>
    <row r="131" spans="1:17" s="71" customFormat="1" ht="24.95" customHeight="1" x14ac:dyDescent="0.2">
      <c r="A131" s="655" t="s">
        <v>293</v>
      </c>
      <c r="B131" s="632" t="s">
        <v>1013</v>
      </c>
      <c r="C131" s="382">
        <v>4</v>
      </c>
      <c r="D131" s="382">
        <v>1</v>
      </c>
      <c r="E131" s="382">
        <v>10</v>
      </c>
      <c r="F131" s="302">
        <f t="shared" si="21"/>
        <v>858</v>
      </c>
      <c r="G131" s="382">
        <v>70</v>
      </c>
      <c r="H131" s="320">
        <f t="shared" si="23"/>
        <v>2800</v>
      </c>
      <c r="I131" s="318">
        <f t="shared" si="24"/>
        <v>858</v>
      </c>
      <c r="J131" s="526"/>
      <c r="K131" s="526"/>
      <c r="L131" s="319"/>
      <c r="M131" s="319"/>
      <c r="N131" s="319"/>
      <c r="O131" s="319"/>
      <c r="P131" s="319"/>
      <c r="Q131" s="302"/>
    </row>
    <row r="132" spans="1:17" s="71" customFormat="1" ht="24.95" customHeight="1" x14ac:dyDescent="0.2">
      <c r="A132" s="655" t="s">
        <v>294</v>
      </c>
      <c r="B132" s="632" t="s">
        <v>1014</v>
      </c>
      <c r="C132" s="382">
        <v>4</v>
      </c>
      <c r="D132" s="382">
        <v>1</v>
      </c>
      <c r="E132" s="382">
        <v>8</v>
      </c>
      <c r="F132" s="302">
        <f t="shared" si="21"/>
        <v>686.4</v>
      </c>
      <c r="G132" s="382">
        <v>70</v>
      </c>
      <c r="H132" s="320">
        <f t="shared" si="23"/>
        <v>2240</v>
      </c>
      <c r="I132" s="318">
        <f t="shared" si="24"/>
        <v>686.4</v>
      </c>
      <c r="J132" s="526"/>
      <c r="K132" s="526"/>
      <c r="L132" s="319"/>
      <c r="M132" s="319"/>
      <c r="N132" s="319"/>
      <c r="O132" s="319"/>
      <c r="P132" s="319"/>
      <c r="Q132" s="302"/>
    </row>
    <row r="133" spans="1:17" s="71" customFormat="1" ht="24.95" customHeight="1" x14ac:dyDescent="0.2">
      <c r="A133" s="655" t="s">
        <v>295</v>
      </c>
      <c r="B133" s="632" t="s">
        <v>1015</v>
      </c>
      <c r="C133" s="382">
        <v>4</v>
      </c>
      <c r="D133" s="382">
        <v>1</v>
      </c>
      <c r="E133" s="382">
        <v>8</v>
      </c>
      <c r="F133" s="302">
        <f t="shared" si="21"/>
        <v>686.4</v>
      </c>
      <c r="G133" s="382">
        <v>70</v>
      </c>
      <c r="H133" s="320">
        <f t="shared" si="23"/>
        <v>2240</v>
      </c>
      <c r="I133" s="318">
        <f t="shared" si="24"/>
        <v>686.4</v>
      </c>
      <c r="J133" s="526"/>
      <c r="K133" s="526"/>
      <c r="L133" s="319"/>
      <c r="M133" s="319"/>
      <c r="N133" s="319"/>
      <c r="O133" s="319"/>
      <c r="P133" s="319"/>
      <c r="Q133" s="302"/>
    </row>
    <row r="134" spans="1:17" s="71" customFormat="1" ht="24.95" customHeight="1" x14ac:dyDescent="0.2">
      <c r="A134" s="566"/>
      <c r="B134" s="567" t="s">
        <v>415</v>
      </c>
      <c r="C134" s="568">
        <f>SUM(C123:C133)</f>
        <v>34</v>
      </c>
      <c r="D134" s="568">
        <f t="shared" ref="D134:K134" si="25">SUM(D123:D133)</f>
        <v>11</v>
      </c>
      <c r="E134" s="568">
        <f t="shared" si="25"/>
        <v>106</v>
      </c>
      <c r="F134" s="568">
        <f t="shared" si="25"/>
        <v>6949.7999999999993</v>
      </c>
      <c r="G134" s="568">
        <f t="shared" si="25"/>
        <v>780</v>
      </c>
      <c r="H134" s="568">
        <f t="shared" si="25"/>
        <v>22880</v>
      </c>
      <c r="I134" s="568">
        <f t="shared" si="25"/>
        <v>6949.7999999999993</v>
      </c>
      <c r="J134" s="568">
        <f t="shared" si="25"/>
        <v>0</v>
      </c>
      <c r="K134" s="568">
        <f t="shared" si="25"/>
        <v>0</v>
      </c>
      <c r="L134" s="319"/>
      <c r="M134" s="319"/>
      <c r="N134" s="319"/>
      <c r="O134" s="319"/>
      <c r="P134" s="319"/>
      <c r="Q134" s="302"/>
    </row>
    <row r="135" spans="1:17" s="71" customFormat="1" ht="24.95" customHeight="1" x14ac:dyDescent="0.2">
      <c r="A135" s="324"/>
      <c r="B135" s="331" t="s">
        <v>416</v>
      </c>
      <c r="C135" s="332">
        <f>C108+C120+C134</f>
        <v>139</v>
      </c>
      <c r="D135" s="332">
        <f t="shared" ref="D135:K135" si="26">D108+D120+D134</f>
        <v>41.22</v>
      </c>
      <c r="E135" s="332">
        <f t="shared" si="26"/>
        <v>187</v>
      </c>
      <c r="F135" s="332">
        <f t="shared" si="26"/>
        <v>12714.15</v>
      </c>
      <c r="G135" s="332">
        <f t="shared" si="26"/>
        <v>2027</v>
      </c>
      <c r="H135" s="332">
        <f t="shared" si="26"/>
        <v>36191</v>
      </c>
      <c r="I135" s="332">
        <f t="shared" si="26"/>
        <v>12575.55</v>
      </c>
      <c r="J135" s="332">
        <f t="shared" si="26"/>
        <v>0</v>
      </c>
      <c r="K135" s="332">
        <f t="shared" si="26"/>
        <v>138.6</v>
      </c>
      <c r="L135" s="649">
        <f>'Bieu3 GDMN'!F25</f>
        <v>2700</v>
      </c>
      <c r="M135" s="649">
        <f>'Bieu3 GDMN'!N25</f>
        <v>1876.5</v>
      </c>
      <c r="N135" s="649">
        <f>I135-M135</f>
        <v>10699.05</v>
      </c>
      <c r="O135" s="649">
        <f>'Bieu3 GDMN'!O25</f>
        <v>1659.75</v>
      </c>
      <c r="P135" s="649">
        <f>'Bieu3 GDMN'!P25</f>
        <v>731</v>
      </c>
      <c r="Q135" s="542" t="s">
        <v>768</v>
      </c>
    </row>
    <row r="136" spans="1:17" s="71" customFormat="1" ht="24.95" customHeight="1" x14ac:dyDescent="0.2">
      <c r="A136" s="662" t="s">
        <v>445</v>
      </c>
      <c r="B136" s="880" t="s">
        <v>446</v>
      </c>
      <c r="C136" s="663"/>
      <c r="D136" s="663"/>
      <c r="E136" s="663"/>
      <c r="F136" s="664"/>
      <c r="G136" s="663"/>
      <c r="H136" s="322"/>
      <c r="I136" s="665"/>
      <c r="J136" s="319"/>
      <c r="K136" s="319"/>
      <c r="L136" s="319"/>
      <c r="M136" s="319"/>
      <c r="N136" s="319"/>
      <c r="O136" s="319"/>
      <c r="P136" s="319"/>
      <c r="Q136" s="302"/>
    </row>
    <row r="137" spans="1:17" s="71" customFormat="1" ht="24.95" customHeight="1" x14ac:dyDescent="0.2">
      <c r="A137" s="662" t="s">
        <v>7</v>
      </c>
      <c r="B137" s="662" t="s">
        <v>226</v>
      </c>
      <c r="C137" s="663"/>
      <c r="D137" s="663"/>
      <c r="E137" s="663"/>
      <c r="F137" s="664"/>
      <c r="G137" s="663"/>
      <c r="H137" s="322"/>
      <c r="I137" s="665"/>
      <c r="J137" s="319"/>
      <c r="K137" s="319"/>
      <c r="L137" s="319"/>
      <c r="M137" s="319"/>
      <c r="N137" s="319"/>
      <c r="O137" s="319"/>
      <c r="P137" s="319"/>
      <c r="Q137" s="302"/>
    </row>
    <row r="138" spans="1:17" s="71" customFormat="1" ht="24.95" customHeight="1" x14ac:dyDescent="0.2">
      <c r="A138" s="662">
        <v>1</v>
      </c>
      <c r="B138" s="662" t="s">
        <v>4</v>
      </c>
      <c r="C138" s="663"/>
      <c r="D138" s="663"/>
      <c r="E138" s="663"/>
      <c r="F138" s="664"/>
      <c r="G138" s="663"/>
      <c r="H138" s="322"/>
      <c r="I138" s="665"/>
      <c r="J138" s="319"/>
      <c r="K138" s="319"/>
      <c r="L138" s="319"/>
      <c r="M138" s="319"/>
      <c r="N138" s="319"/>
      <c r="O138" s="319"/>
      <c r="P138" s="319"/>
      <c r="Q138" s="302"/>
    </row>
    <row r="139" spans="1:17" s="71" customFormat="1" ht="24.95" customHeight="1" x14ac:dyDescent="0.2">
      <c r="A139" s="594" t="s">
        <v>149</v>
      </c>
      <c r="B139" s="595" t="s">
        <v>163</v>
      </c>
      <c r="C139" s="596"/>
      <c r="D139" s="596"/>
      <c r="E139" s="596"/>
      <c r="F139" s="320"/>
      <c r="G139" s="596"/>
      <c r="H139" s="322"/>
      <c r="I139" s="665"/>
      <c r="J139" s="319"/>
      <c r="K139" s="319"/>
      <c r="L139" s="319"/>
      <c r="M139" s="319"/>
      <c r="N139" s="319"/>
      <c r="O139" s="319"/>
      <c r="P139" s="319"/>
      <c r="Q139" s="302"/>
    </row>
    <row r="140" spans="1:17" s="71" customFormat="1" ht="24.95" customHeight="1" x14ac:dyDescent="0.2">
      <c r="A140" s="872" t="s">
        <v>229</v>
      </c>
      <c r="B140" s="628" t="s">
        <v>943</v>
      </c>
      <c r="C140" s="666">
        <v>4</v>
      </c>
      <c r="D140" s="868">
        <v>1</v>
      </c>
      <c r="E140" s="666">
        <v>13</v>
      </c>
      <c r="F140" s="302">
        <f t="shared" ref="F140:F154" si="27">I140+J140+K140</f>
        <v>1115.4000000000001</v>
      </c>
      <c r="G140" s="666">
        <v>70</v>
      </c>
      <c r="H140" s="320">
        <f>C140*E140*G140</f>
        <v>3640</v>
      </c>
      <c r="I140" s="318">
        <f>IF(G140&lt;70, C140*E140*16.5*1, C140*E140*16.5*1.3)</f>
        <v>1115.4000000000001</v>
      </c>
      <c r="J140" s="319"/>
      <c r="K140" s="319"/>
      <c r="L140" s="319"/>
      <c r="M140" s="319"/>
      <c r="N140" s="319"/>
      <c r="O140" s="319"/>
      <c r="P140" s="319"/>
      <c r="Q140" s="302"/>
    </row>
    <row r="141" spans="1:17" s="71" customFormat="1" ht="24.95" customHeight="1" x14ac:dyDescent="0.2">
      <c r="A141" s="873" t="s">
        <v>230</v>
      </c>
      <c r="B141" s="628" t="s">
        <v>944</v>
      </c>
      <c r="C141" s="600">
        <v>3</v>
      </c>
      <c r="D141" s="869">
        <v>1</v>
      </c>
      <c r="E141" s="600">
        <v>7</v>
      </c>
      <c r="F141" s="302">
        <f t="shared" si="27"/>
        <v>450.45</v>
      </c>
      <c r="G141" s="600">
        <v>70</v>
      </c>
      <c r="H141" s="320">
        <f t="shared" ref="H141:H151" si="28">C141*E141*G141</f>
        <v>1470</v>
      </c>
      <c r="I141" s="318">
        <f t="shared" ref="I141:I151" si="29">IF(G141&lt;70, C141*E141*16.5*1, C141*E141*16.5*1.3)</f>
        <v>450.45</v>
      </c>
      <c r="J141" s="319"/>
      <c r="K141" s="319"/>
      <c r="L141" s="319"/>
      <c r="M141" s="319"/>
      <c r="N141" s="319"/>
      <c r="O141" s="319"/>
      <c r="P141" s="319"/>
      <c r="Q141" s="302"/>
    </row>
    <row r="142" spans="1:17" s="71" customFormat="1" ht="24.95" customHeight="1" x14ac:dyDescent="0.2">
      <c r="A142" s="874" t="s">
        <v>231</v>
      </c>
      <c r="B142" s="628" t="s">
        <v>945</v>
      </c>
      <c r="C142" s="600">
        <v>5</v>
      </c>
      <c r="D142" s="870">
        <v>1</v>
      </c>
      <c r="E142" s="600">
        <v>6</v>
      </c>
      <c r="F142" s="302">
        <f t="shared" si="27"/>
        <v>643.5</v>
      </c>
      <c r="G142" s="600">
        <v>70</v>
      </c>
      <c r="H142" s="320">
        <f t="shared" si="28"/>
        <v>2100</v>
      </c>
      <c r="I142" s="318">
        <f t="shared" si="29"/>
        <v>643.5</v>
      </c>
      <c r="J142" s="319"/>
      <c r="K142" s="319"/>
      <c r="L142" s="319"/>
      <c r="M142" s="319"/>
      <c r="N142" s="319"/>
      <c r="O142" s="319"/>
      <c r="P142" s="319"/>
      <c r="Q142" s="302"/>
    </row>
    <row r="143" spans="1:17" s="71" customFormat="1" ht="24.95" customHeight="1" x14ac:dyDescent="0.2">
      <c r="A143" s="875" t="s">
        <v>232</v>
      </c>
      <c r="B143" s="628" t="s">
        <v>946</v>
      </c>
      <c r="C143" s="600">
        <v>2</v>
      </c>
      <c r="D143" s="871">
        <v>1</v>
      </c>
      <c r="E143" s="600">
        <v>1</v>
      </c>
      <c r="F143" s="302">
        <f t="shared" si="27"/>
        <v>33</v>
      </c>
      <c r="G143" s="600">
        <v>50</v>
      </c>
      <c r="H143" s="320">
        <f t="shared" si="28"/>
        <v>100</v>
      </c>
      <c r="I143" s="318">
        <f t="shared" si="29"/>
        <v>33</v>
      </c>
      <c r="J143" s="319"/>
      <c r="K143" s="319"/>
      <c r="L143" s="319"/>
      <c r="M143" s="319"/>
      <c r="N143" s="319"/>
      <c r="O143" s="319"/>
      <c r="P143" s="319"/>
      <c r="Q143" s="302"/>
    </row>
    <row r="144" spans="1:17" s="71" customFormat="1" ht="24.95" customHeight="1" x14ac:dyDescent="0.2">
      <c r="A144" s="873" t="s">
        <v>233</v>
      </c>
      <c r="B144" s="628" t="s">
        <v>947</v>
      </c>
      <c r="C144" s="600">
        <v>2</v>
      </c>
      <c r="D144" s="869">
        <v>1</v>
      </c>
      <c r="E144" s="600">
        <v>4</v>
      </c>
      <c r="F144" s="302">
        <f t="shared" si="27"/>
        <v>132</v>
      </c>
      <c r="G144" s="600">
        <v>55</v>
      </c>
      <c r="H144" s="320">
        <f t="shared" si="28"/>
        <v>440</v>
      </c>
      <c r="I144" s="318">
        <f t="shared" si="29"/>
        <v>132</v>
      </c>
      <c r="J144" s="319"/>
      <c r="K144" s="319"/>
      <c r="L144" s="319"/>
      <c r="M144" s="319"/>
      <c r="N144" s="319"/>
      <c r="O144" s="319"/>
      <c r="P144" s="319"/>
      <c r="Q144" s="302"/>
    </row>
    <row r="145" spans="1:17" s="71" customFormat="1" ht="24.95" customHeight="1" x14ac:dyDescent="0.2">
      <c r="A145" s="874" t="s">
        <v>234</v>
      </c>
      <c r="B145" s="628" t="s">
        <v>948</v>
      </c>
      <c r="C145" s="668">
        <v>3</v>
      </c>
      <c r="D145" s="869">
        <v>1</v>
      </c>
      <c r="E145" s="668">
        <v>1</v>
      </c>
      <c r="F145" s="302">
        <f t="shared" si="27"/>
        <v>49.5</v>
      </c>
      <c r="G145" s="668">
        <v>40</v>
      </c>
      <c r="H145" s="320">
        <f t="shared" si="28"/>
        <v>120</v>
      </c>
      <c r="I145" s="318">
        <f t="shared" si="29"/>
        <v>49.5</v>
      </c>
      <c r="J145" s="319"/>
      <c r="K145" s="319"/>
      <c r="L145" s="319"/>
      <c r="M145" s="319"/>
      <c r="N145" s="319"/>
      <c r="O145" s="319"/>
      <c r="P145" s="319"/>
      <c r="Q145" s="302"/>
    </row>
    <row r="146" spans="1:17" s="71" customFormat="1" ht="24.95" customHeight="1" x14ac:dyDescent="0.2">
      <c r="A146" s="874" t="s">
        <v>285</v>
      </c>
      <c r="B146" s="628" t="s">
        <v>949</v>
      </c>
      <c r="C146" s="668">
        <v>3</v>
      </c>
      <c r="D146" s="869">
        <v>1</v>
      </c>
      <c r="E146" s="668">
        <v>1</v>
      </c>
      <c r="F146" s="302">
        <f t="shared" si="27"/>
        <v>49.5</v>
      </c>
      <c r="G146" s="668">
        <v>40</v>
      </c>
      <c r="H146" s="320">
        <f t="shared" si="28"/>
        <v>120</v>
      </c>
      <c r="I146" s="318">
        <f t="shared" si="29"/>
        <v>49.5</v>
      </c>
      <c r="J146" s="319"/>
      <c r="K146" s="319"/>
      <c r="L146" s="319"/>
      <c r="M146" s="319"/>
      <c r="N146" s="319"/>
      <c r="O146" s="319"/>
      <c r="P146" s="319"/>
      <c r="Q146" s="302"/>
    </row>
    <row r="147" spans="1:17" s="71" customFormat="1" ht="24.95" customHeight="1" x14ac:dyDescent="0.2">
      <c r="A147" s="876" t="s">
        <v>286</v>
      </c>
      <c r="B147" s="628" t="s">
        <v>950</v>
      </c>
      <c r="C147" s="668">
        <v>2</v>
      </c>
      <c r="D147" s="869">
        <v>1</v>
      </c>
      <c r="E147" s="668">
        <v>1</v>
      </c>
      <c r="F147" s="302">
        <f t="shared" si="27"/>
        <v>33</v>
      </c>
      <c r="G147" s="668">
        <v>40</v>
      </c>
      <c r="H147" s="320">
        <f t="shared" si="28"/>
        <v>80</v>
      </c>
      <c r="I147" s="318">
        <f t="shared" si="29"/>
        <v>33</v>
      </c>
      <c r="J147" s="319"/>
      <c r="K147" s="319"/>
      <c r="L147" s="319"/>
      <c r="M147" s="319"/>
      <c r="N147" s="319"/>
      <c r="O147" s="319"/>
      <c r="P147" s="319"/>
      <c r="Q147" s="302"/>
    </row>
    <row r="148" spans="1:17" s="71" customFormat="1" ht="24.95" customHeight="1" x14ac:dyDescent="0.2">
      <c r="A148" s="876" t="s">
        <v>287</v>
      </c>
      <c r="B148" s="628" t="s">
        <v>951</v>
      </c>
      <c r="C148" s="668">
        <v>3</v>
      </c>
      <c r="D148" s="869">
        <v>1</v>
      </c>
      <c r="E148" s="668">
        <v>2</v>
      </c>
      <c r="F148" s="302">
        <f t="shared" si="27"/>
        <v>99</v>
      </c>
      <c r="G148" s="668">
        <v>40</v>
      </c>
      <c r="H148" s="320">
        <f t="shared" si="28"/>
        <v>240</v>
      </c>
      <c r="I148" s="318">
        <f t="shared" si="29"/>
        <v>99</v>
      </c>
      <c r="J148" s="319"/>
      <c r="K148" s="319"/>
      <c r="L148" s="319"/>
      <c r="M148" s="319"/>
      <c r="N148" s="319"/>
      <c r="O148" s="319"/>
      <c r="P148" s="319"/>
      <c r="Q148" s="302"/>
    </row>
    <row r="149" spans="1:17" s="71" customFormat="1" ht="24.95" customHeight="1" x14ac:dyDescent="0.2">
      <c r="A149" s="876" t="s">
        <v>288</v>
      </c>
      <c r="B149" s="628" t="s">
        <v>952</v>
      </c>
      <c r="C149" s="668">
        <v>4</v>
      </c>
      <c r="D149" s="869">
        <v>1</v>
      </c>
      <c r="E149" s="668">
        <v>1</v>
      </c>
      <c r="F149" s="302">
        <f t="shared" si="27"/>
        <v>66</v>
      </c>
      <c r="G149" s="668">
        <v>40</v>
      </c>
      <c r="H149" s="320">
        <f t="shared" si="28"/>
        <v>160</v>
      </c>
      <c r="I149" s="318">
        <f t="shared" si="29"/>
        <v>66</v>
      </c>
      <c r="J149" s="319"/>
      <c r="K149" s="319"/>
      <c r="L149" s="319"/>
      <c r="M149" s="319"/>
      <c r="N149" s="319"/>
      <c r="O149" s="319"/>
      <c r="P149" s="319"/>
      <c r="Q149" s="302"/>
    </row>
    <row r="150" spans="1:17" s="71" customFormat="1" ht="24.95" customHeight="1" x14ac:dyDescent="0.2">
      <c r="A150" s="876" t="s">
        <v>289</v>
      </c>
      <c r="B150" s="628" t="s">
        <v>953</v>
      </c>
      <c r="C150" s="668">
        <v>2</v>
      </c>
      <c r="D150" s="869">
        <v>1</v>
      </c>
      <c r="E150" s="668">
        <v>1</v>
      </c>
      <c r="F150" s="302">
        <f t="shared" si="27"/>
        <v>42.9</v>
      </c>
      <c r="G150" s="668">
        <v>80</v>
      </c>
      <c r="H150" s="320">
        <f t="shared" si="28"/>
        <v>160</v>
      </c>
      <c r="I150" s="318">
        <f t="shared" si="29"/>
        <v>42.9</v>
      </c>
      <c r="J150" s="319"/>
      <c r="K150" s="319"/>
      <c r="L150" s="319"/>
      <c r="M150" s="319"/>
      <c r="N150" s="319"/>
      <c r="O150" s="319"/>
      <c r="P150" s="319"/>
      <c r="Q150" s="302"/>
    </row>
    <row r="151" spans="1:17" s="71" customFormat="1" ht="24.95" customHeight="1" x14ac:dyDescent="0.2">
      <c r="A151" s="877" t="s">
        <v>292</v>
      </c>
      <c r="B151" s="628" t="s">
        <v>954</v>
      </c>
      <c r="C151" s="668">
        <v>2</v>
      </c>
      <c r="D151" s="869">
        <v>1</v>
      </c>
      <c r="E151" s="668">
        <v>1</v>
      </c>
      <c r="F151" s="302">
        <f t="shared" si="27"/>
        <v>42.9</v>
      </c>
      <c r="G151" s="668">
        <v>80</v>
      </c>
      <c r="H151" s="760">
        <f t="shared" si="28"/>
        <v>160</v>
      </c>
      <c r="I151" s="318">
        <f t="shared" si="29"/>
        <v>42.9</v>
      </c>
      <c r="J151" s="526"/>
      <c r="K151" s="526"/>
      <c r="L151" s="526"/>
      <c r="M151" s="526"/>
      <c r="N151" s="526"/>
      <c r="O151" s="526"/>
      <c r="P151" s="526"/>
      <c r="Q151" s="606"/>
    </row>
    <row r="152" spans="1:17" s="71" customFormat="1" ht="24.95" customHeight="1" x14ac:dyDescent="0.2">
      <c r="A152" s="877" t="s">
        <v>150</v>
      </c>
      <c r="B152" s="628"/>
      <c r="C152" s="668"/>
      <c r="D152" s="870"/>
      <c r="E152" s="668"/>
      <c r="F152" s="302">
        <f t="shared" si="27"/>
        <v>0</v>
      </c>
      <c r="G152" s="668"/>
      <c r="H152" s="760">
        <f t="shared" ref="H152:H154" si="30">C152*E152*G152</f>
        <v>0</v>
      </c>
      <c r="I152" s="318">
        <f t="shared" ref="I152:I154" si="31">IF(G152&lt;70, C152*E152*16.5*1, C152*E152*16.5*1.3)</f>
        <v>0</v>
      </c>
      <c r="J152" s="526"/>
      <c r="K152" s="526"/>
      <c r="L152" s="526"/>
      <c r="M152" s="526"/>
      <c r="N152" s="526"/>
      <c r="O152" s="526"/>
      <c r="P152" s="526"/>
      <c r="Q152" s="606"/>
    </row>
    <row r="153" spans="1:17" s="71" customFormat="1" ht="24.95" customHeight="1" x14ac:dyDescent="0.2">
      <c r="A153" s="876" t="s">
        <v>235</v>
      </c>
      <c r="B153" s="628" t="s">
        <v>955</v>
      </c>
      <c r="C153" s="668">
        <v>1</v>
      </c>
      <c r="D153" s="870">
        <v>1.4</v>
      </c>
      <c r="E153" s="668">
        <v>6</v>
      </c>
      <c r="F153" s="302">
        <f t="shared" si="27"/>
        <v>99</v>
      </c>
      <c r="G153" s="668">
        <v>36</v>
      </c>
      <c r="H153" s="760">
        <f t="shared" si="30"/>
        <v>216</v>
      </c>
      <c r="I153" s="318">
        <f t="shared" si="31"/>
        <v>99</v>
      </c>
      <c r="J153" s="526"/>
      <c r="K153" s="526"/>
      <c r="L153" s="526"/>
      <c r="M153" s="526"/>
      <c r="N153" s="526"/>
      <c r="O153" s="526"/>
      <c r="P153" s="526"/>
      <c r="Q153" s="606"/>
    </row>
    <row r="154" spans="1:17" s="71" customFormat="1" ht="24.95" customHeight="1" x14ac:dyDescent="0.2">
      <c r="A154" s="876" t="s">
        <v>236</v>
      </c>
      <c r="B154" s="600" t="s">
        <v>956</v>
      </c>
      <c r="C154" s="668">
        <v>1</v>
      </c>
      <c r="D154" s="870">
        <v>1.4</v>
      </c>
      <c r="E154" s="668">
        <v>14</v>
      </c>
      <c r="F154" s="302">
        <f t="shared" si="27"/>
        <v>231</v>
      </c>
      <c r="G154" s="668">
        <v>20</v>
      </c>
      <c r="H154" s="760">
        <f t="shared" si="30"/>
        <v>280</v>
      </c>
      <c r="I154" s="318">
        <f t="shared" si="31"/>
        <v>231</v>
      </c>
      <c r="J154" s="526"/>
      <c r="K154" s="526"/>
      <c r="L154" s="526"/>
      <c r="M154" s="526"/>
      <c r="N154" s="526"/>
      <c r="O154" s="526"/>
      <c r="P154" s="526"/>
      <c r="Q154" s="606"/>
    </row>
    <row r="155" spans="1:17" s="71" customFormat="1" ht="24.95" customHeight="1" x14ac:dyDescent="0.2">
      <c r="A155" s="876" t="s">
        <v>237</v>
      </c>
      <c r="B155" s="878" t="s">
        <v>157</v>
      </c>
      <c r="C155" s="870"/>
      <c r="D155" s="870"/>
      <c r="E155" s="870"/>
      <c r="F155" s="606"/>
      <c r="G155" s="668"/>
      <c r="H155" s="601"/>
      <c r="I155" s="604"/>
      <c r="J155" s="526"/>
      <c r="K155" s="526"/>
      <c r="L155" s="526"/>
      <c r="M155" s="526"/>
      <c r="N155" s="526"/>
      <c r="O155" s="526"/>
      <c r="P155" s="526"/>
      <c r="Q155" s="606"/>
    </row>
    <row r="156" spans="1:17" s="71" customFormat="1" ht="24.95" customHeight="1" x14ac:dyDescent="0.2">
      <c r="A156" s="876" t="s">
        <v>238</v>
      </c>
      <c r="B156" s="878" t="s">
        <v>158</v>
      </c>
      <c r="C156" s="870"/>
      <c r="D156" s="870"/>
      <c r="E156" s="870"/>
      <c r="F156" s="606"/>
      <c r="G156" s="668"/>
      <c r="H156" s="601"/>
      <c r="I156" s="604"/>
      <c r="J156" s="526"/>
      <c r="K156" s="526"/>
      <c r="L156" s="526"/>
      <c r="M156" s="526"/>
      <c r="N156" s="526"/>
      <c r="O156" s="526"/>
      <c r="P156" s="526"/>
      <c r="Q156" s="606"/>
    </row>
    <row r="157" spans="1:17" s="71" customFormat="1" ht="24.95" customHeight="1" x14ac:dyDescent="0.2">
      <c r="A157" s="879" t="s">
        <v>239</v>
      </c>
      <c r="B157" s="878" t="s">
        <v>159</v>
      </c>
      <c r="C157" s="871"/>
      <c r="D157" s="871"/>
      <c r="E157" s="871"/>
      <c r="F157" s="606"/>
      <c r="G157" s="668"/>
      <c r="H157" s="601"/>
      <c r="I157" s="604"/>
      <c r="J157" s="526"/>
      <c r="K157" s="526"/>
      <c r="L157" s="526"/>
      <c r="M157" s="526"/>
      <c r="N157" s="526"/>
      <c r="O157" s="526"/>
      <c r="P157" s="526"/>
      <c r="Q157" s="606"/>
    </row>
    <row r="158" spans="1:17" s="71" customFormat="1" ht="24.95" customHeight="1" x14ac:dyDescent="0.2">
      <c r="A158" s="620"/>
      <c r="B158" s="621" t="s">
        <v>403</v>
      </c>
      <c r="C158" s="622">
        <f>SUM(C140:C157)</f>
        <v>37</v>
      </c>
      <c r="D158" s="622">
        <f t="shared" ref="D158:I158" si="32">SUM(D140:D157)</f>
        <v>14.8</v>
      </c>
      <c r="E158" s="622">
        <f t="shared" si="32"/>
        <v>59</v>
      </c>
      <c r="F158" s="622">
        <f t="shared" si="32"/>
        <v>3087.1500000000005</v>
      </c>
      <c r="G158" s="622">
        <f t="shared" si="32"/>
        <v>731</v>
      </c>
      <c r="H158" s="622">
        <f t="shared" si="32"/>
        <v>9286</v>
      </c>
      <c r="I158" s="622">
        <f t="shared" si="32"/>
        <v>3087.1500000000005</v>
      </c>
      <c r="J158" s="622">
        <f t="shared" ref="J158" si="33">SUM(J140:J157)</f>
        <v>0</v>
      </c>
      <c r="K158" s="622">
        <f t="shared" ref="K158" si="34">SUM(K140:K157)</f>
        <v>0</v>
      </c>
      <c r="L158" s="319"/>
      <c r="M158" s="319"/>
      <c r="N158" s="319"/>
      <c r="O158" s="319"/>
      <c r="P158" s="319"/>
      <c r="Q158" s="302"/>
    </row>
    <row r="159" spans="1:17" s="71" customFormat="1" ht="24.95" customHeight="1" x14ac:dyDescent="0.2">
      <c r="A159" s="669">
        <v>2</v>
      </c>
      <c r="B159" s="669" t="s">
        <v>166</v>
      </c>
      <c r="C159" s="601"/>
      <c r="D159" s="601"/>
      <c r="E159" s="601"/>
      <c r="F159" s="302"/>
      <c r="G159" s="601"/>
      <c r="H159" s="320"/>
      <c r="I159" s="318"/>
      <c r="J159" s="319"/>
      <c r="K159" s="319"/>
      <c r="L159" s="319"/>
      <c r="M159" s="319"/>
      <c r="N159" s="319"/>
      <c r="O159" s="319"/>
      <c r="P159" s="319"/>
      <c r="Q159" s="302"/>
    </row>
    <row r="160" spans="1:17" s="71" customFormat="1" ht="24.95" customHeight="1" x14ac:dyDescent="0.2">
      <c r="A160" s="626" t="s">
        <v>149</v>
      </c>
      <c r="B160" s="627" t="s">
        <v>167</v>
      </c>
      <c r="C160" s="601"/>
      <c r="D160" s="601"/>
      <c r="E160" s="601"/>
      <c r="F160" s="302"/>
      <c r="G160" s="601"/>
      <c r="H160" s="320"/>
      <c r="I160" s="318"/>
      <c r="J160" s="319"/>
      <c r="K160" s="319"/>
      <c r="L160" s="319"/>
      <c r="M160" s="319"/>
      <c r="N160" s="319"/>
      <c r="O160" s="319"/>
      <c r="P160" s="319"/>
      <c r="Q160" s="302"/>
    </row>
    <row r="161" spans="1:17" s="71" customFormat="1" ht="24.95" customHeight="1" x14ac:dyDescent="0.2">
      <c r="A161" s="599" t="s">
        <v>229</v>
      </c>
      <c r="B161" s="628" t="s">
        <v>438</v>
      </c>
      <c r="C161" s="600">
        <v>3</v>
      </c>
      <c r="D161" s="667">
        <v>1</v>
      </c>
      <c r="E161" s="668">
        <v>6</v>
      </c>
      <c r="F161" s="322">
        <f>(I161+J161+K161)</f>
        <v>207.89999999999998</v>
      </c>
      <c r="G161" s="600">
        <v>15</v>
      </c>
      <c r="H161" s="320">
        <f t="shared" ref="H161:H167" si="35">C161*E161*G161</f>
        <v>270</v>
      </c>
      <c r="I161" s="318">
        <f>C161*E161*16.5*0.7</f>
        <v>207.89999999999998</v>
      </c>
      <c r="J161" s="319"/>
      <c r="K161" s="319"/>
      <c r="L161" s="319"/>
      <c r="M161" s="319"/>
      <c r="N161" s="319"/>
      <c r="O161" s="319"/>
      <c r="P161" s="319"/>
      <c r="Q161" s="302"/>
    </row>
    <row r="162" spans="1:17" s="71" customFormat="1" ht="24.95" customHeight="1" x14ac:dyDescent="0.2">
      <c r="A162" s="599" t="s">
        <v>230</v>
      </c>
      <c r="B162" s="628" t="s">
        <v>439</v>
      </c>
      <c r="C162" s="600">
        <v>3</v>
      </c>
      <c r="D162" s="667">
        <v>1</v>
      </c>
      <c r="E162" s="668">
        <v>2</v>
      </c>
      <c r="F162" s="322">
        <f t="shared" ref="F162:F167" si="36">(I162+J162+K162)</f>
        <v>69.3</v>
      </c>
      <c r="G162" s="600">
        <v>10</v>
      </c>
      <c r="H162" s="320">
        <f t="shared" si="35"/>
        <v>60</v>
      </c>
      <c r="I162" s="318">
        <f t="shared" ref="I162:I167" si="37">C162*E162*16.5*0.7</f>
        <v>69.3</v>
      </c>
      <c r="J162" s="319"/>
      <c r="K162" s="319"/>
      <c r="L162" s="319"/>
      <c r="M162" s="319"/>
      <c r="N162" s="319"/>
      <c r="O162" s="319"/>
      <c r="P162" s="319"/>
      <c r="Q162" s="302"/>
    </row>
    <row r="163" spans="1:17" s="71" customFormat="1" ht="24.95" customHeight="1" x14ac:dyDescent="0.2">
      <c r="A163" s="599" t="s">
        <v>231</v>
      </c>
      <c r="B163" s="634" t="s">
        <v>440</v>
      </c>
      <c r="C163" s="600">
        <v>3</v>
      </c>
      <c r="D163" s="667">
        <v>1</v>
      </c>
      <c r="E163" s="668">
        <v>2</v>
      </c>
      <c r="F163" s="322">
        <f t="shared" si="36"/>
        <v>69.3</v>
      </c>
      <c r="G163" s="600">
        <v>10</v>
      </c>
      <c r="H163" s="320">
        <f t="shared" si="35"/>
        <v>60</v>
      </c>
      <c r="I163" s="318">
        <f t="shared" si="37"/>
        <v>69.3</v>
      </c>
      <c r="J163" s="319"/>
      <c r="K163" s="319"/>
      <c r="L163" s="319"/>
      <c r="M163" s="319"/>
      <c r="N163" s="319"/>
      <c r="O163" s="319"/>
      <c r="P163" s="319"/>
      <c r="Q163" s="302"/>
    </row>
    <row r="164" spans="1:17" s="71" customFormat="1" ht="24.95" customHeight="1" x14ac:dyDescent="0.2">
      <c r="A164" s="599" t="s">
        <v>232</v>
      </c>
      <c r="B164" s="628" t="s">
        <v>441</v>
      </c>
      <c r="C164" s="600">
        <v>3</v>
      </c>
      <c r="D164" s="667">
        <v>1</v>
      </c>
      <c r="E164" s="668">
        <v>1</v>
      </c>
      <c r="F164" s="322">
        <f t="shared" si="36"/>
        <v>34.65</v>
      </c>
      <c r="G164" s="600">
        <v>10</v>
      </c>
      <c r="H164" s="320">
        <f t="shared" si="35"/>
        <v>30</v>
      </c>
      <c r="I164" s="318">
        <f t="shared" si="37"/>
        <v>34.65</v>
      </c>
      <c r="J164" s="319"/>
      <c r="K164" s="319"/>
      <c r="L164" s="319"/>
      <c r="M164" s="319"/>
      <c r="N164" s="319"/>
      <c r="O164" s="319"/>
      <c r="P164" s="319"/>
      <c r="Q164" s="302"/>
    </row>
    <row r="165" spans="1:17" s="71" customFormat="1" ht="24.95" customHeight="1" x14ac:dyDescent="0.2">
      <c r="A165" s="599" t="s">
        <v>233</v>
      </c>
      <c r="B165" s="629" t="s">
        <v>442</v>
      </c>
      <c r="C165" s="600">
        <v>3</v>
      </c>
      <c r="D165" s="667">
        <v>1</v>
      </c>
      <c r="E165" s="668">
        <v>6</v>
      </c>
      <c r="F165" s="322">
        <f t="shared" si="36"/>
        <v>207.89999999999998</v>
      </c>
      <c r="G165" s="600">
        <v>15</v>
      </c>
      <c r="H165" s="320">
        <f t="shared" si="35"/>
        <v>270</v>
      </c>
      <c r="I165" s="318">
        <f t="shared" si="37"/>
        <v>207.89999999999998</v>
      </c>
      <c r="J165" s="319"/>
      <c r="K165" s="319"/>
      <c r="L165" s="319"/>
      <c r="M165" s="319"/>
      <c r="N165" s="319"/>
      <c r="O165" s="319"/>
      <c r="P165" s="319"/>
      <c r="Q165" s="302"/>
    </row>
    <row r="166" spans="1:17" s="71" customFormat="1" ht="24.95" customHeight="1" x14ac:dyDescent="0.2">
      <c r="A166" s="599" t="s">
        <v>234</v>
      </c>
      <c r="B166" s="629" t="s">
        <v>443</v>
      </c>
      <c r="C166" s="600">
        <v>3</v>
      </c>
      <c r="D166" s="667">
        <v>1</v>
      </c>
      <c r="E166" s="668">
        <v>1</v>
      </c>
      <c r="F166" s="322">
        <f t="shared" si="36"/>
        <v>34.65</v>
      </c>
      <c r="G166" s="600">
        <v>10</v>
      </c>
      <c r="H166" s="320">
        <f t="shared" si="35"/>
        <v>30</v>
      </c>
      <c r="I166" s="318">
        <f t="shared" si="37"/>
        <v>34.65</v>
      </c>
      <c r="J166" s="319"/>
      <c r="K166" s="319"/>
      <c r="L166" s="319"/>
      <c r="M166" s="319"/>
      <c r="N166" s="319"/>
      <c r="O166" s="319"/>
      <c r="P166" s="319"/>
      <c r="Q166" s="302"/>
    </row>
    <row r="167" spans="1:17" s="71" customFormat="1" ht="24.95" customHeight="1" x14ac:dyDescent="0.2">
      <c r="A167" s="599" t="s">
        <v>285</v>
      </c>
      <c r="B167" s="629" t="s">
        <v>444</v>
      </c>
      <c r="C167" s="600">
        <v>3</v>
      </c>
      <c r="D167" s="667">
        <v>1</v>
      </c>
      <c r="E167" s="668">
        <v>6</v>
      </c>
      <c r="F167" s="322">
        <f t="shared" si="36"/>
        <v>207.89999999999998</v>
      </c>
      <c r="G167" s="600">
        <v>15</v>
      </c>
      <c r="H167" s="320">
        <f t="shared" si="35"/>
        <v>270</v>
      </c>
      <c r="I167" s="318">
        <f t="shared" si="37"/>
        <v>207.89999999999998</v>
      </c>
      <c r="J167" s="319"/>
      <c r="K167" s="319"/>
      <c r="L167" s="319"/>
      <c r="M167" s="319"/>
      <c r="N167" s="319"/>
      <c r="O167" s="319"/>
      <c r="P167" s="319"/>
      <c r="Q167" s="302"/>
    </row>
    <row r="168" spans="1:17" s="71" customFormat="1" ht="24.95" customHeight="1" x14ac:dyDescent="0.2">
      <c r="A168" s="620"/>
      <c r="B168" s="670" t="s">
        <v>403</v>
      </c>
      <c r="C168" s="622">
        <f>SUM(C161:C167)</f>
        <v>21</v>
      </c>
      <c r="D168" s="622">
        <f t="shared" ref="D168:K168" si="38">SUM(D161:D167)</f>
        <v>7</v>
      </c>
      <c r="E168" s="622">
        <f t="shared" si="38"/>
        <v>24</v>
      </c>
      <c r="F168" s="622">
        <f>SUM(F161:F167)</f>
        <v>831.59999999999991</v>
      </c>
      <c r="G168" s="622">
        <f t="shared" si="38"/>
        <v>85</v>
      </c>
      <c r="H168" s="622">
        <f t="shared" si="38"/>
        <v>990</v>
      </c>
      <c r="I168" s="622">
        <f t="shared" si="38"/>
        <v>831.59999999999991</v>
      </c>
      <c r="J168" s="622">
        <f t="shared" si="38"/>
        <v>0</v>
      </c>
      <c r="K168" s="622">
        <f t="shared" si="38"/>
        <v>0</v>
      </c>
      <c r="L168" s="319"/>
      <c r="M168" s="319"/>
      <c r="N168" s="319"/>
      <c r="O168" s="319"/>
      <c r="P168" s="319"/>
      <c r="Q168" s="302"/>
    </row>
    <row r="169" spans="1:17" s="71" customFormat="1" ht="24.95" customHeight="1" x14ac:dyDescent="0.2">
      <c r="A169" s="669" t="s">
        <v>8</v>
      </c>
      <c r="B169" s="669" t="s">
        <v>227</v>
      </c>
      <c r="C169" s="601"/>
      <c r="D169" s="601"/>
      <c r="E169" s="601"/>
      <c r="F169" s="302"/>
      <c r="G169" s="601"/>
      <c r="H169" s="320"/>
      <c r="I169" s="318"/>
      <c r="J169" s="319"/>
      <c r="K169" s="319"/>
      <c r="L169" s="319"/>
      <c r="M169" s="319"/>
      <c r="N169" s="319"/>
      <c r="O169" s="319"/>
      <c r="P169" s="319"/>
      <c r="Q169" s="302"/>
    </row>
    <row r="170" spans="1:17" s="71" customFormat="1" ht="24.95" customHeight="1" x14ac:dyDescent="0.2">
      <c r="A170" s="669">
        <v>1</v>
      </c>
      <c r="B170" s="627" t="s">
        <v>228</v>
      </c>
      <c r="C170" s="601"/>
      <c r="D170" s="601"/>
      <c r="E170" s="601"/>
      <c r="F170" s="302"/>
      <c r="G170" s="601"/>
      <c r="H170" s="320"/>
      <c r="I170" s="318"/>
      <c r="J170" s="319"/>
      <c r="K170" s="319"/>
      <c r="L170" s="319"/>
      <c r="M170" s="319"/>
      <c r="N170" s="319"/>
      <c r="O170" s="319"/>
      <c r="P170" s="319"/>
      <c r="Q170" s="302"/>
    </row>
    <row r="171" spans="1:17" s="71" customFormat="1" ht="24.95" customHeight="1" x14ac:dyDescent="0.2">
      <c r="A171" s="669" t="s">
        <v>149</v>
      </c>
      <c r="B171" s="627" t="s">
        <v>165</v>
      </c>
      <c r="C171" s="601"/>
      <c r="D171" s="601"/>
      <c r="E171" s="601"/>
      <c r="F171" s="322"/>
      <c r="G171" s="601"/>
      <c r="H171" s="329"/>
      <c r="I171" s="329"/>
      <c r="J171" s="319"/>
      <c r="K171" s="319"/>
      <c r="L171" s="319"/>
      <c r="M171" s="319"/>
      <c r="N171" s="319"/>
      <c r="O171" s="319"/>
      <c r="P171" s="319"/>
      <c r="Q171" s="302"/>
    </row>
    <row r="172" spans="1:17" s="71" customFormat="1" ht="24.95" customHeight="1" x14ac:dyDescent="0.2">
      <c r="A172" s="619" t="s">
        <v>229</v>
      </c>
      <c r="B172" s="628" t="s">
        <v>749</v>
      </c>
      <c r="C172" s="668">
        <v>5</v>
      </c>
      <c r="D172" s="667">
        <v>1</v>
      </c>
      <c r="E172" s="881">
        <v>6</v>
      </c>
      <c r="F172" s="322">
        <f t="shared" ref="F172:F173" si="39">I172+J172+K172</f>
        <v>742.5</v>
      </c>
      <c r="G172" s="881">
        <v>40</v>
      </c>
      <c r="H172" s="320">
        <f t="shared" ref="H172:H173" si="40">C172*E172*G172</f>
        <v>1200</v>
      </c>
      <c r="I172" s="318">
        <f>IF(G172&lt;70, C172*E172*16.5*1.5, C172*E172*16.5*1.3*1.5)</f>
        <v>742.5</v>
      </c>
      <c r="J172" s="319"/>
      <c r="K172" s="319"/>
      <c r="L172" s="319"/>
      <c r="M172" s="319"/>
      <c r="N172" s="319"/>
      <c r="O172" s="319"/>
      <c r="P172" s="319"/>
      <c r="Q172" s="302"/>
    </row>
    <row r="173" spans="1:17" s="71" customFormat="1" ht="24.95" customHeight="1" x14ac:dyDescent="0.2">
      <c r="A173" s="619" t="s">
        <v>230</v>
      </c>
      <c r="B173" s="628" t="s">
        <v>750</v>
      </c>
      <c r="C173" s="668">
        <v>5</v>
      </c>
      <c r="D173" s="667">
        <v>1</v>
      </c>
      <c r="E173" s="881">
        <v>6</v>
      </c>
      <c r="F173" s="322">
        <f t="shared" si="39"/>
        <v>742.5</v>
      </c>
      <c r="G173" s="881">
        <v>40</v>
      </c>
      <c r="H173" s="320">
        <f t="shared" si="40"/>
        <v>1200</v>
      </c>
      <c r="I173" s="318">
        <f>IF(G173&lt;70, C173*E173*16.5*1.5, C173*E173*16.5*1.3*1.5)</f>
        <v>742.5</v>
      </c>
      <c r="J173" s="319"/>
      <c r="K173" s="319"/>
      <c r="L173" s="319"/>
      <c r="M173" s="319"/>
      <c r="N173" s="319"/>
      <c r="O173" s="319"/>
      <c r="P173" s="319"/>
      <c r="Q173" s="302"/>
    </row>
    <row r="174" spans="1:17" s="71" customFormat="1" ht="24.95" customHeight="1" x14ac:dyDescent="0.2">
      <c r="A174" s="620"/>
      <c r="B174" s="621" t="s">
        <v>403</v>
      </c>
      <c r="C174" s="622">
        <f>SUM(C172:C173)</f>
        <v>10</v>
      </c>
      <c r="D174" s="622">
        <f t="shared" ref="D174:K174" si="41">SUM(D172:D173)</f>
        <v>2</v>
      </c>
      <c r="E174" s="622">
        <f t="shared" si="41"/>
        <v>12</v>
      </c>
      <c r="F174" s="622">
        <f t="shared" si="41"/>
        <v>1485</v>
      </c>
      <c r="G174" s="622">
        <f t="shared" si="41"/>
        <v>80</v>
      </c>
      <c r="H174" s="622">
        <f t="shared" si="41"/>
        <v>2400</v>
      </c>
      <c r="I174" s="622">
        <f t="shared" si="41"/>
        <v>1485</v>
      </c>
      <c r="J174" s="622">
        <f t="shared" si="41"/>
        <v>0</v>
      </c>
      <c r="K174" s="622">
        <f t="shared" si="41"/>
        <v>0</v>
      </c>
      <c r="L174" s="319"/>
      <c r="M174" s="319"/>
      <c r="N174" s="319"/>
      <c r="O174" s="319"/>
      <c r="P174" s="319"/>
      <c r="Q174" s="302"/>
    </row>
    <row r="175" spans="1:17" s="71" customFormat="1" ht="24.95" customHeight="1" x14ac:dyDescent="0.2">
      <c r="A175" s="671"/>
      <c r="B175" s="672" t="s">
        <v>447</v>
      </c>
      <c r="C175" s="539">
        <f>C158+C168+C174</f>
        <v>68</v>
      </c>
      <c r="D175" s="539">
        <f t="shared" ref="D175:K175" si="42">D158+D168+D174</f>
        <v>23.8</v>
      </c>
      <c r="E175" s="539">
        <f t="shared" si="42"/>
        <v>95</v>
      </c>
      <c r="F175" s="539">
        <f t="shared" si="42"/>
        <v>5403.75</v>
      </c>
      <c r="G175" s="539">
        <f t="shared" si="42"/>
        <v>896</v>
      </c>
      <c r="H175" s="539">
        <f t="shared" si="42"/>
        <v>12676</v>
      </c>
      <c r="I175" s="539">
        <f t="shared" si="42"/>
        <v>5403.75</v>
      </c>
      <c r="J175" s="539">
        <f t="shared" si="42"/>
        <v>0</v>
      </c>
      <c r="K175" s="539">
        <f t="shared" si="42"/>
        <v>0</v>
      </c>
      <c r="L175" s="648">
        <f>'Bieu3 TLH'!F22</f>
        <v>1620</v>
      </c>
      <c r="M175" s="648">
        <f>'Bieu3 TLH'!N22</f>
        <v>1498.5</v>
      </c>
      <c r="N175" s="648">
        <f>I175-M175</f>
        <v>3905.25</v>
      </c>
      <c r="O175" s="648">
        <f>'Bieu3 TLH'!O22</f>
        <v>1163.25</v>
      </c>
      <c r="P175" s="648">
        <f>'Bieu3 TLH'!P22</f>
        <v>590</v>
      </c>
      <c r="Q175" s="937" t="s">
        <v>769</v>
      </c>
    </row>
    <row r="176" spans="1:17" s="71" customFormat="1" ht="24.95" customHeight="1" x14ac:dyDescent="0.2">
      <c r="A176" s="662" t="s">
        <v>454</v>
      </c>
      <c r="B176" s="880" t="s">
        <v>455</v>
      </c>
      <c r="C176" s="663"/>
      <c r="D176" s="663"/>
      <c r="E176" s="663"/>
      <c r="F176" s="664"/>
      <c r="G176" s="663"/>
      <c r="H176" s="663"/>
      <c r="I176" s="663"/>
      <c r="J176" s="319"/>
      <c r="K176" s="319"/>
      <c r="L176" s="319"/>
      <c r="M176" s="319"/>
      <c r="N176" s="319"/>
      <c r="O176" s="319"/>
      <c r="P176" s="319"/>
      <c r="Q176" s="302"/>
    </row>
    <row r="177" spans="1:17" s="71" customFormat="1" ht="24.95" customHeight="1" x14ac:dyDescent="0.2">
      <c r="A177" s="662" t="s">
        <v>7</v>
      </c>
      <c r="B177" s="662" t="s">
        <v>226</v>
      </c>
      <c r="C177" s="663"/>
      <c r="D177" s="663"/>
      <c r="E177" s="663"/>
      <c r="F177" s="664"/>
      <c r="G177" s="663"/>
      <c r="H177" s="663"/>
      <c r="I177" s="663"/>
      <c r="J177" s="319"/>
      <c r="K177" s="319"/>
      <c r="L177" s="319"/>
      <c r="M177" s="319"/>
      <c r="N177" s="319"/>
      <c r="O177" s="319"/>
      <c r="P177" s="319"/>
      <c r="Q177" s="302"/>
    </row>
    <row r="178" spans="1:17" s="71" customFormat="1" ht="24.95" customHeight="1" x14ac:dyDescent="0.2">
      <c r="A178" s="662">
        <v>1</v>
      </c>
      <c r="B178" s="662" t="s">
        <v>4</v>
      </c>
      <c r="C178" s="663"/>
      <c r="D178" s="663"/>
      <c r="E178" s="663"/>
      <c r="F178" s="664"/>
      <c r="G178" s="663"/>
      <c r="H178" s="663"/>
      <c r="I178" s="663"/>
      <c r="J178" s="319"/>
      <c r="K178" s="319"/>
      <c r="L178" s="319"/>
      <c r="M178" s="319"/>
      <c r="N178" s="319"/>
      <c r="O178" s="319"/>
      <c r="P178" s="319"/>
      <c r="Q178" s="302"/>
    </row>
    <row r="179" spans="1:17" s="71" customFormat="1" ht="24.95" customHeight="1" x14ac:dyDescent="0.2">
      <c r="A179" s="599" t="s">
        <v>229</v>
      </c>
      <c r="B179" s="628" t="s">
        <v>751</v>
      </c>
      <c r="C179" s="604">
        <v>4</v>
      </c>
      <c r="D179" s="604">
        <v>1</v>
      </c>
      <c r="E179" s="604">
        <v>10</v>
      </c>
      <c r="F179" s="302">
        <f t="shared" ref="F179:F187" si="43">I179+J179+K179</f>
        <v>858</v>
      </c>
      <c r="G179" s="604">
        <v>70</v>
      </c>
      <c r="H179" s="320">
        <f t="shared" ref="H179:H187" si="44">C179*E179*G179</f>
        <v>2800</v>
      </c>
      <c r="I179" s="318">
        <f t="shared" ref="I179:I187" si="45">IF(G179&lt;70, C179*E179*16.5*1, C179*E179*16.5*1.3)</f>
        <v>858</v>
      </c>
      <c r="J179" s="319"/>
      <c r="K179" s="319"/>
      <c r="L179" s="319"/>
      <c r="M179" s="319"/>
      <c r="N179" s="319"/>
      <c r="O179" s="319"/>
      <c r="P179" s="319"/>
      <c r="Q179" s="302"/>
    </row>
    <row r="180" spans="1:17" s="71" customFormat="1" ht="24.95" customHeight="1" x14ac:dyDescent="0.2">
      <c r="A180" s="599" t="s">
        <v>230</v>
      </c>
      <c r="B180" s="628" t="s">
        <v>752</v>
      </c>
      <c r="C180" s="601">
        <v>3</v>
      </c>
      <c r="D180" s="601">
        <v>1</v>
      </c>
      <c r="E180" s="601">
        <v>4</v>
      </c>
      <c r="F180" s="302">
        <f t="shared" si="43"/>
        <v>257.40000000000003</v>
      </c>
      <c r="G180" s="601">
        <v>70</v>
      </c>
      <c r="H180" s="320">
        <f t="shared" si="44"/>
        <v>840</v>
      </c>
      <c r="I180" s="318">
        <f t="shared" si="45"/>
        <v>257.40000000000003</v>
      </c>
      <c r="J180" s="319"/>
      <c r="K180" s="319"/>
      <c r="L180" s="319"/>
      <c r="M180" s="319"/>
      <c r="N180" s="319"/>
      <c r="O180" s="319"/>
      <c r="P180" s="319"/>
      <c r="Q180" s="302"/>
    </row>
    <row r="181" spans="1:17" s="71" customFormat="1" ht="24.95" customHeight="1" x14ac:dyDescent="0.2">
      <c r="A181" s="599" t="s">
        <v>231</v>
      </c>
      <c r="B181" s="634" t="s">
        <v>449</v>
      </c>
      <c r="C181" s="601">
        <v>3</v>
      </c>
      <c r="D181" s="601">
        <v>1</v>
      </c>
      <c r="E181" s="601">
        <v>3</v>
      </c>
      <c r="F181" s="302">
        <f t="shared" si="43"/>
        <v>193.05</v>
      </c>
      <c r="G181" s="601">
        <v>70</v>
      </c>
      <c r="H181" s="320">
        <f t="shared" si="44"/>
        <v>630</v>
      </c>
      <c r="I181" s="318">
        <f t="shared" si="45"/>
        <v>193.05</v>
      </c>
      <c r="J181" s="319"/>
      <c r="K181" s="319"/>
      <c r="L181" s="319"/>
      <c r="M181" s="319"/>
      <c r="N181" s="319"/>
      <c r="O181" s="319"/>
      <c r="P181" s="319"/>
      <c r="Q181" s="302"/>
    </row>
    <row r="182" spans="1:17" s="71" customFormat="1" ht="24.95" customHeight="1" x14ac:dyDescent="0.2">
      <c r="A182" s="599" t="s">
        <v>232</v>
      </c>
      <c r="B182" s="634" t="s">
        <v>450</v>
      </c>
      <c r="C182" s="601">
        <v>4</v>
      </c>
      <c r="D182" s="601">
        <v>1</v>
      </c>
      <c r="E182" s="601">
        <v>3</v>
      </c>
      <c r="F182" s="302">
        <f t="shared" si="43"/>
        <v>257.40000000000003</v>
      </c>
      <c r="G182" s="601">
        <v>70</v>
      </c>
      <c r="H182" s="320">
        <f t="shared" si="44"/>
        <v>840</v>
      </c>
      <c r="I182" s="318">
        <f t="shared" si="45"/>
        <v>257.40000000000003</v>
      </c>
      <c r="J182" s="319"/>
      <c r="K182" s="319"/>
      <c r="L182" s="319"/>
      <c r="M182" s="319"/>
      <c r="N182" s="319"/>
      <c r="O182" s="319"/>
      <c r="P182" s="319"/>
      <c r="Q182" s="302"/>
    </row>
    <row r="183" spans="1:17" s="71" customFormat="1" ht="24.95" customHeight="1" x14ac:dyDescent="0.2">
      <c r="A183" s="599" t="s">
        <v>233</v>
      </c>
      <c r="B183" s="634" t="s">
        <v>451</v>
      </c>
      <c r="C183" s="601">
        <v>4</v>
      </c>
      <c r="D183" s="601">
        <v>1</v>
      </c>
      <c r="E183" s="601">
        <v>4</v>
      </c>
      <c r="F183" s="302">
        <f t="shared" si="43"/>
        <v>343.2</v>
      </c>
      <c r="G183" s="601">
        <v>70</v>
      </c>
      <c r="H183" s="320">
        <f t="shared" si="44"/>
        <v>1120</v>
      </c>
      <c r="I183" s="318">
        <f t="shared" si="45"/>
        <v>343.2</v>
      </c>
      <c r="J183" s="319"/>
      <c r="K183" s="319"/>
      <c r="L183" s="319"/>
      <c r="M183" s="319"/>
      <c r="N183" s="319"/>
      <c r="O183" s="319"/>
      <c r="P183" s="319"/>
      <c r="Q183" s="302"/>
    </row>
    <row r="184" spans="1:17" s="71" customFormat="1" ht="24.95" customHeight="1" x14ac:dyDescent="0.2">
      <c r="A184" s="599" t="s">
        <v>234</v>
      </c>
      <c r="B184" s="629" t="s">
        <v>452</v>
      </c>
      <c r="C184" s="601">
        <v>4</v>
      </c>
      <c r="D184" s="601">
        <v>1</v>
      </c>
      <c r="E184" s="601">
        <v>1</v>
      </c>
      <c r="F184" s="302">
        <f t="shared" si="43"/>
        <v>85.8</v>
      </c>
      <c r="G184" s="601">
        <v>70</v>
      </c>
      <c r="H184" s="320">
        <f t="shared" si="44"/>
        <v>280</v>
      </c>
      <c r="I184" s="318">
        <f t="shared" si="45"/>
        <v>85.8</v>
      </c>
      <c r="J184" s="319"/>
      <c r="K184" s="319"/>
      <c r="L184" s="319"/>
      <c r="M184" s="319"/>
      <c r="N184" s="319"/>
      <c r="O184" s="319"/>
      <c r="P184" s="319"/>
      <c r="Q184" s="302"/>
    </row>
    <row r="185" spans="1:17" s="71" customFormat="1" ht="24.95" customHeight="1" x14ac:dyDescent="0.2">
      <c r="A185" s="599" t="s">
        <v>753</v>
      </c>
      <c r="B185" s="629" t="s">
        <v>754</v>
      </c>
      <c r="C185" s="601">
        <v>2</v>
      </c>
      <c r="D185" s="601">
        <v>1</v>
      </c>
      <c r="E185" s="601">
        <v>4</v>
      </c>
      <c r="F185" s="302">
        <f t="shared" si="43"/>
        <v>171.6</v>
      </c>
      <c r="G185" s="601">
        <v>70</v>
      </c>
      <c r="H185" s="320">
        <f t="shared" si="44"/>
        <v>560</v>
      </c>
      <c r="I185" s="318">
        <f t="shared" si="45"/>
        <v>171.6</v>
      </c>
      <c r="J185" s="319"/>
      <c r="K185" s="319"/>
      <c r="L185" s="319"/>
      <c r="M185" s="319"/>
      <c r="N185" s="319"/>
      <c r="O185" s="319"/>
      <c r="P185" s="319"/>
      <c r="Q185" s="302"/>
    </row>
    <row r="186" spans="1:17" s="71" customFormat="1" ht="24.95" customHeight="1" x14ac:dyDescent="0.2">
      <c r="A186" s="599" t="s">
        <v>755</v>
      </c>
      <c r="B186" s="629" t="s">
        <v>756</v>
      </c>
      <c r="C186" s="601">
        <v>2</v>
      </c>
      <c r="D186" s="601">
        <v>1</v>
      </c>
      <c r="E186" s="601">
        <v>10</v>
      </c>
      <c r="F186" s="302">
        <f t="shared" si="43"/>
        <v>429</v>
      </c>
      <c r="G186" s="601">
        <v>70</v>
      </c>
      <c r="H186" s="320">
        <f t="shared" si="44"/>
        <v>1400</v>
      </c>
      <c r="I186" s="318">
        <f t="shared" si="45"/>
        <v>429</v>
      </c>
      <c r="J186" s="319"/>
      <c r="K186" s="319"/>
      <c r="L186" s="319"/>
      <c r="M186" s="319"/>
      <c r="N186" s="319"/>
      <c r="O186" s="319"/>
      <c r="P186" s="319"/>
      <c r="Q186" s="302"/>
    </row>
    <row r="187" spans="1:17" s="71" customFormat="1" ht="24.95" customHeight="1" x14ac:dyDescent="0.2">
      <c r="A187" s="599" t="s">
        <v>285</v>
      </c>
      <c r="B187" s="629" t="s">
        <v>453</v>
      </c>
      <c r="C187" s="601">
        <v>3</v>
      </c>
      <c r="D187" s="601">
        <v>1</v>
      </c>
      <c r="E187" s="601">
        <v>4</v>
      </c>
      <c r="F187" s="302">
        <f t="shared" si="43"/>
        <v>257.40000000000003</v>
      </c>
      <c r="G187" s="601">
        <v>70</v>
      </c>
      <c r="H187" s="320">
        <f t="shared" si="44"/>
        <v>840</v>
      </c>
      <c r="I187" s="318">
        <f t="shared" si="45"/>
        <v>257.40000000000003</v>
      </c>
      <c r="J187" s="319"/>
      <c r="K187" s="319"/>
      <c r="L187" s="319"/>
      <c r="M187" s="319"/>
      <c r="N187" s="319"/>
      <c r="O187" s="319"/>
      <c r="P187" s="319"/>
      <c r="Q187" s="302"/>
    </row>
    <row r="188" spans="1:17" s="71" customFormat="1" ht="24.95" customHeight="1" x14ac:dyDescent="0.2">
      <c r="A188" s="620"/>
      <c r="B188" s="621" t="s">
        <v>403</v>
      </c>
      <c r="C188" s="622">
        <f>SUM(C179:C187)</f>
        <v>29</v>
      </c>
      <c r="D188" s="622">
        <f t="shared" ref="D188:K188" si="46">SUM(D179:D187)</f>
        <v>9</v>
      </c>
      <c r="E188" s="622">
        <f t="shared" si="46"/>
        <v>43</v>
      </c>
      <c r="F188" s="622">
        <f t="shared" si="46"/>
        <v>2852.8500000000004</v>
      </c>
      <c r="G188" s="622">
        <f t="shared" si="46"/>
        <v>630</v>
      </c>
      <c r="H188" s="622">
        <f t="shared" si="46"/>
        <v>9310</v>
      </c>
      <c r="I188" s="622">
        <f>SUM(I179:I187)</f>
        <v>2852.8500000000004</v>
      </c>
      <c r="J188" s="622">
        <f t="shared" si="46"/>
        <v>0</v>
      </c>
      <c r="K188" s="622">
        <f t="shared" si="46"/>
        <v>0</v>
      </c>
      <c r="L188" s="319"/>
      <c r="M188" s="319"/>
      <c r="N188" s="319"/>
      <c r="O188" s="319"/>
      <c r="P188" s="319"/>
      <c r="Q188" s="302"/>
    </row>
    <row r="189" spans="1:17" s="71" customFormat="1" ht="24.95" customHeight="1" x14ac:dyDescent="0.2">
      <c r="A189" s="617" t="s">
        <v>150</v>
      </c>
      <c r="B189" s="618" t="s">
        <v>153</v>
      </c>
      <c r="C189" s="601"/>
      <c r="D189" s="601"/>
      <c r="E189" s="601"/>
      <c r="F189" s="320"/>
      <c r="G189" s="601"/>
      <c r="H189" s="320"/>
      <c r="I189" s="319"/>
      <c r="J189" s="319"/>
      <c r="K189" s="319"/>
      <c r="L189" s="319"/>
      <c r="M189" s="319"/>
      <c r="N189" s="319"/>
      <c r="O189" s="319"/>
      <c r="P189" s="319"/>
      <c r="Q189" s="302"/>
    </row>
    <row r="190" spans="1:17" s="71" customFormat="1" ht="24.95" customHeight="1" x14ac:dyDescent="0.2">
      <c r="A190" s="619" t="s">
        <v>235</v>
      </c>
      <c r="B190" s="599" t="s">
        <v>156</v>
      </c>
      <c r="C190" s="601"/>
      <c r="D190" s="601"/>
      <c r="E190" s="601"/>
      <c r="F190" s="320"/>
      <c r="G190" s="601"/>
      <c r="H190" s="320"/>
      <c r="I190" s="319"/>
      <c r="J190" s="319"/>
      <c r="K190" s="319"/>
      <c r="L190" s="319"/>
      <c r="M190" s="319"/>
      <c r="N190" s="319"/>
      <c r="O190" s="319"/>
      <c r="P190" s="319"/>
      <c r="Q190" s="302"/>
    </row>
    <row r="191" spans="1:17" s="71" customFormat="1" ht="24.95" customHeight="1" x14ac:dyDescent="0.2">
      <c r="A191" s="619" t="s">
        <v>236</v>
      </c>
      <c r="B191" s="599" t="s">
        <v>155</v>
      </c>
      <c r="C191" s="601"/>
      <c r="D191" s="601"/>
      <c r="E191" s="601"/>
      <c r="F191" s="320"/>
      <c r="G191" s="601"/>
      <c r="H191" s="320"/>
      <c r="I191" s="319"/>
      <c r="J191" s="319"/>
      <c r="K191" s="319"/>
      <c r="L191" s="319"/>
      <c r="M191" s="319"/>
      <c r="N191" s="319"/>
      <c r="O191" s="319"/>
      <c r="P191" s="319"/>
      <c r="Q191" s="302"/>
    </row>
    <row r="192" spans="1:17" s="71" customFormat="1" ht="24.95" customHeight="1" x14ac:dyDescent="0.2">
      <c r="A192" s="619" t="s">
        <v>237</v>
      </c>
      <c r="B192" s="599" t="s">
        <v>157</v>
      </c>
      <c r="C192" s="601"/>
      <c r="D192" s="601"/>
      <c r="E192" s="601"/>
      <c r="F192" s="320"/>
      <c r="G192" s="601"/>
      <c r="H192" s="320"/>
      <c r="I192" s="319"/>
      <c r="J192" s="319"/>
      <c r="K192" s="319"/>
      <c r="L192" s="319"/>
      <c r="M192" s="319"/>
      <c r="N192" s="319"/>
      <c r="O192" s="319"/>
      <c r="P192" s="319"/>
      <c r="Q192" s="302"/>
    </row>
    <row r="193" spans="1:17" s="71" customFormat="1" ht="24.95" customHeight="1" x14ac:dyDescent="0.2">
      <c r="A193" s="619" t="s">
        <v>238</v>
      </c>
      <c r="B193" s="599" t="s">
        <v>158</v>
      </c>
      <c r="C193" s="601"/>
      <c r="D193" s="601"/>
      <c r="E193" s="601"/>
      <c r="F193" s="320"/>
      <c r="G193" s="601"/>
      <c r="H193" s="320"/>
      <c r="I193" s="319"/>
      <c r="J193" s="319"/>
      <c r="K193" s="319"/>
      <c r="L193" s="319"/>
      <c r="M193" s="319"/>
      <c r="N193" s="319"/>
      <c r="O193" s="319"/>
      <c r="P193" s="319"/>
      <c r="Q193" s="302"/>
    </row>
    <row r="194" spans="1:17" s="71" customFormat="1" ht="24.95" customHeight="1" x14ac:dyDescent="0.2">
      <c r="A194" s="619" t="s">
        <v>239</v>
      </c>
      <c r="B194" s="599" t="s">
        <v>159</v>
      </c>
      <c r="C194" s="601"/>
      <c r="D194" s="601"/>
      <c r="E194" s="601"/>
      <c r="F194" s="320"/>
      <c r="G194" s="601"/>
      <c r="H194" s="320"/>
      <c r="I194" s="319"/>
      <c r="J194" s="319"/>
      <c r="K194" s="319"/>
      <c r="L194" s="319"/>
      <c r="M194" s="319"/>
      <c r="N194" s="319"/>
      <c r="O194" s="319"/>
      <c r="P194" s="319"/>
      <c r="Q194" s="302"/>
    </row>
    <row r="195" spans="1:17" s="71" customFormat="1" ht="24.95" customHeight="1" x14ac:dyDescent="0.2">
      <c r="A195" s="669">
        <v>2</v>
      </c>
      <c r="B195" s="669" t="s">
        <v>166</v>
      </c>
      <c r="C195" s="601"/>
      <c r="D195" s="601"/>
      <c r="E195" s="601"/>
      <c r="F195" s="320"/>
      <c r="G195" s="601"/>
      <c r="H195" s="320"/>
      <c r="I195" s="319"/>
      <c r="J195" s="319"/>
      <c r="K195" s="319"/>
      <c r="L195" s="319"/>
      <c r="M195" s="319"/>
      <c r="N195" s="319"/>
      <c r="O195" s="319"/>
      <c r="P195" s="319"/>
      <c r="Q195" s="302"/>
    </row>
    <row r="196" spans="1:17" s="71" customFormat="1" ht="24.95" customHeight="1" x14ac:dyDescent="0.2">
      <c r="A196" s="626" t="s">
        <v>149</v>
      </c>
      <c r="B196" s="627" t="s">
        <v>167</v>
      </c>
      <c r="C196" s="601"/>
      <c r="D196" s="601"/>
      <c r="E196" s="601"/>
      <c r="F196" s="302"/>
      <c r="G196" s="601"/>
      <c r="H196" s="320"/>
      <c r="I196" s="318"/>
      <c r="J196" s="319"/>
      <c r="K196" s="319"/>
      <c r="L196" s="319"/>
      <c r="M196" s="319"/>
      <c r="N196" s="319"/>
      <c r="O196" s="319"/>
      <c r="P196" s="319"/>
      <c r="Q196" s="302"/>
    </row>
    <row r="197" spans="1:17" s="71" customFormat="1" ht="24.95" customHeight="1" x14ac:dyDescent="0.2">
      <c r="A197" s="599" t="s">
        <v>229</v>
      </c>
      <c r="B197" s="634" t="s">
        <v>456</v>
      </c>
      <c r="C197" s="601">
        <v>3</v>
      </c>
      <c r="D197" s="601">
        <v>1</v>
      </c>
      <c r="E197" s="601">
        <v>3</v>
      </c>
      <c r="F197" s="302">
        <f>(I197+J197+K197)</f>
        <v>103.94999999999999</v>
      </c>
      <c r="G197" s="601">
        <v>25</v>
      </c>
      <c r="H197" s="320">
        <f>C197*E197*G197</f>
        <v>225</v>
      </c>
      <c r="I197" s="318">
        <f t="shared" ref="I197:I200" si="47">C197*E197*16.5*0.7</f>
        <v>103.94999999999999</v>
      </c>
      <c r="J197" s="319"/>
      <c r="K197" s="319"/>
      <c r="L197" s="319"/>
      <c r="M197" s="319"/>
      <c r="N197" s="319"/>
      <c r="O197" s="319"/>
      <c r="P197" s="319"/>
      <c r="Q197" s="302"/>
    </row>
    <row r="198" spans="1:17" s="71" customFormat="1" ht="24.95" customHeight="1" x14ac:dyDescent="0.2">
      <c r="A198" s="599" t="s">
        <v>230</v>
      </c>
      <c r="B198" s="634" t="s">
        <v>457</v>
      </c>
      <c r="C198" s="601">
        <v>3</v>
      </c>
      <c r="D198" s="601">
        <v>1</v>
      </c>
      <c r="E198" s="601">
        <v>1</v>
      </c>
      <c r="F198" s="302">
        <f t="shared" ref="F198:F200" si="48">(I198+J198+K198)</f>
        <v>34.65</v>
      </c>
      <c r="G198" s="601">
        <v>15</v>
      </c>
      <c r="H198" s="320">
        <f t="shared" ref="H198:H200" si="49">C198*E198*G198</f>
        <v>45</v>
      </c>
      <c r="I198" s="318">
        <f t="shared" si="47"/>
        <v>34.65</v>
      </c>
      <c r="J198" s="319"/>
      <c r="K198" s="319"/>
      <c r="L198" s="319"/>
      <c r="M198" s="319"/>
      <c r="N198" s="319"/>
      <c r="O198" s="319"/>
      <c r="P198" s="319"/>
      <c r="Q198" s="302"/>
    </row>
    <row r="199" spans="1:17" s="71" customFormat="1" ht="24.95" customHeight="1" x14ac:dyDescent="0.2">
      <c r="A199" s="599"/>
      <c r="B199" s="634" t="s">
        <v>757</v>
      </c>
      <c r="C199" s="601">
        <v>3</v>
      </c>
      <c r="D199" s="601">
        <v>1</v>
      </c>
      <c r="E199" s="601">
        <v>1</v>
      </c>
      <c r="F199" s="302">
        <f t="shared" si="48"/>
        <v>34.65</v>
      </c>
      <c r="G199" s="601">
        <v>15</v>
      </c>
      <c r="H199" s="320">
        <f t="shared" si="49"/>
        <v>45</v>
      </c>
      <c r="I199" s="318">
        <f t="shared" si="47"/>
        <v>34.65</v>
      </c>
      <c r="J199" s="319"/>
      <c r="K199" s="319"/>
      <c r="L199" s="319"/>
      <c r="M199" s="319"/>
      <c r="N199" s="319"/>
      <c r="O199" s="319"/>
      <c r="P199" s="319"/>
      <c r="Q199" s="302"/>
    </row>
    <row r="200" spans="1:17" s="71" customFormat="1" ht="24.95" customHeight="1" x14ac:dyDescent="0.2">
      <c r="A200" s="599" t="s">
        <v>231</v>
      </c>
      <c r="B200" s="628" t="s">
        <v>458</v>
      </c>
      <c r="C200" s="601">
        <v>3</v>
      </c>
      <c r="D200" s="601">
        <v>1</v>
      </c>
      <c r="E200" s="601">
        <v>3</v>
      </c>
      <c r="F200" s="302">
        <f t="shared" si="48"/>
        <v>103.94999999999999</v>
      </c>
      <c r="G200" s="601">
        <v>25</v>
      </c>
      <c r="H200" s="320">
        <f t="shared" si="49"/>
        <v>225</v>
      </c>
      <c r="I200" s="318">
        <f t="shared" si="47"/>
        <v>103.94999999999999</v>
      </c>
      <c r="J200" s="319"/>
      <c r="K200" s="319"/>
      <c r="L200" s="319"/>
      <c r="M200" s="319"/>
      <c r="N200" s="319"/>
      <c r="O200" s="319"/>
      <c r="P200" s="319"/>
      <c r="Q200" s="302"/>
    </row>
    <row r="201" spans="1:17" s="71" customFormat="1" ht="24.95" customHeight="1" x14ac:dyDescent="0.2">
      <c r="A201" s="617" t="s">
        <v>150</v>
      </c>
      <c r="B201" s="618" t="s">
        <v>758</v>
      </c>
      <c r="C201" s="601"/>
      <c r="D201" s="601"/>
      <c r="E201" s="601"/>
      <c r="F201" s="320"/>
      <c r="G201" s="601"/>
      <c r="H201" s="320"/>
      <c r="I201" s="319"/>
      <c r="J201" s="319"/>
      <c r="K201" s="319"/>
      <c r="L201" s="319"/>
      <c r="M201" s="319"/>
      <c r="N201" s="319"/>
      <c r="O201" s="319"/>
      <c r="P201" s="319"/>
      <c r="Q201" s="302"/>
    </row>
    <row r="202" spans="1:17" s="71" customFormat="1" ht="24.95" customHeight="1" x14ac:dyDescent="0.2">
      <c r="A202" s="669">
        <v>3</v>
      </c>
      <c r="B202" s="669" t="s">
        <v>168</v>
      </c>
      <c r="C202" s="601"/>
      <c r="D202" s="601"/>
      <c r="E202" s="601"/>
      <c r="F202" s="320"/>
      <c r="G202" s="601"/>
      <c r="H202" s="320"/>
      <c r="I202" s="319"/>
      <c r="J202" s="319"/>
      <c r="K202" s="319"/>
      <c r="L202" s="319"/>
      <c r="M202" s="319"/>
      <c r="N202" s="319"/>
      <c r="O202" s="319"/>
      <c r="P202" s="319"/>
      <c r="Q202" s="302"/>
    </row>
    <row r="203" spans="1:17" s="71" customFormat="1" ht="24.95" customHeight="1" x14ac:dyDescent="0.2">
      <c r="A203" s="626" t="s">
        <v>149</v>
      </c>
      <c r="B203" s="627" t="s">
        <v>169</v>
      </c>
      <c r="C203" s="601"/>
      <c r="D203" s="601"/>
      <c r="E203" s="601"/>
      <c r="F203" s="320"/>
      <c r="G203" s="601"/>
      <c r="H203" s="320"/>
      <c r="I203" s="319"/>
      <c r="J203" s="319"/>
      <c r="K203" s="319"/>
      <c r="L203" s="319"/>
      <c r="M203" s="319"/>
      <c r="N203" s="319"/>
      <c r="O203" s="319"/>
      <c r="P203" s="319"/>
      <c r="Q203" s="302"/>
    </row>
    <row r="204" spans="1:17" s="71" customFormat="1" ht="24.95" customHeight="1" x14ac:dyDescent="0.2">
      <c r="A204" s="617" t="s">
        <v>150</v>
      </c>
      <c r="B204" s="618" t="s">
        <v>170</v>
      </c>
      <c r="C204" s="601"/>
      <c r="D204" s="601"/>
      <c r="E204" s="601"/>
      <c r="F204" s="320"/>
      <c r="G204" s="601"/>
      <c r="H204" s="596"/>
      <c r="I204" s="596"/>
      <c r="J204" s="319"/>
      <c r="K204" s="319"/>
      <c r="L204" s="319"/>
      <c r="M204" s="319"/>
      <c r="N204" s="319"/>
      <c r="O204" s="319"/>
      <c r="P204" s="319"/>
      <c r="Q204" s="302"/>
    </row>
    <row r="205" spans="1:17" s="71" customFormat="1" ht="24.95" customHeight="1" x14ac:dyDescent="0.2">
      <c r="A205" s="617" t="s">
        <v>171</v>
      </c>
      <c r="B205" s="618" t="s">
        <v>172</v>
      </c>
      <c r="C205" s="601"/>
      <c r="D205" s="601"/>
      <c r="E205" s="601"/>
      <c r="F205" s="320"/>
      <c r="G205" s="601"/>
      <c r="H205" s="320"/>
      <c r="I205" s="319"/>
      <c r="J205" s="319"/>
      <c r="K205" s="319"/>
      <c r="L205" s="319"/>
      <c r="M205" s="319"/>
      <c r="N205" s="319"/>
      <c r="O205" s="319"/>
      <c r="P205" s="319"/>
      <c r="Q205" s="302"/>
    </row>
    <row r="206" spans="1:17" s="71" customFormat="1" ht="24.95" customHeight="1" x14ac:dyDescent="0.2">
      <c r="A206" s="620"/>
      <c r="B206" s="621" t="s">
        <v>461</v>
      </c>
      <c r="C206" s="622">
        <f>SUM(C197:C205)</f>
        <v>12</v>
      </c>
      <c r="D206" s="622">
        <f t="shared" ref="D206:K206" si="50">SUM(D197:D205)</f>
        <v>4</v>
      </c>
      <c r="E206" s="622">
        <f t="shared" si="50"/>
        <v>8</v>
      </c>
      <c r="F206" s="622">
        <f t="shared" si="50"/>
        <v>277.2</v>
      </c>
      <c r="G206" s="622">
        <f t="shared" si="50"/>
        <v>80</v>
      </c>
      <c r="H206" s="622">
        <f t="shared" si="50"/>
        <v>540</v>
      </c>
      <c r="I206" s="622">
        <f t="shared" si="50"/>
        <v>277.2</v>
      </c>
      <c r="J206" s="622">
        <f t="shared" si="50"/>
        <v>0</v>
      </c>
      <c r="K206" s="622">
        <f t="shared" si="50"/>
        <v>0</v>
      </c>
      <c r="L206" s="319"/>
      <c r="M206" s="319"/>
      <c r="N206" s="319"/>
      <c r="O206" s="319"/>
      <c r="P206" s="319"/>
      <c r="Q206" s="302"/>
    </row>
    <row r="207" spans="1:17" s="71" customFormat="1" ht="24.95" customHeight="1" x14ac:dyDescent="0.2">
      <c r="A207" s="669" t="s">
        <v>8</v>
      </c>
      <c r="B207" s="669" t="s">
        <v>227</v>
      </c>
      <c r="C207" s="601"/>
      <c r="D207" s="601"/>
      <c r="E207" s="601"/>
      <c r="F207" s="320"/>
      <c r="G207" s="601"/>
      <c r="H207" s="320"/>
      <c r="I207" s="319"/>
      <c r="J207" s="319"/>
      <c r="K207" s="319"/>
      <c r="L207" s="319"/>
      <c r="M207" s="319"/>
      <c r="N207" s="319"/>
      <c r="O207" s="319"/>
      <c r="P207" s="319"/>
      <c r="Q207" s="302"/>
    </row>
    <row r="208" spans="1:17" s="71" customFormat="1" ht="24.95" customHeight="1" x14ac:dyDescent="0.2">
      <c r="A208" s="669">
        <v>1</v>
      </c>
      <c r="B208" s="627" t="s">
        <v>228</v>
      </c>
      <c r="C208" s="601"/>
      <c r="D208" s="601"/>
      <c r="E208" s="601"/>
      <c r="F208" s="302"/>
      <c r="G208" s="601"/>
      <c r="H208" s="320"/>
      <c r="I208" s="318"/>
      <c r="J208" s="319"/>
      <c r="K208" s="319"/>
      <c r="L208" s="319"/>
      <c r="M208" s="319"/>
      <c r="N208" s="319"/>
      <c r="O208" s="319"/>
      <c r="P208" s="319"/>
      <c r="Q208" s="302"/>
    </row>
    <row r="209" spans="1:17" s="71" customFormat="1" ht="24.95" customHeight="1" x14ac:dyDescent="0.2">
      <c r="A209" s="669" t="s">
        <v>149</v>
      </c>
      <c r="B209" s="627" t="s">
        <v>165</v>
      </c>
      <c r="C209" s="601"/>
      <c r="D209" s="601"/>
      <c r="E209" s="601"/>
      <c r="F209" s="302"/>
      <c r="G209" s="601"/>
      <c r="H209" s="320"/>
      <c r="I209" s="318"/>
      <c r="J209" s="319"/>
      <c r="K209" s="319"/>
      <c r="L209" s="319"/>
      <c r="M209" s="319"/>
      <c r="N209" s="319"/>
      <c r="O209" s="319"/>
      <c r="P209" s="319"/>
      <c r="Q209" s="302"/>
    </row>
    <row r="210" spans="1:17" s="71" customFormat="1" ht="24.95" customHeight="1" x14ac:dyDescent="0.2">
      <c r="A210" s="619" t="s">
        <v>229</v>
      </c>
      <c r="B210" s="634" t="s">
        <v>759</v>
      </c>
      <c r="C210" s="601">
        <v>5</v>
      </c>
      <c r="D210" s="601">
        <v>1</v>
      </c>
      <c r="E210" s="601">
        <v>16</v>
      </c>
      <c r="F210" s="302">
        <f>(I210+J210+K210)</f>
        <v>1320</v>
      </c>
      <c r="G210" s="601">
        <v>60</v>
      </c>
      <c r="H210" s="320">
        <f>C210*E210*G210</f>
        <v>4800</v>
      </c>
      <c r="I210" s="318">
        <f t="shared" ref="I210:I215" si="51">IF(G210&lt;70, C210*E210*16.5*1, C210*E210*16.5*1.3)</f>
        <v>1320</v>
      </c>
      <c r="J210" s="319"/>
      <c r="K210" s="319"/>
      <c r="L210" s="319"/>
      <c r="M210" s="319"/>
      <c r="N210" s="319"/>
      <c r="O210" s="319"/>
      <c r="P210" s="319"/>
      <c r="Q210" s="302"/>
    </row>
    <row r="211" spans="1:17" s="71" customFormat="1" ht="24.95" customHeight="1" x14ac:dyDescent="0.2">
      <c r="A211" s="619" t="s">
        <v>230</v>
      </c>
      <c r="B211" s="634" t="s">
        <v>459</v>
      </c>
      <c r="C211" s="601">
        <v>5</v>
      </c>
      <c r="D211" s="601">
        <v>1</v>
      </c>
      <c r="E211" s="601">
        <v>7</v>
      </c>
      <c r="F211" s="302">
        <f t="shared" ref="F211:F215" si="52">I211+J211+K211</f>
        <v>577.5</v>
      </c>
      <c r="G211" s="601">
        <v>60</v>
      </c>
      <c r="H211" s="320">
        <f t="shared" ref="H211:H215" si="53">C211*E211*G211</f>
        <v>2100</v>
      </c>
      <c r="I211" s="318">
        <f t="shared" si="51"/>
        <v>577.5</v>
      </c>
      <c r="J211" s="319"/>
      <c r="K211" s="319"/>
      <c r="L211" s="319"/>
      <c r="M211" s="319"/>
      <c r="N211" s="319"/>
      <c r="O211" s="319"/>
      <c r="P211" s="319"/>
      <c r="Q211" s="302"/>
    </row>
    <row r="212" spans="1:17" s="71" customFormat="1" ht="24.95" customHeight="1" x14ac:dyDescent="0.2">
      <c r="A212" s="619" t="s">
        <v>231</v>
      </c>
      <c r="B212" s="634" t="s">
        <v>448</v>
      </c>
      <c r="C212" s="601">
        <v>3</v>
      </c>
      <c r="D212" s="601">
        <v>1</v>
      </c>
      <c r="E212" s="601">
        <v>16</v>
      </c>
      <c r="F212" s="302">
        <f t="shared" si="52"/>
        <v>792</v>
      </c>
      <c r="G212" s="601">
        <v>60</v>
      </c>
      <c r="H212" s="320">
        <f t="shared" si="53"/>
        <v>2880</v>
      </c>
      <c r="I212" s="318">
        <f t="shared" si="51"/>
        <v>792</v>
      </c>
      <c r="J212" s="319"/>
      <c r="K212" s="319"/>
      <c r="L212" s="319"/>
      <c r="M212" s="319"/>
      <c r="N212" s="319"/>
      <c r="O212" s="319"/>
      <c r="P212" s="319"/>
      <c r="Q212" s="302"/>
    </row>
    <row r="213" spans="1:17" s="71" customFormat="1" ht="24.95" customHeight="1" x14ac:dyDescent="0.2">
      <c r="A213" s="619" t="s">
        <v>232</v>
      </c>
      <c r="B213" s="634" t="s">
        <v>460</v>
      </c>
      <c r="C213" s="601">
        <v>3</v>
      </c>
      <c r="D213" s="601">
        <v>1</v>
      </c>
      <c r="E213" s="601">
        <v>7</v>
      </c>
      <c r="F213" s="302">
        <f t="shared" si="52"/>
        <v>346.5</v>
      </c>
      <c r="G213" s="601">
        <v>60</v>
      </c>
      <c r="H213" s="320">
        <f t="shared" si="53"/>
        <v>1260</v>
      </c>
      <c r="I213" s="318">
        <f t="shared" si="51"/>
        <v>346.5</v>
      </c>
      <c r="J213" s="319"/>
      <c r="K213" s="319"/>
      <c r="L213" s="319"/>
      <c r="M213" s="319"/>
      <c r="N213" s="319"/>
      <c r="O213" s="319"/>
      <c r="P213" s="319"/>
      <c r="Q213" s="302"/>
    </row>
    <row r="214" spans="1:17" s="71" customFormat="1" ht="24.95" customHeight="1" x14ac:dyDescent="0.2">
      <c r="A214" s="619" t="s">
        <v>233</v>
      </c>
      <c r="B214" s="634" t="s">
        <v>531</v>
      </c>
      <c r="C214" s="382">
        <v>5</v>
      </c>
      <c r="D214" s="382">
        <v>1</v>
      </c>
      <c r="E214" s="382">
        <v>7</v>
      </c>
      <c r="F214" s="302">
        <f t="shared" si="52"/>
        <v>577.5</v>
      </c>
      <c r="G214" s="382">
        <v>50</v>
      </c>
      <c r="H214" s="320">
        <f t="shared" si="53"/>
        <v>1750</v>
      </c>
      <c r="I214" s="318">
        <f t="shared" si="51"/>
        <v>577.5</v>
      </c>
      <c r="J214" s="319"/>
      <c r="K214" s="319"/>
      <c r="L214" s="319"/>
      <c r="M214" s="319"/>
      <c r="N214" s="319"/>
      <c r="O214" s="319"/>
      <c r="P214" s="319"/>
      <c r="Q214" s="302"/>
    </row>
    <row r="215" spans="1:17" s="563" customFormat="1" ht="24.95" customHeight="1" x14ac:dyDescent="0.2">
      <c r="A215" s="635" t="s">
        <v>234</v>
      </c>
      <c r="B215" s="636" t="s">
        <v>532</v>
      </c>
      <c r="C215" s="637">
        <v>5</v>
      </c>
      <c r="D215" s="637">
        <v>1</v>
      </c>
      <c r="E215" s="637">
        <v>16</v>
      </c>
      <c r="F215" s="638">
        <f t="shared" si="52"/>
        <v>1320</v>
      </c>
      <c r="G215" s="637">
        <v>50</v>
      </c>
      <c r="H215" s="674">
        <f t="shared" si="53"/>
        <v>4000</v>
      </c>
      <c r="I215" s="675">
        <f t="shared" si="51"/>
        <v>1320</v>
      </c>
      <c r="J215" s="569"/>
      <c r="K215" s="570"/>
      <c r="L215" s="570"/>
      <c r="M215" s="570"/>
      <c r="N215" s="676"/>
      <c r="O215" s="570"/>
      <c r="P215" s="570"/>
      <c r="Q215" s="638"/>
    </row>
    <row r="216" spans="1:17" s="563" customFormat="1" ht="24.95" customHeight="1" x14ac:dyDescent="0.2">
      <c r="A216" s="620"/>
      <c r="B216" s="621" t="s">
        <v>403</v>
      </c>
      <c r="C216" s="622">
        <f t="shared" ref="C216:D216" si="54">SUM(C210:C215)</f>
        <v>26</v>
      </c>
      <c r="D216" s="622">
        <f t="shared" si="54"/>
        <v>6</v>
      </c>
      <c r="E216" s="622">
        <f>SUM(E210:E215)</f>
        <v>69</v>
      </c>
      <c r="F216" s="622">
        <f t="shared" ref="F216:K216" si="55">SUM(F210:F215)</f>
        <v>4933.5</v>
      </c>
      <c r="G216" s="622">
        <f t="shared" si="55"/>
        <v>340</v>
      </c>
      <c r="H216" s="622">
        <f t="shared" si="55"/>
        <v>16790</v>
      </c>
      <c r="I216" s="622">
        <f t="shared" si="55"/>
        <v>4933.5</v>
      </c>
      <c r="J216" s="622">
        <f t="shared" si="55"/>
        <v>0</v>
      </c>
      <c r="K216" s="622">
        <f t="shared" si="55"/>
        <v>0</v>
      </c>
      <c r="L216" s="642"/>
      <c r="M216" s="642"/>
      <c r="N216" s="646"/>
      <c r="O216" s="642"/>
      <c r="P216" s="642"/>
      <c r="Q216" s="643"/>
    </row>
    <row r="217" spans="1:17" s="71" customFormat="1" ht="24.95" customHeight="1" x14ac:dyDescent="0.2">
      <c r="A217" s="671"/>
      <c r="B217" s="677" t="s">
        <v>462</v>
      </c>
      <c r="C217" s="539">
        <f>C188+C206+C216</f>
        <v>67</v>
      </c>
      <c r="D217" s="539">
        <f t="shared" ref="D217:K217" si="56">D188+D206+D216</f>
        <v>19</v>
      </c>
      <c r="E217" s="539">
        <f t="shared" si="56"/>
        <v>120</v>
      </c>
      <c r="F217" s="539">
        <f t="shared" si="56"/>
        <v>8063.55</v>
      </c>
      <c r="G217" s="539">
        <f t="shared" si="56"/>
        <v>1050</v>
      </c>
      <c r="H217" s="539">
        <f t="shared" si="56"/>
        <v>26640</v>
      </c>
      <c r="I217" s="539">
        <f t="shared" si="56"/>
        <v>8063.55</v>
      </c>
      <c r="J217" s="539">
        <f t="shared" si="56"/>
        <v>0</v>
      </c>
      <c r="K217" s="539">
        <f t="shared" si="56"/>
        <v>0</v>
      </c>
      <c r="L217" s="542">
        <f>'Bieu3 GDH'!F21</f>
        <v>1350</v>
      </c>
      <c r="M217" s="542">
        <f>'Bieu3 GDH'!N21</f>
        <v>1120.5</v>
      </c>
      <c r="N217" s="539">
        <f>I217-M217</f>
        <v>6943.05</v>
      </c>
      <c r="O217" s="542">
        <f>'Bieu3 GDH'!O21</f>
        <v>1065.25</v>
      </c>
      <c r="P217" s="542">
        <f>'Bieu3 GDH'!P21</f>
        <v>427</v>
      </c>
      <c r="Q217" s="678" t="s">
        <v>770</v>
      </c>
    </row>
    <row r="218" spans="1:17" s="71" customFormat="1" ht="24.95" customHeight="1" x14ac:dyDescent="0.2">
      <c r="A218" s="591" t="s">
        <v>6</v>
      </c>
      <c r="B218" s="891" t="s">
        <v>506</v>
      </c>
      <c r="C218" s="592"/>
      <c r="D218" s="592"/>
      <c r="E218" s="592"/>
      <c r="F218" s="593"/>
      <c r="G218" s="592"/>
      <c r="H218" s="592"/>
      <c r="I218" s="592"/>
      <c r="J218" s="592"/>
      <c r="K218" s="324"/>
      <c r="L218" s="321"/>
      <c r="M218" s="322"/>
      <c r="N218" s="322"/>
      <c r="O218" s="322"/>
      <c r="P218" s="322"/>
      <c r="Q218" s="322"/>
    </row>
    <row r="219" spans="1:17" s="71" customFormat="1" ht="24.95" customHeight="1" x14ac:dyDescent="0.2">
      <c r="A219" s="591" t="s">
        <v>7</v>
      </c>
      <c r="B219" s="591" t="s">
        <v>226</v>
      </c>
      <c r="C219" s="592"/>
      <c r="D219" s="592"/>
      <c r="E219" s="592"/>
      <c r="F219" s="593"/>
      <c r="G219" s="592"/>
      <c r="H219" s="592"/>
      <c r="I219" s="592"/>
      <c r="J219" s="592"/>
      <c r="K219" s="324"/>
      <c r="L219" s="321"/>
      <c r="M219" s="322"/>
      <c r="N219" s="322"/>
      <c r="O219" s="322"/>
      <c r="P219" s="322"/>
      <c r="Q219" s="322"/>
    </row>
    <row r="220" spans="1:17" s="71" customFormat="1" ht="24.95" customHeight="1" x14ac:dyDescent="0.2">
      <c r="A220" s="591">
        <v>1</v>
      </c>
      <c r="B220" s="591" t="s">
        <v>4</v>
      </c>
      <c r="C220" s="592"/>
      <c r="D220" s="592"/>
      <c r="E220" s="592"/>
      <c r="F220" s="593"/>
      <c r="G220" s="592"/>
      <c r="H220" s="592"/>
      <c r="I220" s="592"/>
      <c r="J220" s="592"/>
      <c r="K220" s="324"/>
      <c r="L220" s="321"/>
      <c r="M220" s="322"/>
      <c r="N220" s="322"/>
      <c r="O220" s="322"/>
      <c r="P220" s="322"/>
      <c r="Q220" s="322"/>
    </row>
    <row r="221" spans="1:17" s="71" customFormat="1" ht="24.95" customHeight="1" x14ac:dyDescent="0.2">
      <c r="A221" s="594" t="s">
        <v>149</v>
      </c>
      <c r="B221" s="595" t="s">
        <v>163</v>
      </c>
      <c r="C221" s="596"/>
      <c r="D221" s="596"/>
      <c r="E221" s="596"/>
      <c r="F221" s="320"/>
      <c r="G221" s="596"/>
      <c r="H221" s="596"/>
      <c r="I221" s="597"/>
      <c r="J221" s="597"/>
      <c r="K221" s="324"/>
      <c r="L221" s="321"/>
      <c r="M221" s="322"/>
      <c r="N221" s="322"/>
      <c r="O221" s="322"/>
      <c r="P221" s="322"/>
      <c r="Q221" s="322"/>
    </row>
    <row r="222" spans="1:17" s="71" customFormat="1" ht="24.95" customHeight="1" x14ac:dyDescent="0.2">
      <c r="A222" s="525" t="s">
        <v>229</v>
      </c>
      <c r="B222" s="600" t="s">
        <v>463</v>
      </c>
      <c r="C222" s="601">
        <v>2</v>
      </c>
      <c r="D222" s="602">
        <v>1</v>
      </c>
      <c r="E222" s="601">
        <v>1</v>
      </c>
      <c r="F222" s="302">
        <f t="shared" ref="F222:F229" si="57">I222+J222+K222</f>
        <v>33</v>
      </c>
      <c r="G222" s="601">
        <v>40</v>
      </c>
      <c r="H222" s="320">
        <f>C222*E222*G222</f>
        <v>80</v>
      </c>
      <c r="I222" s="318">
        <f t="shared" ref="I222:I229" si="58">IF(G222&lt;70, C222*E222*16.5*1, C222*E222*16.5*1.3)</f>
        <v>33</v>
      </c>
      <c r="J222" s="679"/>
      <c r="K222" s="655"/>
      <c r="L222" s="321"/>
      <c r="M222" s="322"/>
      <c r="N222" s="322"/>
      <c r="O222" s="322"/>
      <c r="P222" s="322"/>
      <c r="Q222" s="322"/>
    </row>
    <row r="223" spans="1:17" s="71" customFormat="1" ht="24.95" customHeight="1" x14ac:dyDescent="0.2">
      <c r="A223" s="525" t="s">
        <v>230</v>
      </c>
      <c r="B223" s="680" t="s">
        <v>464</v>
      </c>
      <c r="C223" s="601">
        <v>3</v>
      </c>
      <c r="D223" s="601">
        <v>1</v>
      </c>
      <c r="E223" s="601">
        <v>1</v>
      </c>
      <c r="F223" s="302">
        <f t="shared" si="57"/>
        <v>49.5</v>
      </c>
      <c r="G223" s="601">
        <v>20</v>
      </c>
      <c r="H223" s="320">
        <f t="shared" ref="H223:H229" si="59">C223*E223*G223</f>
        <v>60</v>
      </c>
      <c r="I223" s="318">
        <f t="shared" si="58"/>
        <v>49.5</v>
      </c>
      <c r="J223" s="679"/>
      <c r="K223" s="655"/>
      <c r="L223" s="321"/>
      <c r="M223" s="322"/>
      <c r="N223" s="322"/>
      <c r="O223" s="322"/>
      <c r="P223" s="322"/>
      <c r="Q223" s="322"/>
    </row>
    <row r="224" spans="1:17" s="71" customFormat="1" ht="24.95" customHeight="1" x14ac:dyDescent="0.2">
      <c r="A224" s="525" t="s">
        <v>231</v>
      </c>
      <c r="B224" s="628" t="s">
        <v>465</v>
      </c>
      <c r="C224" s="601">
        <v>2</v>
      </c>
      <c r="D224" s="601">
        <v>1</v>
      </c>
      <c r="E224" s="601">
        <v>3</v>
      </c>
      <c r="F224" s="302">
        <f t="shared" si="57"/>
        <v>128.70000000000002</v>
      </c>
      <c r="G224" s="601">
        <v>80</v>
      </c>
      <c r="H224" s="320">
        <f t="shared" si="59"/>
        <v>480</v>
      </c>
      <c r="I224" s="318">
        <f t="shared" si="58"/>
        <v>128.70000000000002</v>
      </c>
      <c r="J224" s="526"/>
      <c r="K224" s="655"/>
      <c r="L224" s="321"/>
      <c r="M224" s="322"/>
      <c r="N224" s="322"/>
      <c r="O224" s="322"/>
      <c r="P224" s="322"/>
      <c r="Q224" s="322"/>
    </row>
    <row r="225" spans="1:17" s="71" customFormat="1" ht="24.95" customHeight="1" x14ac:dyDescent="0.2">
      <c r="A225" s="525" t="s">
        <v>232</v>
      </c>
      <c r="B225" s="600" t="s">
        <v>466</v>
      </c>
      <c r="C225" s="601">
        <v>3</v>
      </c>
      <c r="D225" s="601">
        <v>1</v>
      </c>
      <c r="E225" s="601">
        <v>1</v>
      </c>
      <c r="F225" s="302">
        <f t="shared" si="57"/>
        <v>64.350000000000009</v>
      </c>
      <c r="G225" s="601">
        <v>80</v>
      </c>
      <c r="H225" s="320">
        <f t="shared" si="59"/>
        <v>240</v>
      </c>
      <c r="I225" s="318">
        <f t="shared" si="58"/>
        <v>64.350000000000009</v>
      </c>
      <c r="J225" s="679"/>
      <c r="K225" s="655"/>
      <c r="L225" s="321"/>
      <c r="M225" s="322"/>
      <c r="N225" s="322"/>
      <c r="O225" s="322"/>
      <c r="P225" s="322"/>
      <c r="Q225" s="322"/>
    </row>
    <row r="226" spans="1:17" s="71" customFormat="1" ht="24.95" customHeight="1" x14ac:dyDescent="0.2">
      <c r="A226" s="525" t="s">
        <v>233</v>
      </c>
      <c r="B226" s="628" t="s">
        <v>465</v>
      </c>
      <c r="C226" s="601">
        <v>2</v>
      </c>
      <c r="D226" s="601">
        <v>1</v>
      </c>
      <c r="E226" s="601">
        <v>2</v>
      </c>
      <c r="F226" s="302">
        <f t="shared" si="57"/>
        <v>85.8</v>
      </c>
      <c r="G226" s="601">
        <v>80</v>
      </c>
      <c r="H226" s="320">
        <f t="shared" si="59"/>
        <v>320</v>
      </c>
      <c r="I226" s="318">
        <f t="shared" si="58"/>
        <v>85.8</v>
      </c>
      <c r="J226" s="679"/>
      <c r="K226" s="655"/>
      <c r="L226" s="321"/>
      <c r="M226" s="322"/>
      <c r="N226" s="322"/>
      <c r="O226" s="322"/>
      <c r="P226" s="322"/>
      <c r="Q226" s="322"/>
    </row>
    <row r="227" spans="1:17" s="71" customFormat="1" ht="24.95" customHeight="1" x14ac:dyDescent="0.2">
      <c r="A227" s="525" t="s">
        <v>234</v>
      </c>
      <c r="B227" s="600" t="s">
        <v>463</v>
      </c>
      <c r="C227" s="601">
        <v>2</v>
      </c>
      <c r="D227" s="601">
        <v>1</v>
      </c>
      <c r="E227" s="601">
        <v>1</v>
      </c>
      <c r="F227" s="302">
        <f t="shared" si="57"/>
        <v>42.9</v>
      </c>
      <c r="G227" s="601">
        <v>80</v>
      </c>
      <c r="H227" s="320">
        <f t="shared" si="59"/>
        <v>160</v>
      </c>
      <c r="I227" s="318">
        <f t="shared" si="58"/>
        <v>42.9</v>
      </c>
      <c r="J227" s="679"/>
      <c r="K227" s="655"/>
      <c r="L227" s="321"/>
      <c r="M227" s="322"/>
      <c r="N227" s="322"/>
      <c r="O227" s="322"/>
      <c r="P227" s="322"/>
      <c r="Q227" s="322"/>
    </row>
    <row r="228" spans="1:17" s="71" customFormat="1" ht="24.95" customHeight="1" x14ac:dyDescent="0.2">
      <c r="A228" s="525" t="s">
        <v>285</v>
      </c>
      <c r="B228" s="634" t="s">
        <v>467</v>
      </c>
      <c r="C228" s="604">
        <v>3</v>
      </c>
      <c r="D228" s="602">
        <v>1</v>
      </c>
      <c r="E228" s="604">
        <v>1</v>
      </c>
      <c r="F228" s="302">
        <f t="shared" si="57"/>
        <v>49.5</v>
      </c>
      <c r="G228" s="604">
        <v>40</v>
      </c>
      <c r="H228" s="320">
        <f t="shared" si="59"/>
        <v>120</v>
      </c>
      <c r="I228" s="318">
        <f t="shared" si="58"/>
        <v>49.5</v>
      </c>
      <c r="J228" s="679"/>
      <c r="K228" s="655"/>
      <c r="L228" s="321"/>
      <c r="M228" s="322"/>
      <c r="N228" s="322"/>
      <c r="O228" s="322"/>
      <c r="P228" s="322"/>
      <c r="Q228" s="322"/>
    </row>
    <row r="229" spans="1:17" s="71" customFormat="1" ht="24.95" customHeight="1" x14ac:dyDescent="0.2">
      <c r="A229" s="525" t="s">
        <v>286</v>
      </c>
      <c r="B229" s="634" t="s">
        <v>468</v>
      </c>
      <c r="C229" s="604">
        <v>2</v>
      </c>
      <c r="D229" s="602">
        <v>1</v>
      </c>
      <c r="E229" s="604">
        <v>1</v>
      </c>
      <c r="F229" s="302">
        <f t="shared" si="57"/>
        <v>33</v>
      </c>
      <c r="G229" s="604">
        <v>40</v>
      </c>
      <c r="H229" s="320">
        <f t="shared" si="59"/>
        <v>80</v>
      </c>
      <c r="I229" s="318">
        <f t="shared" si="58"/>
        <v>33</v>
      </c>
      <c r="J229" s="679"/>
      <c r="K229" s="655"/>
      <c r="L229" s="321"/>
      <c r="M229" s="322"/>
      <c r="N229" s="322"/>
      <c r="O229" s="322"/>
      <c r="P229" s="322"/>
      <c r="Q229" s="322"/>
    </row>
    <row r="230" spans="1:17" s="71" customFormat="1" ht="24.95" customHeight="1" x14ac:dyDescent="0.2">
      <c r="A230" s="525" t="s">
        <v>287</v>
      </c>
      <c r="B230" s="628" t="s">
        <v>465</v>
      </c>
      <c r="C230" s="601">
        <v>2</v>
      </c>
      <c r="D230" s="601">
        <v>1</v>
      </c>
      <c r="E230" s="604">
        <v>1</v>
      </c>
      <c r="F230" s="889">
        <f>I230+J230+K230</f>
        <v>42.9</v>
      </c>
      <c r="G230" s="601">
        <v>80</v>
      </c>
      <c r="H230" s="320">
        <f t="shared" ref="H230:H238" si="60">C230*E230*G230</f>
        <v>160</v>
      </c>
      <c r="I230" s="318">
        <f t="shared" ref="I230:I238" si="61">IF(G230&lt;70, C230*E230*16.5*1, C230*E230*16.5*1.3)</f>
        <v>42.9</v>
      </c>
      <c r="J230" s="679"/>
      <c r="K230" s="655"/>
      <c r="L230" s="321"/>
      <c r="M230" s="322"/>
      <c r="N230" s="322"/>
      <c r="O230" s="322"/>
      <c r="P230" s="322"/>
      <c r="Q230" s="322"/>
    </row>
    <row r="231" spans="1:17" s="71" customFormat="1" ht="24.95" customHeight="1" x14ac:dyDescent="0.2">
      <c r="A231" s="525" t="s">
        <v>288</v>
      </c>
      <c r="B231" s="634" t="s">
        <v>471</v>
      </c>
      <c r="C231" s="601">
        <v>4</v>
      </c>
      <c r="D231" s="601">
        <v>1</v>
      </c>
      <c r="E231" s="601">
        <v>1</v>
      </c>
      <c r="F231" s="889">
        <f t="shared" ref="F231:F238" si="62">I231+J231+K231</f>
        <v>66</v>
      </c>
      <c r="G231" s="601">
        <v>30</v>
      </c>
      <c r="H231" s="320">
        <f t="shared" si="60"/>
        <v>120</v>
      </c>
      <c r="I231" s="318">
        <f t="shared" si="61"/>
        <v>66</v>
      </c>
      <c r="J231" s="679"/>
      <c r="K231" s="655"/>
      <c r="L231" s="321"/>
      <c r="M231" s="322"/>
      <c r="N231" s="322"/>
      <c r="O231" s="322"/>
      <c r="P231" s="322"/>
      <c r="Q231" s="322"/>
    </row>
    <row r="232" spans="1:17" s="71" customFormat="1" ht="24.95" customHeight="1" x14ac:dyDescent="0.2">
      <c r="A232" s="525" t="s">
        <v>289</v>
      </c>
      <c r="B232" s="634" t="s">
        <v>472</v>
      </c>
      <c r="C232" s="681">
        <v>4</v>
      </c>
      <c r="D232" s="607">
        <v>1</v>
      </c>
      <c r="E232" s="607">
        <v>1</v>
      </c>
      <c r="F232" s="889">
        <f t="shared" si="62"/>
        <v>66</v>
      </c>
      <c r="G232" s="607">
        <v>40</v>
      </c>
      <c r="H232" s="320">
        <f t="shared" si="60"/>
        <v>160</v>
      </c>
      <c r="I232" s="318">
        <f t="shared" si="61"/>
        <v>66</v>
      </c>
      <c r="J232" s="679"/>
      <c r="K232" s="655"/>
      <c r="L232" s="321"/>
      <c r="M232" s="322"/>
      <c r="N232" s="322"/>
      <c r="O232" s="322"/>
      <c r="P232" s="322"/>
      <c r="Q232" s="322"/>
    </row>
    <row r="233" spans="1:17" s="71" customFormat="1" ht="24.95" customHeight="1" x14ac:dyDescent="0.2">
      <c r="A233" s="525" t="s">
        <v>292</v>
      </c>
      <c r="B233" s="634" t="s">
        <v>468</v>
      </c>
      <c r="C233" s="604">
        <v>2</v>
      </c>
      <c r="D233" s="608">
        <v>1</v>
      </c>
      <c r="E233" s="608">
        <v>1</v>
      </c>
      <c r="F233" s="889">
        <f t="shared" si="62"/>
        <v>33</v>
      </c>
      <c r="G233" s="608">
        <v>40</v>
      </c>
      <c r="H233" s="320">
        <f t="shared" si="60"/>
        <v>80</v>
      </c>
      <c r="I233" s="318">
        <f t="shared" si="61"/>
        <v>33</v>
      </c>
      <c r="J233" s="679"/>
      <c r="K233" s="655"/>
      <c r="L233" s="321"/>
      <c r="M233" s="322"/>
      <c r="N233" s="322"/>
      <c r="O233" s="322"/>
      <c r="P233" s="322"/>
      <c r="Q233" s="322"/>
    </row>
    <row r="234" spans="1:17" s="71" customFormat="1" ht="24.95" customHeight="1" x14ac:dyDescent="0.2">
      <c r="A234" s="525" t="s">
        <v>293</v>
      </c>
      <c r="B234" s="634" t="s">
        <v>476</v>
      </c>
      <c r="C234" s="601">
        <v>2</v>
      </c>
      <c r="D234" s="601">
        <v>1.3</v>
      </c>
      <c r="E234" s="601">
        <v>1</v>
      </c>
      <c r="F234" s="889">
        <f t="shared" si="62"/>
        <v>33</v>
      </c>
      <c r="G234" s="601">
        <v>40</v>
      </c>
      <c r="H234" s="320">
        <f t="shared" si="60"/>
        <v>80</v>
      </c>
      <c r="I234" s="318">
        <f t="shared" si="61"/>
        <v>33</v>
      </c>
      <c r="J234" s="679"/>
      <c r="K234" s="655"/>
      <c r="L234" s="321"/>
      <c r="M234" s="322"/>
      <c r="N234" s="322"/>
      <c r="O234" s="322"/>
      <c r="P234" s="322"/>
      <c r="Q234" s="322"/>
    </row>
    <row r="235" spans="1:17" s="71" customFormat="1" ht="24.95" customHeight="1" x14ac:dyDescent="0.2">
      <c r="A235" s="525" t="s">
        <v>294</v>
      </c>
      <c r="B235" s="634" t="s">
        <v>477</v>
      </c>
      <c r="C235" s="601">
        <v>4</v>
      </c>
      <c r="D235" s="601">
        <v>1</v>
      </c>
      <c r="E235" s="601">
        <v>1</v>
      </c>
      <c r="F235" s="889">
        <f t="shared" si="62"/>
        <v>66</v>
      </c>
      <c r="G235" s="601">
        <v>40</v>
      </c>
      <c r="H235" s="320">
        <f t="shared" si="60"/>
        <v>160</v>
      </c>
      <c r="I235" s="318">
        <f t="shared" si="61"/>
        <v>66</v>
      </c>
      <c r="J235" s="679"/>
      <c r="K235" s="655"/>
      <c r="L235" s="321"/>
      <c r="M235" s="322"/>
      <c r="N235" s="322"/>
      <c r="O235" s="322"/>
      <c r="P235" s="322"/>
      <c r="Q235" s="322"/>
    </row>
    <row r="236" spans="1:17" s="71" customFormat="1" ht="24.95" customHeight="1" x14ac:dyDescent="0.2">
      <c r="A236" s="525" t="s">
        <v>295</v>
      </c>
      <c r="B236" s="634" t="s">
        <v>478</v>
      </c>
      <c r="C236" s="601">
        <v>4</v>
      </c>
      <c r="D236" s="601">
        <v>1</v>
      </c>
      <c r="E236" s="601">
        <v>1</v>
      </c>
      <c r="F236" s="889">
        <f t="shared" si="62"/>
        <v>66</v>
      </c>
      <c r="G236" s="601">
        <v>40</v>
      </c>
      <c r="H236" s="320">
        <f t="shared" si="60"/>
        <v>160</v>
      </c>
      <c r="I236" s="318">
        <f t="shared" si="61"/>
        <v>66</v>
      </c>
      <c r="J236" s="679"/>
      <c r="K236" s="655"/>
      <c r="L236" s="321"/>
      <c r="M236" s="322"/>
      <c r="N236" s="322"/>
      <c r="O236" s="322"/>
      <c r="P236" s="322"/>
      <c r="Q236" s="322"/>
    </row>
    <row r="237" spans="1:17" s="71" customFormat="1" ht="24.95" customHeight="1" x14ac:dyDescent="0.2">
      <c r="A237" s="525" t="s">
        <v>417</v>
      </c>
      <c r="B237" s="634" t="s">
        <v>479</v>
      </c>
      <c r="C237" s="601">
        <v>3</v>
      </c>
      <c r="D237" s="601">
        <v>1</v>
      </c>
      <c r="E237" s="601">
        <v>1</v>
      </c>
      <c r="F237" s="889">
        <f t="shared" si="62"/>
        <v>49.5</v>
      </c>
      <c r="G237" s="601">
        <v>40</v>
      </c>
      <c r="H237" s="320">
        <f t="shared" si="60"/>
        <v>120</v>
      </c>
      <c r="I237" s="318">
        <f t="shared" si="61"/>
        <v>49.5</v>
      </c>
      <c r="J237" s="526"/>
      <c r="K237" s="655"/>
      <c r="L237" s="321"/>
      <c r="M237" s="322"/>
      <c r="N237" s="322"/>
      <c r="O237" s="322"/>
      <c r="P237" s="322"/>
      <c r="Q237" s="322"/>
    </row>
    <row r="238" spans="1:17" s="71" customFormat="1" ht="24.95" customHeight="1" x14ac:dyDescent="0.2">
      <c r="A238" s="525" t="s">
        <v>418</v>
      </c>
      <c r="B238" s="634" t="s">
        <v>480</v>
      </c>
      <c r="C238" s="601">
        <v>1</v>
      </c>
      <c r="D238" s="601">
        <v>1.3</v>
      </c>
      <c r="E238" s="601">
        <v>1</v>
      </c>
      <c r="F238" s="889">
        <f t="shared" si="62"/>
        <v>16.5</v>
      </c>
      <c r="G238" s="601">
        <v>40</v>
      </c>
      <c r="H238" s="320">
        <f t="shared" si="60"/>
        <v>40</v>
      </c>
      <c r="I238" s="318">
        <f t="shared" si="61"/>
        <v>16.5</v>
      </c>
      <c r="J238" s="526"/>
      <c r="K238" s="655"/>
      <c r="L238" s="321"/>
      <c r="M238" s="322"/>
      <c r="N238" s="322"/>
      <c r="O238" s="322"/>
      <c r="P238" s="322"/>
      <c r="Q238" s="322"/>
    </row>
    <row r="239" spans="1:17" s="71" customFormat="1" ht="24.95" customHeight="1" x14ac:dyDescent="0.2">
      <c r="A239" s="617" t="s">
        <v>150</v>
      </c>
      <c r="B239" s="618" t="s">
        <v>153</v>
      </c>
      <c r="C239" s="601"/>
      <c r="D239" s="601"/>
      <c r="E239" s="601"/>
      <c r="F239" s="320"/>
      <c r="G239" s="601"/>
      <c r="H239" s="320"/>
      <c r="I239" s="319"/>
      <c r="J239" s="526"/>
      <c r="K239" s="655"/>
      <c r="L239" s="321"/>
      <c r="M239" s="322"/>
      <c r="N239" s="322"/>
      <c r="O239" s="322"/>
      <c r="P239" s="322"/>
      <c r="Q239" s="322"/>
    </row>
    <row r="240" spans="1:17" s="71" customFormat="1" ht="24.95" customHeight="1" x14ac:dyDescent="0.2">
      <c r="A240" s="619" t="s">
        <v>235</v>
      </c>
      <c r="B240" s="599" t="s">
        <v>156</v>
      </c>
      <c r="C240" s="601"/>
      <c r="D240" s="601"/>
      <c r="E240" s="601"/>
      <c r="F240" s="320"/>
      <c r="G240" s="601"/>
      <c r="H240" s="320"/>
      <c r="I240" s="319"/>
      <c r="J240" s="526"/>
      <c r="K240" s="655"/>
      <c r="L240" s="321"/>
      <c r="M240" s="322"/>
      <c r="N240" s="322"/>
      <c r="O240" s="322"/>
      <c r="P240" s="322"/>
      <c r="Q240" s="322"/>
    </row>
    <row r="241" spans="1:17" s="71" customFormat="1" ht="24.95" customHeight="1" x14ac:dyDescent="0.2">
      <c r="A241" s="619" t="s">
        <v>236</v>
      </c>
      <c r="B241" s="599" t="s">
        <v>155</v>
      </c>
      <c r="C241" s="601"/>
      <c r="D241" s="601"/>
      <c r="E241" s="601"/>
      <c r="F241" s="320"/>
      <c r="G241" s="601"/>
      <c r="H241" s="320"/>
      <c r="I241" s="319"/>
      <c r="J241" s="526"/>
      <c r="K241" s="655"/>
      <c r="L241" s="321"/>
      <c r="M241" s="322"/>
      <c r="N241" s="322"/>
      <c r="O241" s="322"/>
      <c r="P241" s="322"/>
      <c r="Q241" s="322"/>
    </row>
    <row r="242" spans="1:17" s="71" customFormat="1" ht="24.95" customHeight="1" x14ac:dyDescent="0.2">
      <c r="A242" s="635" t="s">
        <v>237</v>
      </c>
      <c r="B242" s="683" t="s">
        <v>158</v>
      </c>
      <c r="C242" s="637">
        <v>5</v>
      </c>
      <c r="D242" s="637" t="s">
        <v>727</v>
      </c>
      <c r="E242" s="637">
        <v>1</v>
      </c>
      <c r="F242" s="684">
        <f>I242+J242+K242</f>
        <v>42</v>
      </c>
      <c r="G242" s="637">
        <v>21</v>
      </c>
      <c r="H242" s="674">
        <f>C242*E242*G242</f>
        <v>105</v>
      </c>
      <c r="I242" s="685">
        <f>21*2</f>
        <v>42</v>
      </c>
      <c r="J242" s="639"/>
      <c r="K242" s="635"/>
      <c r="L242" s="321"/>
      <c r="M242" s="322"/>
      <c r="N242" s="322"/>
      <c r="O242" s="322"/>
      <c r="P242" s="322"/>
      <c r="Q242" s="322"/>
    </row>
    <row r="243" spans="1:17" s="71" customFormat="1" ht="24.95" customHeight="1" x14ac:dyDescent="0.2">
      <c r="A243" s="635" t="s">
        <v>238</v>
      </c>
      <c r="B243" s="599" t="s">
        <v>159</v>
      </c>
      <c r="C243" s="601"/>
      <c r="D243" s="601"/>
      <c r="E243" s="601"/>
      <c r="F243" s="320"/>
      <c r="G243" s="601"/>
      <c r="H243" s="320"/>
      <c r="I243" s="319"/>
      <c r="J243" s="526"/>
      <c r="K243" s="655"/>
      <c r="L243" s="321"/>
      <c r="M243" s="322"/>
      <c r="N243" s="322"/>
      <c r="O243" s="322"/>
      <c r="P243" s="322"/>
      <c r="Q243" s="322"/>
    </row>
    <row r="244" spans="1:17" s="71" customFormat="1" ht="24.95" customHeight="1" x14ac:dyDescent="0.2">
      <c r="A244" s="633"/>
      <c r="B244" s="686" t="s">
        <v>403</v>
      </c>
      <c r="C244" s="687">
        <f>SUM(C222:C243)</f>
        <v>50</v>
      </c>
      <c r="D244" s="687">
        <f t="shared" ref="D244:K244" si="63">SUM(D222:D243)</f>
        <v>17.600000000000001</v>
      </c>
      <c r="E244" s="687">
        <f t="shared" si="63"/>
        <v>21</v>
      </c>
      <c r="F244" s="687">
        <f t="shared" si="63"/>
        <v>967.65</v>
      </c>
      <c r="G244" s="687">
        <f t="shared" si="63"/>
        <v>871</v>
      </c>
      <c r="H244" s="687">
        <f t="shared" si="63"/>
        <v>2725</v>
      </c>
      <c r="I244" s="687">
        <f t="shared" si="63"/>
        <v>967.65</v>
      </c>
      <c r="J244" s="687">
        <f t="shared" si="63"/>
        <v>0</v>
      </c>
      <c r="K244" s="687">
        <f t="shared" si="63"/>
        <v>0</v>
      </c>
      <c r="L244" s="632"/>
      <c r="M244" s="382"/>
      <c r="N244" s="382"/>
      <c r="O244" s="382"/>
      <c r="P244" s="382"/>
      <c r="Q244" s="382"/>
    </row>
    <row r="245" spans="1:17" s="71" customFormat="1" ht="24.95" customHeight="1" x14ac:dyDescent="0.2">
      <c r="A245" s="625">
        <v>2</v>
      </c>
      <c r="B245" s="625" t="s">
        <v>166</v>
      </c>
      <c r="C245" s="601"/>
      <c r="D245" s="601"/>
      <c r="E245" s="601"/>
      <c r="F245" s="320"/>
      <c r="G245" s="601"/>
      <c r="H245" s="320"/>
      <c r="I245" s="319"/>
      <c r="J245" s="526"/>
      <c r="K245" s="655"/>
      <c r="L245" s="321"/>
      <c r="M245" s="322"/>
      <c r="N245" s="322"/>
      <c r="O245" s="322"/>
      <c r="P245" s="322"/>
      <c r="Q245" s="322"/>
    </row>
    <row r="246" spans="1:17" s="71" customFormat="1" ht="24.95" customHeight="1" x14ac:dyDescent="0.2">
      <c r="A246" s="626" t="s">
        <v>149</v>
      </c>
      <c r="B246" s="627" t="s">
        <v>167</v>
      </c>
      <c r="C246" s="601"/>
      <c r="D246" s="601"/>
      <c r="E246" s="601"/>
      <c r="F246" s="320"/>
      <c r="G246" s="601"/>
      <c r="H246" s="320"/>
      <c r="I246" s="319"/>
      <c r="J246" s="526"/>
      <c r="K246" s="655"/>
      <c r="L246" s="321"/>
      <c r="M246" s="322"/>
      <c r="N246" s="322"/>
      <c r="O246" s="322"/>
      <c r="P246" s="322"/>
      <c r="Q246" s="322"/>
    </row>
    <row r="247" spans="1:17" s="71" customFormat="1" ht="24.95" customHeight="1" x14ac:dyDescent="0.2">
      <c r="A247" s="599" t="s">
        <v>229</v>
      </c>
      <c r="B247" s="628" t="s">
        <v>481</v>
      </c>
      <c r="C247" s="601">
        <v>3</v>
      </c>
      <c r="D247" s="601">
        <v>1</v>
      </c>
      <c r="E247" s="601">
        <v>6</v>
      </c>
      <c r="F247" s="302">
        <f>I247+J247+K24</f>
        <v>207.89999999999998</v>
      </c>
      <c r="G247" s="601">
        <v>30</v>
      </c>
      <c r="H247" s="320">
        <f>C247*E247*G247</f>
        <v>540</v>
      </c>
      <c r="I247" s="318">
        <f t="shared" ref="I247:I254" si="64">C247*E247*16.5*0.7</f>
        <v>207.89999999999998</v>
      </c>
      <c r="J247" s="526"/>
      <c r="K247" s="655"/>
      <c r="L247" s="321"/>
      <c r="M247" s="322"/>
      <c r="N247" s="322"/>
      <c r="O247" s="322"/>
      <c r="P247" s="322"/>
      <c r="Q247" s="322"/>
    </row>
    <row r="248" spans="1:17" s="71" customFormat="1" ht="24.95" customHeight="1" x14ac:dyDescent="0.2">
      <c r="A248" s="599" t="s">
        <v>230</v>
      </c>
      <c r="B248" s="628" t="s">
        <v>482</v>
      </c>
      <c r="C248" s="601">
        <v>3</v>
      </c>
      <c r="D248" s="601">
        <v>1</v>
      </c>
      <c r="E248" s="601">
        <v>6</v>
      </c>
      <c r="F248" s="302">
        <f t="shared" ref="F248:F259" si="65">I248+J248+K25</f>
        <v>207.89999999999998</v>
      </c>
      <c r="G248" s="601">
        <v>30</v>
      </c>
      <c r="H248" s="320">
        <f t="shared" ref="H248:H259" si="66">C248*E248*G248</f>
        <v>540</v>
      </c>
      <c r="I248" s="318">
        <f t="shared" si="64"/>
        <v>207.89999999999998</v>
      </c>
      <c r="J248" s="526"/>
      <c r="K248" s="655"/>
      <c r="L248" s="321"/>
      <c r="M248" s="322"/>
      <c r="N248" s="322"/>
      <c r="O248" s="322"/>
      <c r="P248" s="322"/>
      <c r="Q248" s="322"/>
    </row>
    <row r="249" spans="1:17" s="71" customFormat="1" ht="24.95" customHeight="1" x14ac:dyDescent="0.2">
      <c r="A249" s="599" t="s">
        <v>231</v>
      </c>
      <c r="B249" s="628" t="s">
        <v>483</v>
      </c>
      <c r="C249" s="601">
        <v>3</v>
      </c>
      <c r="D249" s="601">
        <v>1</v>
      </c>
      <c r="E249" s="601">
        <v>1</v>
      </c>
      <c r="F249" s="302">
        <f t="shared" si="65"/>
        <v>34.65</v>
      </c>
      <c r="G249" s="601">
        <v>30</v>
      </c>
      <c r="H249" s="320">
        <f t="shared" si="66"/>
        <v>90</v>
      </c>
      <c r="I249" s="318">
        <f t="shared" si="64"/>
        <v>34.65</v>
      </c>
      <c r="J249" s="526"/>
      <c r="K249" s="655"/>
      <c r="L249" s="321"/>
      <c r="M249" s="322"/>
      <c r="N249" s="322"/>
      <c r="O249" s="322"/>
      <c r="P249" s="322"/>
      <c r="Q249" s="322"/>
    </row>
    <row r="250" spans="1:17" s="71" customFormat="1" ht="24.95" customHeight="1" x14ac:dyDescent="0.2">
      <c r="A250" s="599" t="s">
        <v>232</v>
      </c>
      <c r="B250" s="628" t="s">
        <v>484</v>
      </c>
      <c r="C250" s="601">
        <v>3</v>
      </c>
      <c r="D250" s="601">
        <v>1</v>
      </c>
      <c r="E250" s="601">
        <v>1</v>
      </c>
      <c r="F250" s="302">
        <f t="shared" si="65"/>
        <v>34.65</v>
      </c>
      <c r="G250" s="601">
        <v>30</v>
      </c>
      <c r="H250" s="320">
        <f t="shared" si="66"/>
        <v>90</v>
      </c>
      <c r="I250" s="318">
        <f t="shared" si="64"/>
        <v>34.65</v>
      </c>
      <c r="J250" s="526"/>
      <c r="K250" s="655"/>
      <c r="L250" s="321"/>
      <c r="M250" s="322"/>
      <c r="N250" s="322"/>
      <c r="O250" s="322"/>
      <c r="P250" s="322"/>
      <c r="Q250" s="322"/>
    </row>
    <row r="251" spans="1:17" s="71" customFormat="1" ht="24.95" customHeight="1" x14ac:dyDescent="0.2">
      <c r="A251" s="599" t="s">
        <v>233</v>
      </c>
      <c r="B251" s="629" t="s">
        <v>485</v>
      </c>
      <c r="C251" s="601">
        <v>3</v>
      </c>
      <c r="D251" s="601">
        <v>1</v>
      </c>
      <c r="E251" s="601">
        <v>6</v>
      </c>
      <c r="F251" s="302">
        <f t="shared" si="65"/>
        <v>207.89999999999998</v>
      </c>
      <c r="G251" s="601">
        <v>30</v>
      </c>
      <c r="H251" s="320">
        <f t="shared" si="66"/>
        <v>540</v>
      </c>
      <c r="I251" s="318">
        <f t="shared" si="64"/>
        <v>207.89999999999998</v>
      </c>
      <c r="J251" s="526"/>
      <c r="K251" s="655"/>
      <c r="L251" s="321"/>
      <c r="M251" s="322"/>
      <c r="N251" s="322"/>
      <c r="O251" s="322"/>
      <c r="P251" s="322"/>
      <c r="Q251" s="322"/>
    </row>
    <row r="252" spans="1:17" s="71" customFormat="1" ht="24.95" customHeight="1" x14ac:dyDescent="0.2">
      <c r="A252" s="599" t="s">
        <v>234</v>
      </c>
      <c r="B252" s="629" t="s">
        <v>486</v>
      </c>
      <c r="C252" s="601">
        <v>3</v>
      </c>
      <c r="D252" s="601">
        <v>1</v>
      </c>
      <c r="E252" s="601">
        <v>6</v>
      </c>
      <c r="F252" s="302">
        <f t="shared" si="65"/>
        <v>207.89999999999998</v>
      </c>
      <c r="G252" s="601">
        <v>30</v>
      </c>
      <c r="H252" s="320">
        <f t="shared" si="66"/>
        <v>540</v>
      </c>
      <c r="I252" s="318">
        <f t="shared" si="64"/>
        <v>207.89999999999998</v>
      </c>
      <c r="J252" s="526"/>
      <c r="K252" s="617"/>
      <c r="L252" s="595"/>
      <c r="M252" s="688"/>
      <c r="N252" s="688"/>
      <c r="O252" s="688"/>
      <c r="P252" s="688"/>
      <c r="Q252" s="688"/>
    </row>
    <row r="253" spans="1:17" s="71" customFormat="1" ht="24.95" customHeight="1" x14ac:dyDescent="0.2">
      <c r="A253" s="599" t="s">
        <v>285</v>
      </c>
      <c r="B253" s="629" t="s">
        <v>487</v>
      </c>
      <c r="C253" s="601">
        <v>3</v>
      </c>
      <c r="D253" s="601">
        <v>1</v>
      </c>
      <c r="E253" s="601">
        <v>1</v>
      </c>
      <c r="F253" s="302">
        <f t="shared" si="65"/>
        <v>34.65</v>
      </c>
      <c r="G253" s="601">
        <v>30</v>
      </c>
      <c r="H253" s="320">
        <f t="shared" si="66"/>
        <v>90</v>
      </c>
      <c r="I253" s="318">
        <f t="shared" si="64"/>
        <v>34.65</v>
      </c>
      <c r="J253" s="526"/>
      <c r="K253" s="625"/>
      <c r="L253" s="591"/>
      <c r="M253" s="688"/>
      <c r="N253" s="688"/>
      <c r="O253" s="688"/>
      <c r="P253" s="688"/>
      <c r="Q253" s="688"/>
    </row>
    <row r="254" spans="1:17" s="71" customFormat="1" ht="24.95" customHeight="1" x14ac:dyDescent="0.2">
      <c r="A254" s="599" t="s">
        <v>286</v>
      </c>
      <c r="B254" s="629" t="s">
        <v>488</v>
      </c>
      <c r="C254" s="601">
        <v>3</v>
      </c>
      <c r="D254" s="601">
        <v>1</v>
      </c>
      <c r="E254" s="601">
        <v>1</v>
      </c>
      <c r="F254" s="302">
        <f t="shared" si="65"/>
        <v>34.65</v>
      </c>
      <c r="G254" s="601">
        <v>30</v>
      </c>
      <c r="H254" s="320">
        <f t="shared" si="66"/>
        <v>90</v>
      </c>
      <c r="I254" s="318">
        <f t="shared" si="64"/>
        <v>34.65</v>
      </c>
      <c r="J254" s="526"/>
      <c r="K254" s="617"/>
      <c r="L254" s="591"/>
      <c r="M254" s="688"/>
      <c r="N254" s="688"/>
      <c r="O254" s="688"/>
      <c r="P254" s="688"/>
      <c r="Q254" s="688"/>
    </row>
    <row r="255" spans="1:17" s="71" customFormat="1" ht="24.95" customHeight="1" x14ac:dyDescent="0.2">
      <c r="A255" s="599" t="s">
        <v>287</v>
      </c>
      <c r="B255" s="629" t="s">
        <v>489</v>
      </c>
      <c r="C255" s="601">
        <v>3</v>
      </c>
      <c r="D255" s="601">
        <v>1</v>
      </c>
      <c r="E255" s="601">
        <v>6</v>
      </c>
      <c r="F255" s="302">
        <f t="shared" si="65"/>
        <v>207.89999999999998</v>
      </c>
      <c r="G255" s="601">
        <v>30</v>
      </c>
      <c r="H255" s="320">
        <f t="shared" si="66"/>
        <v>540</v>
      </c>
      <c r="I255" s="351"/>
      <c r="J255" s="318">
        <f>C255*E255*16.5*0.7</f>
        <v>207.89999999999998</v>
      </c>
      <c r="K255" s="625"/>
      <c r="L255" s="591"/>
      <c r="M255" s="688"/>
      <c r="N255" s="688"/>
      <c r="O255" s="688"/>
      <c r="P255" s="688"/>
      <c r="Q255" s="688"/>
    </row>
    <row r="256" spans="1:17" s="71" customFormat="1" ht="24.95" customHeight="1" x14ac:dyDescent="0.2">
      <c r="A256" s="599" t="s">
        <v>288</v>
      </c>
      <c r="B256" s="629" t="s">
        <v>490</v>
      </c>
      <c r="C256" s="601">
        <v>3</v>
      </c>
      <c r="D256" s="601">
        <v>1</v>
      </c>
      <c r="E256" s="601">
        <v>6</v>
      </c>
      <c r="F256" s="302">
        <f t="shared" si="65"/>
        <v>207.89999999999998</v>
      </c>
      <c r="G256" s="601">
        <v>30</v>
      </c>
      <c r="H256" s="320">
        <f t="shared" si="66"/>
        <v>540</v>
      </c>
      <c r="I256" s="351"/>
      <c r="J256" s="318">
        <f t="shared" ref="J256:J259" si="67">C256*E256*16.5*0.7</f>
        <v>207.89999999999998</v>
      </c>
      <c r="K256" s="625"/>
      <c r="L256" s="591"/>
      <c r="M256" s="688"/>
      <c r="N256" s="688"/>
      <c r="O256" s="688"/>
      <c r="P256" s="688"/>
      <c r="Q256" s="688"/>
    </row>
    <row r="257" spans="1:17" s="656" customFormat="1" ht="24.95" customHeight="1" x14ac:dyDescent="0.2">
      <c r="A257" s="599" t="s">
        <v>289</v>
      </c>
      <c r="B257" s="629" t="s">
        <v>491</v>
      </c>
      <c r="C257" s="601">
        <v>3</v>
      </c>
      <c r="D257" s="601">
        <v>1</v>
      </c>
      <c r="E257" s="601">
        <v>1</v>
      </c>
      <c r="F257" s="302">
        <f t="shared" si="65"/>
        <v>34.65</v>
      </c>
      <c r="G257" s="601">
        <v>30</v>
      </c>
      <c r="H257" s="320">
        <f t="shared" si="66"/>
        <v>90</v>
      </c>
      <c r="I257" s="689"/>
      <c r="J257" s="318">
        <f t="shared" si="67"/>
        <v>34.65</v>
      </c>
      <c r="K257" s="619"/>
      <c r="L257" s="690"/>
      <c r="M257" s="688"/>
      <c r="N257" s="688"/>
      <c r="O257" s="688"/>
      <c r="P257" s="688"/>
      <c r="Q257" s="688"/>
    </row>
    <row r="258" spans="1:17" s="656" customFormat="1" ht="24.95" customHeight="1" x14ac:dyDescent="0.2">
      <c r="A258" s="599" t="s">
        <v>292</v>
      </c>
      <c r="B258" s="629" t="s">
        <v>492</v>
      </c>
      <c r="C258" s="601">
        <v>3</v>
      </c>
      <c r="D258" s="601">
        <v>1</v>
      </c>
      <c r="E258" s="601">
        <v>1</v>
      </c>
      <c r="F258" s="302">
        <f t="shared" si="65"/>
        <v>34.65</v>
      </c>
      <c r="G258" s="601">
        <v>30</v>
      </c>
      <c r="H258" s="320">
        <f t="shared" si="66"/>
        <v>90</v>
      </c>
      <c r="I258" s="689"/>
      <c r="J258" s="318">
        <f t="shared" si="67"/>
        <v>34.65</v>
      </c>
      <c r="K258" s="619"/>
      <c r="L258" s="690"/>
      <c r="M258" s="688"/>
      <c r="N258" s="688"/>
      <c r="O258" s="688"/>
      <c r="P258" s="688"/>
      <c r="Q258" s="688"/>
    </row>
    <row r="259" spans="1:17" s="656" customFormat="1" ht="24.95" customHeight="1" x14ac:dyDescent="0.2">
      <c r="A259" s="599" t="s">
        <v>293</v>
      </c>
      <c r="B259" s="629" t="s">
        <v>486</v>
      </c>
      <c r="C259" s="601">
        <v>3</v>
      </c>
      <c r="D259" s="601">
        <v>1</v>
      </c>
      <c r="E259" s="601">
        <v>1</v>
      </c>
      <c r="F259" s="302">
        <f t="shared" si="65"/>
        <v>34.65</v>
      </c>
      <c r="G259" s="601">
        <v>30</v>
      </c>
      <c r="H259" s="320">
        <f t="shared" si="66"/>
        <v>90</v>
      </c>
      <c r="I259" s="319"/>
      <c r="J259" s="318">
        <f t="shared" si="67"/>
        <v>34.65</v>
      </c>
      <c r="K259" s="691"/>
      <c r="L259" s="692"/>
      <c r="M259" s="693"/>
      <c r="N259" s="693"/>
      <c r="O259" s="693"/>
      <c r="P259" s="693"/>
      <c r="Q259" s="693"/>
    </row>
    <row r="260" spans="1:17" s="656" customFormat="1" ht="24.95" customHeight="1" x14ac:dyDescent="0.2">
      <c r="A260" s="617" t="s">
        <v>150</v>
      </c>
      <c r="B260" s="618" t="s">
        <v>967</v>
      </c>
      <c r="C260" s="601"/>
      <c r="D260" s="601"/>
      <c r="E260" s="601"/>
      <c r="F260" s="320"/>
      <c r="G260" s="601"/>
      <c r="H260" s="320"/>
      <c r="I260" s="319"/>
      <c r="J260" s="526"/>
      <c r="K260" s="691"/>
      <c r="L260" s="692"/>
      <c r="M260" s="693"/>
      <c r="N260" s="693"/>
      <c r="O260" s="693"/>
      <c r="P260" s="693"/>
      <c r="Q260" s="693"/>
    </row>
    <row r="261" spans="1:17" s="656" customFormat="1" ht="24.95" customHeight="1" x14ac:dyDescent="0.2">
      <c r="A261" s="619" t="s">
        <v>538</v>
      </c>
      <c r="B261" s="599" t="s">
        <v>494</v>
      </c>
      <c r="C261" s="601">
        <v>15</v>
      </c>
      <c r="D261" s="601">
        <v>1</v>
      </c>
      <c r="E261" s="601">
        <v>1</v>
      </c>
      <c r="F261" s="302">
        <f>I261+J261+K261</f>
        <v>175</v>
      </c>
      <c r="G261" s="601">
        <v>5</v>
      </c>
      <c r="H261" s="320">
        <f>C261*G261</f>
        <v>75</v>
      </c>
      <c r="I261" s="318">
        <f>G261*35</f>
        <v>175</v>
      </c>
      <c r="J261" s="526"/>
      <c r="K261" s="691"/>
      <c r="L261" s="694"/>
      <c r="M261" s="694"/>
      <c r="N261" s="694"/>
      <c r="O261" s="694"/>
      <c r="P261" s="694"/>
      <c r="Q261" s="694"/>
    </row>
    <row r="262" spans="1:17" s="656" customFormat="1" ht="24.95" customHeight="1" x14ac:dyDescent="0.2">
      <c r="A262" s="619" t="s">
        <v>539</v>
      </c>
      <c r="B262" s="599" t="s">
        <v>728</v>
      </c>
      <c r="C262" s="601">
        <v>15</v>
      </c>
      <c r="D262" s="601">
        <v>1</v>
      </c>
      <c r="E262" s="601">
        <v>1</v>
      </c>
      <c r="F262" s="302">
        <f>I262+K262+J262</f>
        <v>245</v>
      </c>
      <c r="G262" s="601">
        <v>7</v>
      </c>
      <c r="H262" s="320">
        <f t="shared" ref="H262:H273" si="68">C262*G262</f>
        <v>105</v>
      </c>
      <c r="I262" s="318"/>
      <c r="K262" s="604">
        <f>G262*35</f>
        <v>245</v>
      </c>
      <c r="L262" s="693"/>
      <c r="M262" s="693"/>
      <c r="N262" s="693"/>
      <c r="O262" s="693"/>
      <c r="P262" s="693"/>
      <c r="Q262" s="693"/>
    </row>
    <row r="263" spans="1:17" s="656" customFormat="1" ht="24.95" customHeight="1" x14ac:dyDescent="0.2">
      <c r="A263" s="619" t="s">
        <v>540</v>
      </c>
      <c r="B263" s="599" t="s">
        <v>495</v>
      </c>
      <c r="C263" s="601">
        <v>15</v>
      </c>
      <c r="D263" s="601">
        <v>1</v>
      </c>
      <c r="E263" s="601">
        <v>1</v>
      </c>
      <c r="F263" s="302">
        <f t="shared" ref="F263:F274" si="69">I263+J263+K263</f>
        <v>175</v>
      </c>
      <c r="G263" s="601">
        <v>5</v>
      </c>
      <c r="H263" s="320">
        <f t="shared" si="68"/>
        <v>75</v>
      </c>
      <c r="I263" s="318">
        <f>G263*35</f>
        <v>175</v>
      </c>
      <c r="J263" s="604"/>
      <c r="K263" s="691"/>
      <c r="L263" s="695"/>
      <c r="M263" s="695"/>
      <c r="N263" s="695"/>
      <c r="O263" s="695"/>
      <c r="P263" s="695"/>
      <c r="Q263" s="695"/>
    </row>
    <row r="264" spans="1:17" s="656" customFormat="1" ht="24.95" customHeight="1" x14ac:dyDescent="0.2">
      <c r="A264" s="619" t="s">
        <v>541</v>
      </c>
      <c r="B264" s="599" t="s">
        <v>496</v>
      </c>
      <c r="C264" s="601">
        <v>15</v>
      </c>
      <c r="D264" s="601">
        <v>1</v>
      </c>
      <c r="E264" s="601">
        <v>1</v>
      </c>
      <c r="F264" s="302">
        <f t="shared" si="69"/>
        <v>175</v>
      </c>
      <c r="G264" s="601">
        <v>5</v>
      </c>
      <c r="H264" s="320">
        <f t="shared" si="68"/>
        <v>75</v>
      </c>
      <c r="I264" s="319"/>
      <c r="J264" s="604">
        <f>G264*35</f>
        <v>175</v>
      </c>
      <c r="K264" s="691"/>
      <c r="L264" s="692"/>
      <c r="M264" s="1059"/>
      <c r="N264" s="1059"/>
      <c r="O264" s="1059"/>
      <c r="P264" s="1059"/>
      <c r="Q264" s="1059"/>
    </row>
    <row r="265" spans="1:17" s="656" customFormat="1" ht="24.95" customHeight="1" x14ac:dyDescent="0.2">
      <c r="A265" s="619" t="s">
        <v>542</v>
      </c>
      <c r="B265" s="599" t="s">
        <v>497</v>
      </c>
      <c r="C265" s="601">
        <v>15</v>
      </c>
      <c r="D265" s="601">
        <v>1</v>
      </c>
      <c r="E265" s="601">
        <v>1</v>
      </c>
      <c r="F265" s="302">
        <f t="shared" si="69"/>
        <v>175</v>
      </c>
      <c r="G265" s="601">
        <v>5</v>
      </c>
      <c r="H265" s="320">
        <f t="shared" si="68"/>
        <v>75</v>
      </c>
      <c r="I265" s="319"/>
      <c r="J265" s="604">
        <f>G265*35</f>
        <v>175</v>
      </c>
      <c r="K265" s="691"/>
      <c r="L265" s="692"/>
      <c r="M265" s="693"/>
      <c r="N265" s="693"/>
      <c r="O265" s="693"/>
      <c r="P265" s="693"/>
      <c r="Q265" s="693"/>
    </row>
    <row r="266" spans="1:17" ht="24.95" customHeight="1" x14ac:dyDescent="0.2">
      <c r="A266" s="619" t="s">
        <v>543</v>
      </c>
      <c r="B266" s="599" t="s">
        <v>534</v>
      </c>
      <c r="C266" s="601">
        <v>15</v>
      </c>
      <c r="D266" s="601">
        <v>1</v>
      </c>
      <c r="E266" s="601">
        <v>1</v>
      </c>
      <c r="F266" s="302">
        <f t="shared" si="69"/>
        <v>175</v>
      </c>
      <c r="G266" s="601">
        <v>5</v>
      </c>
      <c r="H266" s="320">
        <f t="shared" si="68"/>
        <v>75</v>
      </c>
      <c r="I266" s="318">
        <f>G266*35</f>
        <v>175</v>
      </c>
      <c r="J266" s="696"/>
      <c r="K266" s="691"/>
      <c r="L266" s="692"/>
      <c r="M266" s="693"/>
      <c r="N266" s="693"/>
      <c r="O266" s="693"/>
      <c r="P266" s="693"/>
      <c r="Q266" s="693"/>
    </row>
    <row r="267" spans="1:17" ht="24.95" customHeight="1" x14ac:dyDescent="0.2">
      <c r="A267" s="619" t="s">
        <v>544</v>
      </c>
      <c r="B267" s="599" t="s">
        <v>535</v>
      </c>
      <c r="C267" s="601">
        <v>15</v>
      </c>
      <c r="D267" s="601">
        <v>1</v>
      </c>
      <c r="E267" s="601">
        <v>1</v>
      </c>
      <c r="F267" s="302">
        <f t="shared" si="69"/>
        <v>175</v>
      </c>
      <c r="G267" s="601">
        <v>5</v>
      </c>
      <c r="H267" s="320">
        <f t="shared" si="68"/>
        <v>75</v>
      </c>
      <c r="I267" s="318">
        <f t="shared" ref="I267:I269" si="70">G267*35</f>
        <v>175</v>
      </c>
      <c r="J267" s="696"/>
      <c r="K267" s="691"/>
      <c r="L267" s="692"/>
      <c r="M267" s="697"/>
      <c r="N267" s="697"/>
      <c r="O267" s="697"/>
      <c r="P267" s="697"/>
      <c r="Q267" s="697"/>
    </row>
    <row r="268" spans="1:17" ht="24.95" customHeight="1" x14ac:dyDescent="0.2">
      <c r="A268" s="619" t="s">
        <v>545</v>
      </c>
      <c r="B268" s="632" t="s">
        <v>536</v>
      </c>
      <c r="C268" s="601">
        <v>15</v>
      </c>
      <c r="D268" s="601">
        <v>1</v>
      </c>
      <c r="E268" s="601">
        <v>1</v>
      </c>
      <c r="F268" s="302">
        <f t="shared" si="69"/>
        <v>175</v>
      </c>
      <c r="G268" s="601">
        <v>5</v>
      </c>
      <c r="H268" s="320">
        <f t="shared" si="68"/>
        <v>75</v>
      </c>
      <c r="I268" s="318">
        <f t="shared" si="70"/>
        <v>175</v>
      </c>
      <c r="J268" s="698"/>
      <c r="K268" s="691"/>
      <c r="L268" s="692"/>
      <c r="M268" s="697"/>
      <c r="N268" s="697"/>
      <c r="O268" s="697"/>
      <c r="P268" s="697"/>
      <c r="Q268" s="697"/>
    </row>
    <row r="269" spans="1:17" ht="24.95" customHeight="1" x14ac:dyDescent="0.2">
      <c r="A269" s="619" t="s">
        <v>546</v>
      </c>
      <c r="B269" s="632" t="s">
        <v>537</v>
      </c>
      <c r="C269" s="601">
        <v>15</v>
      </c>
      <c r="D269" s="601">
        <v>1</v>
      </c>
      <c r="E269" s="601">
        <v>1</v>
      </c>
      <c r="F269" s="302">
        <f t="shared" si="69"/>
        <v>175</v>
      </c>
      <c r="G269" s="601">
        <v>5</v>
      </c>
      <c r="H269" s="320">
        <f t="shared" si="68"/>
        <v>75</v>
      </c>
      <c r="I269" s="318">
        <f t="shared" si="70"/>
        <v>175</v>
      </c>
      <c r="J269" s="604"/>
      <c r="K269" s="691"/>
      <c r="L269" s="692"/>
      <c r="M269" s="697"/>
      <c r="N269" s="697"/>
      <c r="O269" s="697"/>
      <c r="P269" s="697"/>
      <c r="Q269" s="697"/>
    </row>
    <row r="270" spans="1:17" ht="24.95" customHeight="1" x14ac:dyDescent="0.2">
      <c r="A270" s="619" t="s">
        <v>547</v>
      </c>
      <c r="B270" s="632" t="s">
        <v>598</v>
      </c>
      <c r="C270" s="601">
        <v>15</v>
      </c>
      <c r="D270" s="601">
        <v>1</v>
      </c>
      <c r="E270" s="601">
        <v>1</v>
      </c>
      <c r="F270" s="302">
        <f t="shared" si="69"/>
        <v>175</v>
      </c>
      <c r="G270" s="601">
        <v>5</v>
      </c>
      <c r="H270" s="320">
        <f t="shared" si="68"/>
        <v>75</v>
      </c>
      <c r="I270" s="318">
        <f>G270*35</f>
        <v>175</v>
      </c>
      <c r="J270" s="604"/>
      <c r="K270" s="691"/>
      <c r="L270" s="692"/>
      <c r="M270" s="697"/>
      <c r="N270" s="697"/>
      <c r="O270" s="697"/>
      <c r="P270" s="697"/>
      <c r="Q270" s="697"/>
    </row>
    <row r="271" spans="1:17" ht="24.95" customHeight="1" x14ac:dyDescent="0.2">
      <c r="A271" s="619" t="s">
        <v>729</v>
      </c>
      <c r="B271" s="632" t="s">
        <v>730</v>
      </c>
      <c r="C271" s="601">
        <v>15</v>
      </c>
      <c r="D271" s="601">
        <v>1</v>
      </c>
      <c r="E271" s="601">
        <v>1</v>
      </c>
      <c r="F271" s="302">
        <f t="shared" si="69"/>
        <v>175</v>
      </c>
      <c r="G271" s="601">
        <v>5</v>
      </c>
      <c r="H271" s="320">
        <f t="shared" si="68"/>
        <v>75</v>
      </c>
      <c r="I271" s="318">
        <f t="shared" ref="I271" si="71">G271*35</f>
        <v>175</v>
      </c>
      <c r="J271" s="604"/>
      <c r="K271" s="691"/>
      <c r="L271" s="692"/>
      <c r="M271" s="697"/>
      <c r="N271" s="697"/>
      <c r="O271" s="697"/>
      <c r="P271" s="697"/>
      <c r="Q271" s="697"/>
    </row>
    <row r="272" spans="1:17" ht="24.95" customHeight="1" x14ac:dyDescent="0.2">
      <c r="A272" s="619" t="s">
        <v>731</v>
      </c>
      <c r="B272" s="632" t="s">
        <v>732</v>
      </c>
      <c r="C272" s="601">
        <v>15</v>
      </c>
      <c r="D272" s="601">
        <v>1</v>
      </c>
      <c r="E272" s="601">
        <v>1</v>
      </c>
      <c r="F272" s="302">
        <f t="shared" si="69"/>
        <v>70</v>
      </c>
      <c r="G272" s="601">
        <v>2</v>
      </c>
      <c r="H272" s="320">
        <f>C272*G272</f>
        <v>30</v>
      </c>
      <c r="I272" s="318"/>
      <c r="J272" s="604">
        <f>G272*35</f>
        <v>70</v>
      </c>
      <c r="K272" s="691"/>
      <c r="L272" s="692"/>
      <c r="M272" s="697"/>
      <c r="N272" s="697"/>
      <c r="O272" s="697"/>
      <c r="P272" s="697"/>
      <c r="Q272" s="697"/>
    </row>
    <row r="273" spans="1:17" ht="24.95" customHeight="1" x14ac:dyDescent="0.2">
      <c r="A273" s="619" t="s">
        <v>733</v>
      </c>
      <c r="B273" s="632" t="s">
        <v>734</v>
      </c>
      <c r="C273" s="601">
        <v>15</v>
      </c>
      <c r="D273" s="601">
        <v>1</v>
      </c>
      <c r="E273" s="601">
        <v>1</v>
      </c>
      <c r="F273" s="302">
        <f t="shared" si="69"/>
        <v>70</v>
      </c>
      <c r="G273" s="601">
        <v>2</v>
      </c>
      <c r="H273" s="320">
        <f t="shared" si="68"/>
        <v>30</v>
      </c>
      <c r="I273" s="318"/>
      <c r="J273" s="604">
        <f>G273*35</f>
        <v>70</v>
      </c>
      <c r="K273" s="691"/>
      <c r="L273" s="692"/>
      <c r="M273" s="699"/>
      <c r="N273" s="699"/>
      <c r="O273" s="699"/>
      <c r="P273" s="699"/>
      <c r="Q273" s="699"/>
    </row>
    <row r="274" spans="1:17" ht="24.95" customHeight="1" x14ac:dyDescent="0.2">
      <c r="A274" s="671"/>
      <c r="B274" s="700" t="s">
        <v>735</v>
      </c>
      <c r="C274" s="601">
        <v>15</v>
      </c>
      <c r="D274" s="601">
        <v>1</v>
      </c>
      <c r="E274" s="601">
        <v>1</v>
      </c>
      <c r="F274" s="302">
        <f t="shared" si="69"/>
        <v>3080</v>
      </c>
      <c r="G274" s="601">
        <v>88</v>
      </c>
      <c r="H274" s="320">
        <f>C274*G274</f>
        <v>1320</v>
      </c>
      <c r="I274" s="318"/>
      <c r="J274" s="604"/>
      <c r="K274" s="604">
        <f>G274*35</f>
        <v>3080</v>
      </c>
      <c r="L274" s="692"/>
      <c r="M274" s="693"/>
      <c r="N274" s="693"/>
      <c r="O274" s="693"/>
      <c r="P274" s="693"/>
      <c r="Q274" s="693"/>
    </row>
    <row r="275" spans="1:17" ht="24.95" customHeight="1" x14ac:dyDescent="0.2">
      <c r="A275" s="620"/>
      <c r="B275" s="621" t="s">
        <v>403</v>
      </c>
      <c r="C275" s="622">
        <f>SUM(C247:C274)</f>
        <v>249</v>
      </c>
      <c r="D275" s="622">
        <f t="shared" ref="D275:K275" si="72">SUM(D247:D274)</f>
        <v>27</v>
      </c>
      <c r="E275" s="622">
        <f t="shared" si="72"/>
        <v>57</v>
      </c>
      <c r="F275" s="622">
        <f t="shared" si="72"/>
        <v>6704.9500000000007</v>
      </c>
      <c r="G275" s="622">
        <f t="shared" si="72"/>
        <v>539</v>
      </c>
      <c r="H275" s="622">
        <f t="shared" si="72"/>
        <v>6105</v>
      </c>
      <c r="I275" s="622">
        <f t="shared" si="72"/>
        <v>2370.1999999999998</v>
      </c>
      <c r="J275" s="622">
        <f t="shared" si="72"/>
        <v>1009.7499999999999</v>
      </c>
      <c r="K275" s="622">
        <f t="shared" si="72"/>
        <v>3325</v>
      </c>
      <c r="L275" s="692"/>
      <c r="M275" s="693"/>
      <c r="N275" s="693"/>
      <c r="O275" s="693"/>
      <c r="P275" s="693"/>
      <c r="Q275" s="693"/>
    </row>
    <row r="276" spans="1:17" ht="24.95" customHeight="1" x14ac:dyDescent="0.2">
      <c r="A276" s="625">
        <v>3</v>
      </c>
      <c r="B276" s="625" t="s">
        <v>168</v>
      </c>
      <c r="C276" s="601"/>
      <c r="D276" s="601"/>
      <c r="E276" s="601"/>
      <c r="F276" s="302"/>
      <c r="G276" s="601"/>
      <c r="H276" s="320"/>
      <c r="I276" s="318"/>
      <c r="J276" s="526"/>
      <c r="K276" s="691"/>
      <c r="L276" s="692"/>
      <c r="M276" s="693"/>
      <c r="N276" s="693"/>
      <c r="O276" s="693"/>
      <c r="P276" s="693"/>
      <c r="Q276" s="693"/>
    </row>
    <row r="277" spans="1:17" ht="24.95" customHeight="1" x14ac:dyDescent="0.2">
      <c r="A277" s="626" t="s">
        <v>149</v>
      </c>
      <c r="B277" s="627" t="s">
        <v>169</v>
      </c>
      <c r="C277" s="601"/>
      <c r="D277" s="601"/>
      <c r="E277" s="601"/>
      <c r="F277" s="302"/>
      <c r="G277" s="601"/>
      <c r="H277" s="320"/>
      <c r="I277" s="318"/>
      <c r="J277" s="526"/>
      <c r="K277" s="691"/>
      <c r="L277" s="692"/>
      <c r="M277" s="693"/>
      <c r="N277" s="693"/>
      <c r="O277" s="693"/>
      <c r="P277" s="693"/>
      <c r="Q277" s="693"/>
    </row>
    <row r="278" spans="1:17" ht="24.95" customHeight="1" x14ac:dyDescent="0.2">
      <c r="A278" s="599" t="s">
        <v>229</v>
      </c>
      <c r="B278" s="628" t="s">
        <v>498</v>
      </c>
      <c r="C278" s="601">
        <v>3</v>
      </c>
      <c r="D278" s="601">
        <v>1</v>
      </c>
      <c r="E278" s="601">
        <v>1</v>
      </c>
      <c r="F278" s="320">
        <f>I278+J278+K278</f>
        <v>99</v>
      </c>
      <c r="G278" s="601">
        <v>11</v>
      </c>
      <c r="H278" s="320">
        <f>C278*E278*G278</f>
        <v>33</v>
      </c>
      <c r="I278" s="318"/>
      <c r="J278" s="526"/>
      <c r="K278" s="691">
        <f>IF(G278&lt;70, C278*E278*16.5*2, C278*E278*16.5*2)</f>
        <v>99</v>
      </c>
      <c r="L278" s="692"/>
      <c r="M278" s="693"/>
      <c r="N278" s="693"/>
      <c r="O278" s="693"/>
      <c r="P278" s="693"/>
      <c r="Q278" s="693"/>
    </row>
    <row r="279" spans="1:17" ht="24.95" customHeight="1" x14ac:dyDescent="0.2">
      <c r="A279" s="599" t="s">
        <v>230</v>
      </c>
      <c r="B279" s="628" t="s">
        <v>499</v>
      </c>
      <c r="C279" s="601">
        <v>3</v>
      </c>
      <c r="D279" s="601">
        <v>1</v>
      </c>
      <c r="E279" s="601">
        <v>1</v>
      </c>
      <c r="F279" s="320">
        <f t="shared" ref="F279:F280" si="73">I279+J279+K279</f>
        <v>99</v>
      </c>
      <c r="G279" s="601">
        <v>11</v>
      </c>
      <c r="H279" s="320">
        <f t="shared" ref="H279:H280" si="74">C279*E279*G279</f>
        <v>33</v>
      </c>
      <c r="I279" s="318">
        <f t="shared" ref="I279:I280" si="75">IF(G279&lt;70, C279*E279*16.5*2, C279*E279*16.5*2)</f>
        <v>99</v>
      </c>
      <c r="J279" s="526"/>
      <c r="K279" s="691"/>
      <c r="L279" s="692"/>
      <c r="M279" s="693"/>
      <c r="N279" s="693"/>
      <c r="O279" s="693"/>
      <c r="P279" s="693"/>
      <c r="Q279" s="693"/>
    </row>
    <row r="280" spans="1:17" ht="24.95" customHeight="1" x14ac:dyDescent="0.2">
      <c r="A280" s="619" t="s">
        <v>500</v>
      </c>
      <c r="B280" s="599" t="s">
        <v>501</v>
      </c>
      <c r="C280" s="601">
        <v>3</v>
      </c>
      <c r="D280" s="601">
        <v>1</v>
      </c>
      <c r="E280" s="601">
        <v>1</v>
      </c>
      <c r="F280" s="320">
        <f t="shared" si="73"/>
        <v>99</v>
      </c>
      <c r="G280" s="601">
        <v>11</v>
      </c>
      <c r="H280" s="320">
        <f t="shared" si="74"/>
        <v>33</v>
      </c>
      <c r="I280" s="318">
        <f t="shared" si="75"/>
        <v>99</v>
      </c>
      <c r="J280" s="526"/>
      <c r="K280" s="691"/>
      <c r="L280" s="692"/>
      <c r="M280" s="693"/>
      <c r="N280" s="693"/>
      <c r="O280" s="693"/>
      <c r="P280" s="693"/>
      <c r="Q280" s="693"/>
    </row>
    <row r="281" spans="1:17" ht="24.95" customHeight="1" x14ac:dyDescent="0.2">
      <c r="A281" s="617" t="s">
        <v>150</v>
      </c>
      <c r="B281" s="618" t="s">
        <v>170</v>
      </c>
      <c r="C281" s="601"/>
      <c r="D281" s="601"/>
      <c r="E281" s="601"/>
      <c r="F281" s="302"/>
      <c r="G281" s="601"/>
      <c r="H281" s="320"/>
      <c r="I281" s="319"/>
      <c r="J281" s="526"/>
      <c r="K281" s="691"/>
      <c r="L281" s="692"/>
      <c r="M281" s="693"/>
      <c r="N281" s="693"/>
      <c r="O281" s="693"/>
      <c r="P281" s="693"/>
      <c r="Q281" s="693"/>
    </row>
    <row r="282" spans="1:17" ht="24.95" customHeight="1" x14ac:dyDescent="0.2">
      <c r="A282" s="617"/>
      <c r="B282" s="618" t="s">
        <v>736</v>
      </c>
      <c r="C282" s="601"/>
      <c r="D282" s="601"/>
      <c r="E282" s="601"/>
      <c r="F282" s="744"/>
      <c r="G282" s="601"/>
      <c r="H282" s="320"/>
      <c r="I282" s="319"/>
      <c r="J282" s="526"/>
      <c r="K282" s="691"/>
      <c r="L282" s="692"/>
      <c r="M282" s="693"/>
      <c r="N282" s="693"/>
      <c r="O282" s="693"/>
      <c r="P282" s="693"/>
      <c r="Q282" s="693" t="s">
        <v>772</v>
      </c>
    </row>
    <row r="283" spans="1:17" ht="24.95" customHeight="1" x14ac:dyDescent="0.2">
      <c r="A283" s="617"/>
      <c r="B283" s="618" t="s">
        <v>737</v>
      </c>
      <c r="C283" s="601"/>
      <c r="D283" s="601"/>
      <c r="E283" s="601"/>
      <c r="F283" s="890"/>
      <c r="G283" s="698"/>
      <c r="H283" s="698"/>
      <c r="I283" s="698"/>
      <c r="J283" s="526"/>
      <c r="K283" s="691"/>
      <c r="L283" s="692"/>
      <c r="M283" s="693"/>
      <c r="N283" s="693"/>
      <c r="O283" s="693"/>
      <c r="P283" s="693"/>
      <c r="Q283" s="693"/>
    </row>
    <row r="284" spans="1:17" ht="24.95" customHeight="1" x14ac:dyDescent="0.2">
      <c r="A284" s="617"/>
      <c r="B284" s="618" t="s">
        <v>502</v>
      </c>
      <c r="C284" s="601"/>
      <c r="D284" s="601"/>
      <c r="E284" s="601"/>
      <c r="F284" s="781">
        <f>I284+J283+K283</f>
        <v>1140</v>
      </c>
      <c r="G284" s="601"/>
      <c r="H284" s="320"/>
      <c r="I284" s="319">
        <v>1140</v>
      </c>
      <c r="J284" s="526"/>
      <c r="K284" s="691"/>
      <c r="L284" s="692"/>
      <c r="M284" s="693"/>
      <c r="N284" s="693"/>
      <c r="O284" s="693"/>
      <c r="P284" s="693"/>
      <c r="Q284" s="693"/>
    </row>
    <row r="285" spans="1:17" ht="24.95" customHeight="1" x14ac:dyDescent="0.2">
      <c r="A285" s="619"/>
      <c r="B285" s="599" t="s">
        <v>503</v>
      </c>
      <c r="C285" s="601"/>
      <c r="D285" s="601"/>
      <c r="E285" s="601"/>
      <c r="F285" s="781">
        <f>I285+J284+K284</f>
        <v>300</v>
      </c>
      <c r="G285" s="601"/>
      <c r="H285" s="320"/>
      <c r="I285" s="319">
        <v>300</v>
      </c>
      <c r="J285" s="526"/>
      <c r="K285" s="691"/>
      <c r="L285" s="692"/>
      <c r="M285" s="693"/>
      <c r="N285" s="693"/>
      <c r="O285" s="693"/>
      <c r="P285" s="693"/>
      <c r="Q285" s="693"/>
    </row>
    <row r="286" spans="1:17" ht="24.95" customHeight="1" x14ac:dyDescent="0.2">
      <c r="A286" s="617" t="s">
        <v>171</v>
      </c>
      <c r="B286" s="618" t="s">
        <v>172</v>
      </c>
      <c r="C286" s="601"/>
      <c r="D286" s="601"/>
      <c r="E286" s="601"/>
      <c r="F286" s="302"/>
      <c r="G286" s="601"/>
      <c r="H286" s="320"/>
      <c r="I286" s="319"/>
      <c r="J286" s="526"/>
      <c r="K286" s="691"/>
      <c r="L286" s="692"/>
      <c r="M286" s="693"/>
      <c r="N286" s="693"/>
      <c r="O286" s="693"/>
      <c r="P286" s="693"/>
      <c r="Q286" s="693"/>
    </row>
    <row r="287" spans="1:17" ht="24.95" customHeight="1" x14ac:dyDescent="0.2">
      <c r="A287" s="619"/>
      <c r="B287" s="599" t="s">
        <v>738</v>
      </c>
      <c r="C287" s="601"/>
      <c r="D287" s="601"/>
      <c r="E287" s="601"/>
      <c r="F287" s="744">
        <f t="shared" ref="F287:F288" si="76">I287+J287+K287</f>
        <v>1000</v>
      </c>
      <c r="G287" s="601"/>
      <c r="H287" s="596"/>
      <c r="I287" s="596">
        <v>1000</v>
      </c>
      <c r="J287" s="526"/>
      <c r="K287" s="691"/>
      <c r="L287" s="692"/>
      <c r="M287" s="693"/>
      <c r="N287" s="693"/>
      <c r="O287" s="693"/>
      <c r="P287" s="693"/>
      <c r="Q287" s="693"/>
    </row>
    <row r="288" spans="1:17" ht="24.95" customHeight="1" x14ac:dyDescent="0.2">
      <c r="A288" s="619"/>
      <c r="B288" s="599" t="s">
        <v>504</v>
      </c>
      <c r="C288" s="601"/>
      <c r="D288" s="601"/>
      <c r="E288" s="601"/>
      <c r="F288" s="781">
        <f t="shared" si="76"/>
        <v>1000</v>
      </c>
      <c r="G288" s="601"/>
      <c r="H288" s="320"/>
      <c r="I288" s="319">
        <v>1000</v>
      </c>
      <c r="J288" s="526"/>
      <c r="K288" s="691"/>
      <c r="L288" s="692"/>
      <c r="M288" s="693"/>
      <c r="N288" s="693"/>
      <c r="O288" s="693"/>
      <c r="P288" s="693"/>
      <c r="Q288" s="693"/>
    </row>
    <row r="289" spans="1:17" ht="24.95" customHeight="1" x14ac:dyDescent="0.2">
      <c r="A289" s="619"/>
      <c r="B289" s="599" t="s">
        <v>503</v>
      </c>
      <c r="C289" s="601"/>
      <c r="D289" s="601"/>
      <c r="E289" s="601"/>
      <c r="F289" s="744">
        <f t="shared" ref="F289" si="77">I289+J289+K289</f>
        <v>600</v>
      </c>
      <c r="G289" s="601"/>
      <c r="H289" s="320"/>
      <c r="I289" s="319"/>
      <c r="J289" s="526">
        <v>600</v>
      </c>
      <c r="K289" s="691"/>
      <c r="L289" s="692"/>
      <c r="M289" s="693"/>
      <c r="N289" s="693"/>
      <c r="O289" s="693"/>
      <c r="P289" s="693"/>
      <c r="Q289" s="693"/>
    </row>
    <row r="290" spans="1:17" ht="24.95" customHeight="1" x14ac:dyDescent="0.2">
      <c r="A290" s="620"/>
      <c r="B290" s="621" t="s">
        <v>403</v>
      </c>
      <c r="C290" s="622">
        <f>SUM(C278:C289)</f>
        <v>9</v>
      </c>
      <c r="D290" s="622">
        <f t="shared" ref="D290:H290" si="78">SUM(D278:D289)</f>
        <v>3</v>
      </c>
      <c r="E290" s="622">
        <f t="shared" si="78"/>
        <v>3</v>
      </c>
      <c r="F290" s="622">
        <f>SUM(F278:F289)</f>
        <v>4337</v>
      </c>
      <c r="G290" s="622">
        <f t="shared" si="78"/>
        <v>33</v>
      </c>
      <c r="H290" s="622">
        <f t="shared" si="78"/>
        <v>99</v>
      </c>
      <c r="I290" s="622">
        <f>SUM(I278:I289)</f>
        <v>3638</v>
      </c>
      <c r="J290" s="622">
        <f>SUM(J278:J289)</f>
        <v>600</v>
      </c>
      <c r="K290" s="622">
        <f>SUM(K278:K289)</f>
        <v>99</v>
      </c>
      <c r="L290" s="692"/>
      <c r="M290" s="693"/>
      <c r="N290" s="693"/>
      <c r="O290" s="693"/>
      <c r="P290" s="693"/>
      <c r="Q290" s="693"/>
    </row>
    <row r="291" spans="1:17" ht="24.95" customHeight="1" x14ac:dyDescent="0.2">
      <c r="A291" s="659" t="s">
        <v>528</v>
      </c>
      <c r="B291" s="659" t="s">
        <v>529</v>
      </c>
      <c r="C291" s="601"/>
      <c r="D291" s="601"/>
      <c r="E291" s="601"/>
      <c r="F291" s="302"/>
      <c r="G291" s="601"/>
      <c r="H291" s="320"/>
      <c r="I291" s="318"/>
      <c r="J291" s="526"/>
      <c r="K291" s="691"/>
      <c r="L291" s="692"/>
      <c r="M291" s="693"/>
      <c r="N291" s="693"/>
      <c r="O291" s="693"/>
      <c r="P291" s="693"/>
      <c r="Q291" s="693"/>
    </row>
    <row r="292" spans="1:17" ht="24.95" customHeight="1" x14ac:dyDescent="0.2">
      <c r="A292" s="659">
        <v>1</v>
      </c>
      <c r="B292" s="660" t="s">
        <v>228</v>
      </c>
      <c r="C292" s="601"/>
      <c r="D292" s="601"/>
      <c r="E292" s="601"/>
      <c r="F292" s="302"/>
      <c r="G292" s="601"/>
      <c r="H292" s="320"/>
      <c r="I292" s="318"/>
      <c r="J292" s="526"/>
      <c r="K292" s="691"/>
      <c r="L292" s="692"/>
      <c r="M292" s="693"/>
      <c r="N292" s="693"/>
      <c r="O292" s="693"/>
      <c r="P292" s="693"/>
      <c r="Q292" s="693"/>
    </row>
    <row r="293" spans="1:17" ht="24.95" customHeight="1" x14ac:dyDescent="0.2">
      <c r="A293" s="659" t="s">
        <v>404</v>
      </c>
      <c r="B293" s="660" t="s">
        <v>165</v>
      </c>
      <c r="C293" s="601"/>
      <c r="D293" s="601"/>
      <c r="E293" s="601"/>
      <c r="F293" s="320"/>
      <c r="G293" s="601"/>
      <c r="H293" s="596"/>
      <c r="I293" s="596"/>
      <c r="J293" s="526"/>
      <c r="K293" s="691"/>
      <c r="L293" s="692"/>
      <c r="M293" s="693"/>
      <c r="N293" s="693"/>
      <c r="O293" s="693"/>
      <c r="P293" s="693"/>
      <c r="Q293" s="693"/>
    </row>
    <row r="294" spans="1:17" s="704" customFormat="1" ht="24.95" customHeight="1" x14ac:dyDescent="0.2">
      <c r="A294" s="635" t="s">
        <v>229</v>
      </c>
      <c r="B294" s="701" t="s">
        <v>739</v>
      </c>
      <c r="C294" s="637">
        <v>2</v>
      </c>
      <c r="D294" s="637">
        <v>1</v>
      </c>
      <c r="E294" s="637">
        <v>2</v>
      </c>
      <c r="F294" s="674">
        <f>I294+J294+K294</f>
        <v>66</v>
      </c>
      <c r="G294" s="382">
        <v>40</v>
      </c>
      <c r="H294" s="320">
        <f t="shared" ref="H294:H296" si="79">C294*E294*G294</f>
        <v>160</v>
      </c>
      <c r="I294" s="318">
        <f>IF(G294&lt;70, C294*E294*16.5*1, C294*E294*16.5*1.3)</f>
        <v>66</v>
      </c>
      <c r="J294" s="526"/>
      <c r="K294" s="691"/>
      <c r="L294" s="702"/>
      <c r="M294" s="703"/>
      <c r="N294" s="703"/>
      <c r="O294" s="703"/>
      <c r="P294" s="703"/>
      <c r="Q294" s="703"/>
    </row>
    <row r="295" spans="1:17" s="704" customFormat="1" ht="24.95" customHeight="1" x14ac:dyDescent="0.2">
      <c r="A295" s="635" t="s">
        <v>229</v>
      </c>
      <c r="B295" s="701" t="s">
        <v>968</v>
      </c>
      <c r="C295" s="637">
        <v>2</v>
      </c>
      <c r="D295" s="637">
        <v>1</v>
      </c>
      <c r="E295" s="637">
        <v>2</v>
      </c>
      <c r="F295" s="674">
        <f t="shared" ref="F295:F296" si="80">I295+J295+K295</f>
        <v>66</v>
      </c>
      <c r="G295" s="382">
        <v>40</v>
      </c>
      <c r="H295" s="320">
        <f t="shared" si="79"/>
        <v>160</v>
      </c>
      <c r="I295" s="318">
        <f t="shared" ref="I295:I296" si="81">IF(G295&lt;70, C295*E295*16.5*1, C295*E295*16.5*1.3)</f>
        <v>66</v>
      </c>
      <c r="J295" s="526"/>
      <c r="K295" s="691"/>
      <c r="L295" s="705"/>
      <c r="M295" s="706"/>
      <c r="N295" s="706"/>
      <c r="O295" s="706"/>
      <c r="P295" s="706"/>
      <c r="Q295" s="706"/>
    </row>
    <row r="296" spans="1:17" s="704" customFormat="1" ht="24.95" customHeight="1" x14ac:dyDescent="0.2">
      <c r="A296" s="635" t="s">
        <v>230</v>
      </c>
      <c r="B296" s="701" t="s">
        <v>969</v>
      </c>
      <c r="C296" s="637">
        <v>2</v>
      </c>
      <c r="D296" s="637">
        <v>1</v>
      </c>
      <c r="E296" s="637">
        <v>2</v>
      </c>
      <c r="F296" s="674">
        <f t="shared" si="80"/>
        <v>66</v>
      </c>
      <c r="G296" s="382">
        <v>40</v>
      </c>
      <c r="H296" s="320">
        <f t="shared" si="79"/>
        <v>160</v>
      </c>
      <c r="I296" s="318">
        <f t="shared" si="81"/>
        <v>66</v>
      </c>
      <c r="J296" s="526"/>
      <c r="K296" s="691"/>
      <c r="L296" s="707"/>
      <c r="M296" s="707"/>
      <c r="N296" s="707"/>
      <c r="O296" s="707"/>
      <c r="P296" s="707"/>
      <c r="Q296" s="706"/>
    </row>
    <row r="297" spans="1:17" s="704" customFormat="1" ht="24.95" customHeight="1" x14ac:dyDescent="0.2">
      <c r="A297" s="620"/>
      <c r="B297" s="621" t="s">
        <v>403</v>
      </c>
      <c r="C297" s="622">
        <f>SUM(C294:C296)</f>
        <v>6</v>
      </c>
      <c r="D297" s="622">
        <f t="shared" ref="D297:K297" si="82">SUM(D294:D296)</f>
        <v>3</v>
      </c>
      <c r="E297" s="622">
        <f t="shared" si="82"/>
        <v>6</v>
      </c>
      <c r="F297" s="622">
        <f t="shared" si="82"/>
        <v>198</v>
      </c>
      <c r="G297" s="622">
        <f t="shared" si="82"/>
        <v>120</v>
      </c>
      <c r="H297" s="622">
        <f t="shared" si="82"/>
        <v>480</v>
      </c>
      <c r="I297" s="622">
        <f t="shared" si="82"/>
        <v>198</v>
      </c>
      <c r="J297" s="622">
        <f t="shared" si="82"/>
        <v>0</v>
      </c>
      <c r="K297" s="622">
        <f t="shared" si="82"/>
        <v>0</v>
      </c>
      <c r="L297" s="708"/>
      <c r="M297" s="708"/>
      <c r="N297" s="708"/>
      <c r="O297" s="708"/>
      <c r="P297" s="708"/>
      <c r="Q297" s="706"/>
    </row>
    <row r="298" spans="1:17" s="704" customFormat="1" ht="24.95" customHeight="1" x14ac:dyDescent="0.2">
      <c r="A298" s="671"/>
      <c r="B298" s="672" t="s">
        <v>505</v>
      </c>
      <c r="C298" s="539">
        <f>C244+C275+C290+C297</f>
        <v>314</v>
      </c>
      <c r="D298" s="539">
        <f t="shared" ref="D298:K298" si="83">D244+D275+D290+D297</f>
        <v>50.6</v>
      </c>
      <c r="E298" s="539">
        <f t="shared" si="83"/>
        <v>87</v>
      </c>
      <c r="F298" s="539">
        <f t="shared" si="83"/>
        <v>12207.6</v>
      </c>
      <c r="G298" s="539">
        <f t="shared" si="83"/>
        <v>1563</v>
      </c>
      <c r="H298" s="539">
        <f t="shared" si="83"/>
        <v>9409</v>
      </c>
      <c r="I298" s="539">
        <f t="shared" si="83"/>
        <v>7173.85</v>
      </c>
      <c r="J298" s="539">
        <f t="shared" si="83"/>
        <v>1609.75</v>
      </c>
      <c r="K298" s="539">
        <f t="shared" si="83"/>
        <v>3424</v>
      </c>
      <c r="L298" s="938">
        <f>'Bieu3 QLGD'!F25</f>
        <v>1890</v>
      </c>
      <c r="M298" s="938">
        <f>'Bieu3 QLGD'!N25</f>
        <v>1606.5</v>
      </c>
      <c r="N298" s="938">
        <f>I298-M298</f>
        <v>5567.35</v>
      </c>
      <c r="O298" s="938">
        <f>'Bieu3 QLGD'!O25</f>
        <v>1266.75</v>
      </c>
      <c r="P298" s="938">
        <f>'Bieu3 QLGD'!P25</f>
        <v>650</v>
      </c>
      <c r="Q298" s="939" t="s">
        <v>774</v>
      </c>
    </row>
    <row r="299" spans="1:17" s="704" customFormat="1" ht="24.95" customHeight="1" x14ac:dyDescent="0.2">
      <c r="A299" s="711"/>
      <c r="B299" s="712"/>
      <c r="C299" s="713"/>
      <c r="D299" s="713"/>
      <c r="E299" s="714"/>
      <c r="F299" s="713"/>
      <c r="G299" s="713"/>
      <c r="H299" s="713"/>
      <c r="I299" s="713"/>
      <c r="J299" s="713"/>
      <c r="K299" s="715"/>
      <c r="L299" s="708"/>
      <c r="M299" s="708"/>
      <c r="N299" s="708"/>
      <c r="O299" s="708"/>
      <c r="P299" s="708"/>
      <c r="Q299" s="706"/>
    </row>
    <row r="300" spans="1:17" ht="24.95" customHeight="1" x14ac:dyDescent="0.2">
      <c r="A300" s="591" t="s">
        <v>7</v>
      </c>
      <c r="B300" s="591" t="s">
        <v>164</v>
      </c>
      <c r="C300" s="596">
        <f t="shared" ref="C300:P300" si="84">C45+C158+C188+C244+C108</f>
        <v>278</v>
      </c>
      <c r="D300" s="596">
        <f t="shared" si="84"/>
        <v>96.759999999999991</v>
      </c>
      <c r="E300" s="596">
        <f t="shared" si="84"/>
        <v>289</v>
      </c>
      <c r="F300" s="596">
        <f t="shared" si="84"/>
        <v>17649.550000000003</v>
      </c>
      <c r="G300" s="596">
        <f t="shared" si="84"/>
        <v>5138</v>
      </c>
      <c r="H300" s="596">
        <f t="shared" si="84"/>
        <v>48559</v>
      </c>
      <c r="I300" s="596">
        <f t="shared" si="84"/>
        <v>17649.550000000003</v>
      </c>
      <c r="J300" s="596">
        <f t="shared" si="84"/>
        <v>0</v>
      </c>
      <c r="K300" s="596">
        <f t="shared" si="84"/>
        <v>0</v>
      </c>
      <c r="L300" s="596">
        <f t="shared" si="84"/>
        <v>0</v>
      </c>
      <c r="M300" s="596">
        <f t="shared" si="84"/>
        <v>0</v>
      </c>
      <c r="N300" s="596">
        <f t="shared" si="84"/>
        <v>0</v>
      </c>
      <c r="O300" s="596">
        <f t="shared" si="84"/>
        <v>0</v>
      </c>
      <c r="P300" s="596">
        <f t="shared" si="84"/>
        <v>0</v>
      </c>
      <c r="Q300" s="302"/>
    </row>
    <row r="301" spans="1:17" ht="24.95" customHeight="1" x14ac:dyDescent="0.2">
      <c r="A301" s="716" t="s">
        <v>8</v>
      </c>
      <c r="B301" s="591" t="s">
        <v>174</v>
      </c>
      <c r="C301" s="596">
        <f t="shared" ref="C301:K301" si="85">C275+C206+C168+C120+C56</f>
        <v>351</v>
      </c>
      <c r="D301" s="596">
        <f t="shared" si="85"/>
        <v>53</v>
      </c>
      <c r="E301" s="596">
        <f t="shared" si="85"/>
        <v>111</v>
      </c>
      <c r="F301" s="596">
        <f t="shared" si="85"/>
        <v>8996.75</v>
      </c>
      <c r="G301" s="596">
        <f t="shared" si="85"/>
        <v>882</v>
      </c>
      <c r="H301" s="596">
        <f t="shared" si="85"/>
        <v>8706</v>
      </c>
      <c r="I301" s="596">
        <f t="shared" si="85"/>
        <v>4523.3999999999996</v>
      </c>
      <c r="J301" s="596">
        <f t="shared" si="85"/>
        <v>1009.7499999999999</v>
      </c>
      <c r="K301" s="596">
        <f t="shared" si="85"/>
        <v>3463.6</v>
      </c>
      <c r="L301" s="596">
        <v>0</v>
      </c>
      <c r="M301" s="596">
        <v>0</v>
      </c>
      <c r="N301" s="596">
        <v>0</v>
      </c>
      <c r="O301" s="596">
        <v>0</v>
      </c>
      <c r="P301" s="596">
        <v>0</v>
      </c>
      <c r="Q301" s="302"/>
    </row>
    <row r="302" spans="1:17" ht="24.95" customHeight="1" x14ac:dyDescent="0.2">
      <c r="A302" s="716" t="s">
        <v>25</v>
      </c>
      <c r="B302" s="595" t="s">
        <v>168</v>
      </c>
      <c r="C302" s="596">
        <f>C290</f>
        <v>9</v>
      </c>
      <c r="D302" s="596">
        <f>D287+D204</f>
        <v>0</v>
      </c>
      <c r="E302" s="596">
        <f>E290</f>
        <v>3</v>
      </c>
      <c r="F302" s="596">
        <f t="shared" ref="F302:K302" si="86">F290</f>
        <v>4337</v>
      </c>
      <c r="G302" s="596">
        <f t="shared" si="86"/>
        <v>33</v>
      </c>
      <c r="H302" s="596">
        <f t="shared" si="86"/>
        <v>99</v>
      </c>
      <c r="I302" s="596">
        <f t="shared" si="86"/>
        <v>3638</v>
      </c>
      <c r="J302" s="596">
        <f t="shared" si="86"/>
        <v>600</v>
      </c>
      <c r="K302" s="596">
        <f t="shared" si="86"/>
        <v>99</v>
      </c>
      <c r="L302" s="596">
        <v>0</v>
      </c>
      <c r="M302" s="596">
        <v>0</v>
      </c>
      <c r="N302" s="596">
        <v>0</v>
      </c>
      <c r="O302" s="596">
        <v>0</v>
      </c>
      <c r="P302" s="596">
        <v>0</v>
      </c>
      <c r="Q302" s="302"/>
    </row>
    <row r="303" spans="1:17" ht="24.95" customHeight="1" x14ac:dyDescent="0.2">
      <c r="A303" s="716"/>
      <c r="B303" s="595" t="s">
        <v>569</v>
      </c>
      <c r="C303" s="596">
        <f t="shared" ref="C303:K303" si="87">C297+C216+C174+C134+C76</f>
        <v>127</v>
      </c>
      <c r="D303" s="596">
        <f t="shared" si="87"/>
        <v>37</v>
      </c>
      <c r="E303" s="596">
        <f t="shared" si="87"/>
        <v>246</v>
      </c>
      <c r="F303" s="596">
        <f t="shared" si="87"/>
        <v>16585.8</v>
      </c>
      <c r="G303" s="596">
        <f t="shared" si="87"/>
        <v>1920</v>
      </c>
      <c r="H303" s="596">
        <f t="shared" si="87"/>
        <v>49870</v>
      </c>
      <c r="I303" s="596">
        <f t="shared" si="87"/>
        <v>16585.8</v>
      </c>
      <c r="J303" s="596">
        <f t="shared" si="87"/>
        <v>0</v>
      </c>
      <c r="K303" s="596">
        <f t="shared" si="87"/>
        <v>0</v>
      </c>
      <c r="L303" s="596">
        <v>0</v>
      </c>
      <c r="M303" s="596">
        <v>0</v>
      </c>
      <c r="N303" s="596">
        <v>0</v>
      </c>
      <c r="O303" s="596">
        <v>0</v>
      </c>
      <c r="P303" s="596">
        <v>0</v>
      </c>
      <c r="Q303" s="302"/>
    </row>
    <row r="304" spans="1:17" ht="24.95" customHeight="1" x14ac:dyDescent="0.2">
      <c r="A304" s="716"/>
      <c r="B304" s="595" t="s">
        <v>570</v>
      </c>
      <c r="C304" s="596">
        <v>0</v>
      </c>
      <c r="D304" s="596"/>
      <c r="E304" s="596">
        <v>0</v>
      </c>
      <c r="F304" s="596">
        <v>0</v>
      </c>
      <c r="G304" s="596">
        <v>0</v>
      </c>
      <c r="H304" s="596">
        <v>0</v>
      </c>
      <c r="I304" s="596">
        <v>0</v>
      </c>
      <c r="J304" s="596">
        <v>0</v>
      </c>
      <c r="K304" s="596">
        <v>0</v>
      </c>
      <c r="L304" s="596">
        <v>0</v>
      </c>
      <c r="M304" s="596">
        <v>0</v>
      </c>
      <c r="N304" s="596">
        <v>0</v>
      </c>
      <c r="O304" s="596">
        <v>0</v>
      </c>
      <c r="P304" s="596">
        <v>0</v>
      </c>
      <c r="Q304" s="302"/>
    </row>
    <row r="305" spans="1:17" ht="24.95" customHeight="1" x14ac:dyDescent="0.2">
      <c r="A305" s="718"/>
      <c r="B305" s="352" t="s">
        <v>507</v>
      </c>
      <c r="C305" s="332">
        <f t="shared" ref="C305:P305" si="88">C298+C217+C175+C135+C78</f>
        <v>765</v>
      </c>
      <c r="D305" s="332">
        <f t="shared" si="88"/>
        <v>189.76</v>
      </c>
      <c r="E305" s="332">
        <f t="shared" si="88"/>
        <v>649</v>
      </c>
      <c r="F305" s="332">
        <f t="shared" si="88"/>
        <v>47569.100000000006</v>
      </c>
      <c r="G305" s="332">
        <f t="shared" si="88"/>
        <v>7973</v>
      </c>
      <c r="H305" s="332">
        <f t="shared" si="88"/>
        <v>107234</v>
      </c>
      <c r="I305" s="332">
        <f t="shared" si="88"/>
        <v>42396.75</v>
      </c>
      <c r="J305" s="332">
        <f t="shared" si="88"/>
        <v>1609.75</v>
      </c>
      <c r="K305" s="332">
        <f t="shared" si="88"/>
        <v>3562.6</v>
      </c>
      <c r="L305" s="332">
        <f t="shared" si="88"/>
        <v>10192</v>
      </c>
      <c r="M305" s="650">
        <f t="shared" si="88"/>
        <v>8261.5</v>
      </c>
      <c r="N305" s="650">
        <f t="shared" si="88"/>
        <v>34135.25</v>
      </c>
      <c r="O305" s="332">
        <f t="shared" si="88"/>
        <v>6513</v>
      </c>
      <c r="P305" s="332">
        <f t="shared" si="88"/>
        <v>3099</v>
      </c>
      <c r="Q305" s="302"/>
    </row>
    <row r="306" spans="1:17" x14ac:dyDescent="0.2">
      <c r="C306" s="212"/>
      <c r="D306" s="1060" t="s">
        <v>603</v>
      </c>
      <c r="E306" s="1060"/>
      <c r="F306" s="1060"/>
      <c r="G306" s="1060"/>
      <c r="H306" s="1060"/>
      <c r="I306" s="1060"/>
      <c r="J306" s="720">
        <f>J305+K305</f>
        <v>5172.3500000000004</v>
      </c>
      <c r="K306" s="721"/>
      <c r="L306" s="721"/>
      <c r="M306" s="721"/>
      <c r="N306" s="1061" t="s">
        <v>1047</v>
      </c>
      <c r="O306" s="1061"/>
      <c r="P306" s="1061"/>
      <c r="Q306" s="1061"/>
    </row>
    <row r="307" spans="1:17" ht="12.75" customHeight="1" x14ac:dyDescent="0.2">
      <c r="A307" s="575"/>
      <c r="B307" s="575"/>
      <c r="C307" s="212"/>
      <c r="D307" s="212"/>
      <c r="E307" s="212"/>
      <c r="G307" s="212"/>
      <c r="H307" s="212"/>
      <c r="I307" s="212"/>
      <c r="J307" s="212"/>
      <c r="K307" s="721"/>
      <c r="L307" s="721"/>
      <c r="M307" s="721"/>
      <c r="N307" s="1062" t="s">
        <v>577</v>
      </c>
      <c r="O307" s="1062"/>
      <c r="P307" s="1062"/>
      <c r="Q307" s="1062"/>
    </row>
    <row r="308" spans="1:17" ht="12" customHeight="1" x14ac:dyDescent="0.2">
      <c r="A308" s="575"/>
      <c r="B308" s="1063" t="s">
        <v>863</v>
      </c>
      <c r="C308" s="1063"/>
      <c r="D308" s="1063"/>
      <c r="E308" s="1063"/>
      <c r="F308" s="1063"/>
      <c r="G308" s="1063"/>
      <c r="H308" s="1063"/>
      <c r="I308" s="1063"/>
      <c r="J308" s="1063"/>
      <c r="K308" s="1063"/>
      <c r="L308" s="66"/>
      <c r="M308" s="721"/>
      <c r="N308" s="721"/>
      <c r="O308" s="721"/>
      <c r="P308" s="721"/>
      <c r="Q308" s="579"/>
    </row>
    <row r="309" spans="1:17" ht="26.25" customHeight="1" x14ac:dyDescent="0.2">
      <c r="A309" s="575"/>
      <c r="B309" s="1064" t="s">
        <v>240</v>
      </c>
      <c r="C309" s="1064"/>
      <c r="D309" s="1064"/>
      <c r="E309" s="1064"/>
      <c r="F309" s="1064"/>
      <c r="G309" s="1064"/>
      <c r="H309" s="1064"/>
      <c r="I309" s="1064"/>
      <c r="J309" s="1064"/>
      <c r="K309" s="1064"/>
      <c r="L309" s="66"/>
      <c r="M309" s="721"/>
      <c r="N309" s="721"/>
      <c r="O309" s="721"/>
      <c r="P309" s="721"/>
      <c r="Q309" s="579"/>
    </row>
    <row r="310" spans="1:17" ht="30" customHeight="1" x14ac:dyDescent="0.2">
      <c r="A310" s="575"/>
      <c r="B310" s="1057" t="s">
        <v>76</v>
      </c>
      <c r="C310" s="1057"/>
      <c r="D310" s="1057"/>
      <c r="E310" s="1057"/>
      <c r="F310" s="1057"/>
      <c r="G310" s="1057"/>
      <c r="H310" s="1057"/>
      <c r="I310" s="1057"/>
      <c r="J310" s="1057"/>
      <c r="K310" s="1057"/>
      <c r="L310" s="66"/>
      <c r="M310" s="721"/>
      <c r="N310" s="1058" t="s">
        <v>858</v>
      </c>
      <c r="O310" s="1058"/>
      <c r="P310" s="1058"/>
      <c r="Q310" s="1058"/>
    </row>
    <row r="311" spans="1:17" x14ac:dyDescent="0.2">
      <c r="B311" s="778" t="s">
        <v>864</v>
      </c>
      <c r="C311" s="779"/>
      <c r="D311" s="779"/>
      <c r="E311" s="779"/>
      <c r="F311" s="779"/>
      <c r="G311" s="779"/>
      <c r="H311" s="779"/>
      <c r="I311" s="779"/>
      <c r="J311" s="779"/>
      <c r="K311" s="779"/>
      <c r="L311" s="66"/>
    </row>
    <row r="312" spans="1:17" x14ac:dyDescent="0.2">
      <c r="B312" s="778" t="s">
        <v>865</v>
      </c>
      <c r="C312" s="66"/>
      <c r="D312" s="66"/>
      <c r="E312" s="66"/>
      <c r="F312" s="66"/>
      <c r="G312" s="66"/>
      <c r="H312" s="66"/>
      <c r="I312" s="66"/>
      <c r="J312" s="66"/>
      <c r="K312" s="66"/>
      <c r="L312" s="66"/>
    </row>
    <row r="313" spans="1:17" x14ac:dyDescent="0.2">
      <c r="B313" s="778" t="s">
        <v>866</v>
      </c>
      <c r="C313" s="66"/>
      <c r="D313" s="66"/>
      <c r="E313" s="66"/>
      <c r="F313" s="66"/>
      <c r="G313" s="66"/>
      <c r="H313" s="66"/>
      <c r="I313" s="66"/>
      <c r="J313" s="66"/>
      <c r="K313" s="66"/>
      <c r="L313" s="66"/>
    </row>
    <row r="314" spans="1:17" x14ac:dyDescent="0.2">
      <c r="B314" s="778" t="s">
        <v>867</v>
      </c>
      <c r="C314" s="66"/>
      <c r="D314" s="66"/>
      <c r="E314" s="66"/>
      <c r="F314" s="66"/>
      <c r="G314" s="66"/>
      <c r="H314" s="66"/>
      <c r="I314" s="66"/>
      <c r="J314" s="66"/>
      <c r="K314" s="66"/>
      <c r="L314" s="66"/>
    </row>
    <row r="315" spans="1:17" x14ac:dyDescent="0.2">
      <c r="B315" s="758"/>
      <c r="C315" s="780"/>
      <c r="D315" s="780"/>
      <c r="E315" s="780"/>
      <c r="F315" s="780"/>
      <c r="G315" s="780"/>
      <c r="H315" s="66"/>
      <c r="I315" s="66"/>
      <c r="J315" s="66"/>
      <c r="K315" s="66"/>
      <c r="L315" s="66"/>
    </row>
  </sheetData>
  <mergeCells count="28">
    <mergeCell ref="L5:L6"/>
    <mergeCell ref="N5:N6"/>
    <mergeCell ref="A5:A6"/>
    <mergeCell ref="B5:B6"/>
    <mergeCell ref="C5:C6"/>
    <mergeCell ref="E5:E6"/>
    <mergeCell ref="F5:F6"/>
    <mergeCell ref="A1:C1"/>
    <mergeCell ref="I1:N1"/>
    <mergeCell ref="A2:C2"/>
    <mergeCell ref="I2:N2"/>
    <mergeCell ref="A3:Q3"/>
    <mergeCell ref="O5:O6"/>
    <mergeCell ref="P5:P6"/>
    <mergeCell ref="Q5:Q6"/>
    <mergeCell ref="Q109:Q115"/>
    <mergeCell ref="B310:K310"/>
    <mergeCell ref="N310:Q310"/>
    <mergeCell ref="M264:Q264"/>
    <mergeCell ref="D306:I306"/>
    <mergeCell ref="N306:Q306"/>
    <mergeCell ref="N307:Q307"/>
    <mergeCell ref="B308:K308"/>
    <mergeCell ref="B309:K309"/>
    <mergeCell ref="M5:M6"/>
    <mergeCell ref="G5:G6"/>
    <mergeCell ref="H5:H6"/>
    <mergeCell ref="I5:K5"/>
  </mergeCells>
  <pageMargins left="0.24" right="0.2" top="0.37" bottom="0.26" header="0.74" footer="0.6"/>
  <pageSetup paperSize="9" scale="85" orientation="landscape"/>
  <ignoredErrors>
    <ignoredError sqref="F231:F238 F225:F230 C244:K244 C275:K275 F284:H284 F285:F289 C120:K120 C108:K108" emptyCellReference="1"/>
  </ignoredErrors>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242" activePane="bottomRight" state="frozen"/>
      <selection pane="topRight" activeCell="C1" sqref="C1"/>
      <selection pane="bottomLeft" activeCell="A7" sqref="A7"/>
      <selection pane="bottomRight" activeCell="G246" sqref="G246:H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C71" sqref="C71"/>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72"/>
      <c r="E1" s="72"/>
      <c r="F1" s="72"/>
      <c r="G1" s="72"/>
      <c r="H1" s="211"/>
      <c r="I1" s="1044"/>
      <c r="J1" s="1044"/>
      <c r="K1" s="1044"/>
      <c r="L1" s="1044"/>
      <c r="M1" s="1044"/>
      <c r="N1" s="1044"/>
      <c r="O1" s="67"/>
      <c r="P1" s="67"/>
      <c r="Q1" s="371" t="s">
        <v>30</v>
      </c>
    </row>
    <row r="2" spans="1:17" x14ac:dyDescent="0.2">
      <c r="A2" s="1086" t="s">
        <v>556</v>
      </c>
      <c r="B2" s="1086"/>
      <c r="C2" s="1086"/>
      <c r="D2" s="289"/>
      <c r="E2" s="289"/>
      <c r="F2" s="72"/>
      <c r="G2" s="289"/>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297"/>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297">
        <v>40</v>
      </c>
      <c r="H12" s="297">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297">
        <v>20</v>
      </c>
      <c r="H13" s="297">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297">
        <v>80</v>
      </c>
      <c r="H14" s="297">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297">
        <v>70</v>
      </c>
      <c r="H15" s="297">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297">
        <v>70</v>
      </c>
      <c r="H16" s="297">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297">
        <v>70</v>
      </c>
      <c r="H17" s="297">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297">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297">
        <v>80</v>
      </c>
      <c r="H19" s="297">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297">
        <v>20</v>
      </c>
      <c r="H20" s="297">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297">
        <v>80</v>
      </c>
      <c r="H21" s="297">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297">
        <v>40</v>
      </c>
      <c r="H22" s="297">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297">
        <v>40</v>
      </c>
      <c r="H23" s="297">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297">
        <v>20</v>
      </c>
      <c r="H24" s="297">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297">
        <v>20</v>
      </c>
      <c r="H25" s="297">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297">
        <v>70</v>
      </c>
      <c r="H26" s="297">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297">
        <v>70</v>
      </c>
      <c r="H27" s="297">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297">
        <v>45</v>
      </c>
      <c r="H28" s="297">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297">
        <v>40</v>
      </c>
      <c r="H29" s="297">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297">
        <v>65</v>
      </c>
      <c r="H30" s="297">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297">
        <v>70</v>
      </c>
      <c r="H31" s="297">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297">
        <v>50</v>
      </c>
      <c r="H32" s="297">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297">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297">
        <v>80</v>
      </c>
      <c r="H34" s="297">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297">
        <v>70</v>
      </c>
      <c r="H35" s="297">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297">
        <v>21</v>
      </c>
      <c r="H36" s="297">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297">
        <v>70</v>
      </c>
      <c r="H37" s="297">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297">
        <v>20</v>
      </c>
      <c r="H38" s="297">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297">
        <v>50</v>
      </c>
      <c r="H39" s="297">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297">
        <v>70</v>
      </c>
      <c r="H40" s="297">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297">
        <v>50</v>
      </c>
      <c r="H41" s="297">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297">
        <v>50</v>
      </c>
      <c r="H42" s="297">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297">
        <v>50</v>
      </c>
      <c r="H43" s="297">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297">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297">
        <v>0</v>
      </c>
      <c r="H45" s="297">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297">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297"/>
      <c r="G47" s="297"/>
      <c r="H47" s="297"/>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297">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297"/>
      <c r="G49" s="297"/>
      <c r="H49" s="297"/>
      <c r="I49" s="297"/>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297"/>
      <c r="G50" s="297"/>
      <c r="H50" s="297"/>
      <c r="I50" s="297"/>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297"/>
      <c r="G51" s="297"/>
      <c r="H51" s="297"/>
      <c r="I51" s="297"/>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297"/>
      <c r="G52" s="297"/>
      <c r="H52" s="297"/>
      <c r="I52" s="297"/>
      <c r="J52" s="300">
        <v>5</v>
      </c>
      <c r="K52" s="300"/>
      <c r="L52" s="300"/>
      <c r="M52" s="300"/>
      <c r="N52" s="300"/>
      <c r="O52" s="300"/>
      <c r="P52" s="300"/>
      <c r="Q52" s="1079"/>
    </row>
    <row r="53" spans="1:17" s="71" customFormat="1" ht="24.95" customHeight="1" x14ac:dyDescent="0.2">
      <c r="A53" s="467" t="s">
        <v>236</v>
      </c>
      <c r="B53" s="422" t="s">
        <v>159</v>
      </c>
      <c r="C53" s="425"/>
      <c r="D53" s="425"/>
      <c r="E53" s="425"/>
      <c r="F53" s="297"/>
      <c r="G53" s="297"/>
      <c r="H53" s="297"/>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297"/>
      <c r="G54" s="297"/>
      <c r="H54" s="297"/>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297">
        <v>10</v>
      </c>
      <c r="H55" s="297">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297">
        <v>10</v>
      </c>
      <c r="H56" s="297">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297">
        <v>10</v>
      </c>
      <c r="H57" s="297">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297">
        <v>10</v>
      </c>
      <c r="H58" s="297">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297">
        <v>10</v>
      </c>
      <c r="H59" s="297">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297">
        <v>15</v>
      </c>
      <c r="H60" s="297">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297">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297">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297">
        <v>0</v>
      </c>
      <c r="G64" s="297">
        <v>0</v>
      </c>
      <c r="H64" s="297">
        <v>0</v>
      </c>
      <c r="I64" s="297">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297"/>
      <c r="G65" s="297"/>
      <c r="H65" s="297"/>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297"/>
      <c r="G66" s="297"/>
      <c r="H66" s="297"/>
      <c r="I66" s="300"/>
      <c r="J66" s="300"/>
      <c r="K66" s="300"/>
      <c r="L66" s="300"/>
      <c r="M66" s="300"/>
      <c r="N66" s="300"/>
      <c r="O66" s="300"/>
      <c r="P66" s="300"/>
      <c r="Q66" s="301"/>
    </row>
    <row r="67" spans="1:17" s="71" customFormat="1" ht="24.95" customHeight="1" x14ac:dyDescent="0.2">
      <c r="A67" s="435" t="s">
        <v>150</v>
      </c>
      <c r="B67" s="436" t="s">
        <v>493</v>
      </c>
      <c r="C67" s="429"/>
      <c r="D67" s="429"/>
      <c r="E67" s="429"/>
      <c r="F67" s="297"/>
      <c r="G67" s="297"/>
      <c r="H67" s="297"/>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297">
        <v>40</v>
      </c>
      <c r="H68" s="297">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297">
        <v>40</v>
      </c>
      <c r="H69" s="297">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297">
        <v>40</v>
      </c>
      <c r="H70" s="297">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297">
        <v>40</v>
      </c>
      <c r="H71" s="297">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297">
        <v>40</v>
      </c>
      <c r="H72" s="297">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297">
        <v>40</v>
      </c>
      <c r="H73" s="297">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297">
        <v>40</v>
      </c>
      <c r="H74" s="297">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297">
        <v>40</v>
      </c>
      <c r="H75" s="297">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297">
        <v>40</v>
      </c>
      <c r="H76" s="297">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297">
        <v>40</v>
      </c>
      <c r="H77" s="297">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297">
        <v>40</v>
      </c>
      <c r="H78" s="297">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297">
        <v>40</v>
      </c>
      <c r="H79" s="297">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297">
        <v>40</v>
      </c>
      <c r="H80" s="297">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297">
        <v>40</v>
      </c>
      <c r="H81" s="297">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297">
        <v>40</v>
      </c>
      <c r="H82" s="297">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297">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297">
        <v>0</v>
      </c>
      <c r="G84" s="297">
        <v>0</v>
      </c>
      <c r="H84" s="297">
        <v>0</v>
      </c>
      <c r="I84" s="297">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297"/>
      <c r="D92" s="297"/>
      <c r="E92" s="297"/>
      <c r="F92" s="297"/>
      <c r="G92" s="297"/>
      <c r="H92" s="297"/>
      <c r="I92" s="300"/>
      <c r="J92" s="300"/>
      <c r="K92" s="300"/>
      <c r="L92" s="300"/>
      <c r="M92" s="300"/>
      <c r="N92" s="300"/>
      <c r="O92" s="300"/>
      <c r="P92" s="300"/>
      <c r="Q92" s="301"/>
    </row>
    <row r="93" spans="1:17" s="71" customFormat="1" ht="24.95" customHeight="1" x14ac:dyDescent="0.2">
      <c r="A93" s="315" t="s">
        <v>400</v>
      </c>
      <c r="B93" s="315" t="s">
        <v>401</v>
      </c>
      <c r="C93" s="297"/>
      <c r="D93" s="297"/>
      <c r="E93" s="297"/>
      <c r="F93" s="297"/>
      <c r="G93" s="297"/>
      <c r="H93" s="297"/>
      <c r="I93" s="300"/>
      <c r="J93" s="300"/>
      <c r="K93" s="300"/>
      <c r="L93" s="300"/>
      <c r="M93" s="300"/>
      <c r="N93" s="300"/>
      <c r="O93" s="300"/>
      <c r="P93" s="300"/>
      <c r="Q93" s="301"/>
    </row>
    <row r="94" spans="1:17" s="71" customFormat="1" ht="24.95" customHeight="1" x14ac:dyDescent="0.2">
      <c r="A94" s="315">
        <v>1</v>
      </c>
      <c r="B94" s="315" t="s">
        <v>402</v>
      </c>
      <c r="C94" s="297"/>
      <c r="D94" s="297"/>
      <c r="E94" s="297"/>
      <c r="F94" s="297"/>
      <c r="G94" s="297"/>
      <c r="H94" s="297"/>
      <c r="I94" s="300"/>
      <c r="J94" s="300"/>
      <c r="K94" s="300"/>
      <c r="L94" s="300"/>
      <c r="M94" s="300"/>
      <c r="N94" s="300"/>
      <c r="O94" s="300"/>
      <c r="P94" s="300"/>
      <c r="Q94" s="301"/>
    </row>
    <row r="95" spans="1:17" s="71" customFormat="1" ht="24.95" customHeight="1" x14ac:dyDescent="0.2">
      <c r="A95" s="316" t="s">
        <v>149</v>
      </c>
      <c r="B95" s="317" t="s">
        <v>163</v>
      </c>
      <c r="C95" s="297"/>
      <c r="D95" s="297"/>
      <c r="E95" s="297"/>
      <c r="F95" s="297"/>
      <c r="G95" s="297"/>
      <c r="H95" s="297"/>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297">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297">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297">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297">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297">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297">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297">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297">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297">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297">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297">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297">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297">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297">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297">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297">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297">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297">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297">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297">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297">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297">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297">
        <v>70</v>
      </c>
      <c r="H118" s="297">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297">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297">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297">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297"/>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297"/>
      <c r="I128" s="297"/>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297"/>
      <c r="I129" s="297"/>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297">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297">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297">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297">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297">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297">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297">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297">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297">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297">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297">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297">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297">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297">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297">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297">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297">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297">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297">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297">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297">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297">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297">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I164" si="34">SUM(D149:D163)</f>
        <v>15</v>
      </c>
      <c r="E164" s="329">
        <f t="shared" si="34"/>
        <v>203</v>
      </c>
      <c r="F164" s="322">
        <f t="shared" si="34"/>
        <v>14800.5</v>
      </c>
      <c r="G164" s="329">
        <f t="shared" si="34"/>
        <v>1060</v>
      </c>
      <c r="H164" s="329">
        <f t="shared" si="34"/>
        <v>48620</v>
      </c>
      <c r="I164" s="329">
        <f t="shared" si="34"/>
        <v>14800.5</v>
      </c>
      <c r="J164" s="329">
        <f t="shared" ref="J164" si="35">SUM(J149:J163)</f>
        <v>0</v>
      </c>
      <c r="K164" s="329">
        <f t="shared" ref="K164" si="36">SUM(K149:K163)</f>
        <v>0</v>
      </c>
      <c r="L164" s="319"/>
      <c r="M164" s="319"/>
      <c r="N164" s="319"/>
      <c r="O164" s="319"/>
      <c r="P164" s="319"/>
      <c r="Q164" s="302"/>
    </row>
    <row r="165" spans="1:17" s="71" customFormat="1" ht="24.95" customHeight="1" x14ac:dyDescent="0.2">
      <c r="A165" s="330"/>
      <c r="B165" s="331" t="s">
        <v>416</v>
      </c>
      <c r="C165" s="332">
        <f t="shared" ref="C165:K165" si="37">C126+C164+C146</f>
        <v>55</v>
      </c>
      <c r="D165" s="332">
        <f t="shared" si="37"/>
        <v>16</v>
      </c>
      <c r="E165" s="332">
        <f t="shared" si="37"/>
        <v>219</v>
      </c>
      <c r="F165" s="368">
        <f t="shared" si="37"/>
        <v>59096.850000000006</v>
      </c>
      <c r="G165" s="332">
        <f t="shared" si="37"/>
        <v>2512</v>
      </c>
      <c r="H165" s="332">
        <f t="shared" si="37"/>
        <v>242109.56</v>
      </c>
      <c r="I165" s="332">
        <f t="shared" si="37"/>
        <v>58898.850000000006</v>
      </c>
      <c r="J165" s="332">
        <f t="shared" si="37"/>
        <v>198</v>
      </c>
      <c r="K165" s="332">
        <f t="shared" si="37"/>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8">I171+J171+K171</f>
        <v>858</v>
      </c>
      <c r="G171" s="343">
        <v>50</v>
      </c>
      <c r="H171" s="297">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8"/>
        <v>450.45</v>
      </c>
      <c r="G172" s="344">
        <v>70</v>
      </c>
      <c r="H172" s="297">
        <f t="shared" ref="H172:H184" si="39">C172*D172*E172*G172</f>
        <v>1470</v>
      </c>
      <c r="I172" s="299">
        <f t="shared" ref="I172:I182" si="40">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8"/>
        <v>643.5</v>
      </c>
      <c r="G173" s="344">
        <v>70</v>
      </c>
      <c r="H173" s="297">
        <f t="shared" si="39"/>
        <v>2100</v>
      </c>
      <c r="I173" s="299">
        <f t="shared" si="40"/>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8"/>
        <v>33</v>
      </c>
      <c r="G174" s="344">
        <v>50</v>
      </c>
      <c r="H174" s="297">
        <f t="shared" si="39"/>
        <v>100</v>
      </c>
      <c r="I174" s="299">
        <f t="shared" si="40"/>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8"/>
        <v>33</v>
      </c>
      <c r="G175" s="344">
        <v>55</v>
      </c>
      <c r="H175" s="297">
        <f t="shared" si="39"/>
        <v>110</v>
      </c>
      <c r="I175" s="299">
        <f t="shared" si="40"/>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8"/>
        <v>49.5</v>
      </c>
      <c r="G176" s="344">
        <v>30</v>
      </c>
      <c r="H176" s="297">
        <f t="shared" si="39"/>
        <v>90</v>
      </c>
      <c r="I176" s="299">
        <f t="shared" si="40"/>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8"/>
        <v>33</v>
      </c>
      <c r="G177" s="344">
        <v>30</v>
      </c>
      <c r="H177" s="297">
        <f t="shared" si="39"/>
        <v>60</v>
      </c>
      <c r="I177" s="299">
        <f t="shared" si="40"/>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8"/>
        <v>33</v>
      </c>
      <c r="G178" s="344">
        <v>40</v>
      </c>
      <c r="H178" s="297">
        <f t="shared" si="39"/>
        <v>80</v>
      </c>
      <c r="I178" s="299">
        <f t="shared" si="40"/>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8"/>
        <v>33</v>
      </c>
      <c r="G179" s="345">
        <v>40</v>
      </c>
      <c r="H179" s="297">
        <f t="shared" si="39"/>
        <v>80</v>
      </c>
      <c r="I179" s="299">
        <f t="shared" si="40"/>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8"/>
        <v>99</v>
      </c>
      <c r="G180" s="345">
        <v>40</v>
      </c>
      <c r="H180" s="297">
        <f t="shared" si="39"/>
        <v>335.99999999999994</v>
      </c>
      <c r="I180" s="299">
        <f t="shared" si="40"/>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8"/>
        <v>300.3</v>
      </c>
      <c r="G181" s="345">
        <v>80</v>
      </c>
      <c r="H181" s="297">
        <f t="shared" si="39"/>
        <v>1567.9999999999998</v>
      </c>
      <c r="I181" s="299">
        <f t="shared" si="40"/>
        <v>300.3</v>
      </c>
      <c r="J181" s="300"/>
      <c r="K181" s="300"/>
      <c r="L181" s="300"/>
      <c r="M181" s="300"/>
      <c r="N181" s="300"/>
      <c r="O181" s="300"/>
      <c r="P181" s="300"/>
      <c r="Q181" s="301"/>
    </row>
    <row r="182" spans="1:17" s="71" customFormat="1" ht="24.95" customHeight="1" x14ac:dyDescent="0.2">
      <c r="A182" s="427"/>
      <c r="B182" s="437" t="s">
        <v>403</v>
      </c>
      <c r="C182" s="441">
        <f t="shared" ref="C182:E182" si="41">SUM(C171:C181)</f>
        <v>27</v>
      </c>
      <c r="D182" s="441">
        <f t="shared" si="41"/>
        <v>11.8</v>
      </c>
      <c r="E182" s="441">
        <f t="shared" si="41"/>
        <v>52</v>
      </c>
      <c r="F182" s="302">
        <f t="shared" si="38"/>
        <v>30115.8</v>
      </c>
      <c r="G182" s="345">
        <v>80</v>
      </c>
      <c r="H182" s="297">
        <f t="shared" si="39"/>
        <v>1325376</v>
      </c>
      <c r="I182" s="299">
        <f t="shared" si="40"/>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8"/>
        <v>0</v>
      </c>
      <c r="G183" s="345">
        <v>36</v>
      </c>
      <c r="H183" s="297">
        <f t="shared" si="39"/>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8"/>
        <v>0</v>
      </c>
      <c r="G184" s="345">
        <v>20</v>
      </c>
      <c r="H184" s="297">
        <f t="shared" si="39"/>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2">SUM(F171:F184)</f>
        <v>32681.55</v>
      </c>
      <c r="G185" s="329">
        <f t="shared" si="42"/>
        <v>691</v>
      </c>
      <c r="H185" s="329">
        <f t="shared" si="42"/>
        <v>1333970</v>
      </c>
      <c r="I185" s="329">
        <f t="shared" si="42"/>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3">I188+J188+K188</f>
        <v>74.25</v>
      </c>
      <c r="G188" s="344">
        <v>15</v>
      </c>
      <c r="H188" s="297">
        <f>C188*D188*E188*G188</f>
        <v>45</v>
      </c>
      <c r="I188" s="299">
        <f t="shared" ref="I188:I194" si="44">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3"/>
        <v>222.75</v>
      </c>
      <c r="G189" s="344">
        <v>10</v>
      </c>
      <c r="H189" s="297">
        <f t="shared" ref="H189:H194" si="45">C189*D189*E189*G189</f>
        <v>90</v>
      </c>
      <c r="I189" s="299">
        <f t="shared" si="44"/>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3"/>
        <v>74.25</v>
      </c>
      <c r="G190" s="344">
        <v>10</v>
      </c>
      <c r="H190" s="297">
        <f t="shared" si="45"/>
        <v>30</v>
      </c>
      <c r="I190" s="299">
        <f t="shared" si="44"/>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3"/>
        <v>222.75</v>
      </c>
      <c r="G191" s="344">
        <v>10</v>
      </c>
      <c r="H191" s="297">
        <f t="shared" si="45"/>
        <v>90</v>
      </c>
      <c r="I191" s="299">
        <f t="shared" si="44"/>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6">SUM(D185:D191)</f>
        <v>7</v>
      </c>
      <c r="E192" s="441">
        <f t="shared" si="46"/>
        <v>13</v>
      </c>
      <c r="F192" s="302">
        <f t="shared" si="43"/>
        <v>6756.75</v>
      </c>
      <c r="G192" s="344">
        <v>15</v>
      </c>
      <c r="H192" s="297">
        <f t="shared" si="45"/>
        <v>28665</v>
      </c>
      <c r="I192" s="299">
        <f t="shared" si="44"/>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3"/>
        <v>0</v>
      </c>
      <c r="G193" s="344">
        <v>10</v>
      </c>
      <c r="H193" s="297">
        <f t="shared" si="45"/>
        <v>0</v>
      </c>
      <c r="I193" s="299">
        <f t="shared" si="44"/>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3"/>
        <v>0</v>
      </c>
      <c r="G194" s="344">
        <v>15</v>
      </c>
      <c r="H194" s="297">
        <f t="shared" si="45"/>
        <v>0</v>
      </c>
      <c r="I194" s="299">
        <f t="shared" si="44"/>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7">SUM(F188:F194)</f>
        <v>7350.75</v>
      </c>
      <c r="G195" s="329">
        <f t="shared" si="47"/>
        <v>85</v>
      </c>
      <c r="H195" s="329">
        <f t="shared" si="47"/>
        <v>28920</v>
      </c>
      <c r="I195" s="329">
        <f t="shared" si="47"/>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8">SUM(D196:D197)</f>
        <v>2</v>
      </c>
      <c r="E198" s="441">
        <f t="shared" si="48"/>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9">C182+C192+C198</f>
        <v>58</v>
      </c>
      <c r="D199" s="475">
        <f t="shared" si="49"/>
        <v>20.8</v>
      </c>
      <c r="E199" s="475">
        <f t="shared" si="49"/>
        <v>116</v>
      </c>
      <c r="F199" s="302">
        <f t="shared" ref="F199" si="50">I199+J199+K199</f>
        <v>111012</v>
      </c>
      <c r="G199" s="346">
        <v>50</v>
      </c>
      <c r="H199" s="297">
        <f t="shared" ref="H199" si="51">C199*D199*E199*G199</f>
        <v>6997120.0000000009</v>
      </c>
      <c r="I199" s="299">
        <f t="shared" ref="I199" si="52">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3">I204+J204+K204</f>
        <v>257.40000000000003</v>
      </c>
      <c r="G204" s="350">
        <v>70</v>
      </c>
      <c r="H204" s="297">
        <f t="shared" ref="H204:H210" si="54">C204*D204*E204*G204</f>
        <v>840</v>
      </c>
      <c r="I204" s="299">
        <f t="shared" ref="I204:I210" si="55">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3"/>
        <v>193.05</v>
      </c>
      <c r="G205" s="346">
        <v>70</v>
      </c>
      <c r="H205" s="297">
        <f t="shared" si="54"/>
        <v>630</v>
      </c>
      <c r="I205" s="299">
        <f t="shared" si="55"/>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3"/>
        <v>257.40000000000003</v>
      </c>
      <c r="G206" s="346">
        <v>70</v>
      </c>
      <c r="H206" s="297">
        <f t="shared" si="54"/>
        <v>840</v>
      </c>
      <c r="I206" s="299">
        <f t="shared" si="55"/>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3"/>
        <v>343.2</v>
      </c>
      <c r="G207" s="346">
        <v>70</v>
      </c>
      <c r="H207" s="297">
        <f t="shared" si="54"/>
        <v>1120</v>
      </c>
      <c r="I207" s="299">
        <f t="shared" si="55"/>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3"/>
        <v>85.8</v>
      </c>
      <c r="G208" s="346">
        <v>70</v>
      </c>
      <c r="H208" s="297">
        <f t="shared" si="54"/>
        <v>280</v>
      </c>
      <c r="I208" s="299">
        <f t="shared" si="55"/>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3"/>
        <v>171.6</v>
      </c>
      <c r="G209" s="346">
        <v>70</v>
      </c>
      <c r="H209" s="297">
        <f t="shared" si="54"/>
        <v>560</v>
      </c>
      <c r="I209" s="299">
        <f t="shared" si="55"/>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3"/>
        <v>429</v>
      </c>
      <c r="G210" s="346">
        <v>70</v>
      </c>
      <c r="H210" s="297">
        <f t="shared" si="54"/>
        <v>1400</v>
      </c>
      <c r="I210" s="299">
        <f t="shared" si="55"/>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6">SUM(F204:F210)</f>
        <v>1737.45</v>
      </c>
      <c r="G211" s="329">
        <f t="shared" si="56"/>
        <v>490</v>
      </c>
      <c r="H211" s="329">
        <f t="shared" si="56"/>
        <v>5670</v>
      </c>
      <c r="I211" s="329">
        <f t="shared" si="56"/>
        <v>1737.45</v>
      </c>
      <c r="J211" s="300"/>
      <c r="K211" s="300"/>
      <c r="L211" s="300"/>
      <c r="M211" s="300"/>
      <c r="N211" s="300"/>
      <c r="O211" s="300"/>
      <c r="P211" s="300"/>
      <c r="Q211" s="301"/>
    </row>
    <row r="212" spans="1:17" s="71" customFormat="1" ht="24.95" customHeight="1" x14ac:dyDescent="0.2">
      <c r="A212" s="427"/>
      <c r="B212" s="437" t="s">
        <v>403</v>
      </c>
      <c r="C212" s="441">
        <f t="shared" ref="C212:E212" si="57">SUM(C203:C211)</f>
        <v>29</v>
      </c>
      <c r="D212" s="441">
        <f t="shared" si="57"/>
        <v>9</v>
      </c>
      <c r="E212" s="441">
        <f t="shared" si="57"/>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8">I220+J220+K220</f>
        <v>0</v>
      </c>
      <c r="G220" s="346">
        <v>25</v>
      </c>
      <c r="H220" s="297">
        <f t="shared" ref="H220:H222" si="59">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8"/>
        <v>222.75</v>
      </c>
      <c r="G221" s="346">
        <v>15</v>
      </c>
      <c r="H221" s="297">
        <f t="shared" si="59"/>
        <v>135</v>
      </c>
      <c r="I221" s="299">
        <f t="shared" ref="I221:I222" si="60">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8"/>
        <v>74.25</v>
      </c>
      <c r="G222" s="346">
        <v>25</v>
      </c>
      <c r="H222" s="297">
        <f t="shared" si="59"/>
        <v>75</v>
      </c>
      <c r="I222" s="299">
        <f t="shared" si="60"/>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61">SUM(F220:F222)</f>
        <v>297</v>
      </c>
      <c r="G223" s="342">
        <f t="shared" si="61"/>
        <v>65</v>
      </c>
      <c r="H223" s="342">
        <f t="shared" si="61"/>
        <v>210</v>
      </c>
      <c r="I223" s="342">
        <f t="shared" si="61"/>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2">SUM(D221:D224)</f>
        <v>4</v>
      </c>
      <c r="E225" s="469">
        <f t="shared" si="62"/>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3">F224+F227+F228</f>
        <v>0</v>
      </c>
      <c r="G229" s="342">
        <f t="shared" si="63"/>
        <v>0</v>
      </c>
      <c r="H229" s="342">
        <f t="shared" si="63"/>
        <v>0</v>
      </c>
      <c r="I229" s="342">
        <f t="shared" si="63"/>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4">D226+D229+D230</f>
        <v>0</v>
      </c>
      <c r="E231" s="469">
        <f t="shared" si="64"/>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5">I233+J233+K233</f>
        <v>0</v>
      </c>
      <c r="G233" s="346">
        <v>60</v>
      </c>
      <c r="H233" s="297">
        <f t="shared" ref="H233:H236" si="66">C233*D233*E233*G233</f>
        <v>0</v>
      </c>
      <c r="I233" s="299">
        <f t="shared" ref="I233:I238" si="67">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5"/>
        <v>0</v>
      </c>
      <c r="G234" s="346">
        <v>60</v>
      </c>
      <c r="H234" s="297">
        <f t="shared" si="66"/>
        <v>0</v>
      </c>
      <c r="I234" s="299">
        <f t="shared" si="67"/>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5"/>
        <v>1320</v>
      </c>
      <c r="G235" s="346">
        <v>60</v>
      </c>
      <c r="H235" s="297">
        <f t="shared" si="66"/>
        <v>4800</v>
      </c>
      <c r="I235" s="299">
        <f t="shared" si="67"/>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5"/>
        <v>577.5</v>
      </c>
      <c r="G236" s="346">
        <v>60</v>
      </c>
      <c r="H236" s="297">
        <f t="shared" si="66"/>
        <v>2100</v>
      </c>
      <c r="I236" s="299">
        <f t="shared" si="67"/>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5"/>
        <v>792</v>
      </c>
      <c r="G237" s="308">
        <v>50</v>
      </c>
      <c r="H237" s="297">
        <f t="shared" ref="H237:H238" si="68">C237*D237*E237*G237</f>
        <v>2400</v>
      </c>
      <c r="I237" s="299">
        <f t="shared" si="67"/>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5"/>
        <v>346.5</v>
      </c>
      <c r="G238" s="308">
        <v>50</v>
      </c>
      <c r="H238" s="297">
        <f t="shared" si="68"/>
        <v>1050</v>
      </c>
      <c r="I238" s="299">
        <f t="shared" si="67"/>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9">SUM(F233:F238)</f>
        <v>3036</v>
      </c>
      <c r="G239" s="329">
        <f t="shared" si="69"/>
        <v>340</v>
      </c>
      <c r="H239" s="329">
        <f t="shared" si="69"/>
        <v>10350</v>
      </c>
      <c r="I239" s="329">
        <f t="shared" si="69"/>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70">F211+F223+F229+F239</f>
        <v>5070.45</v>
      </c>
      <c r="G240" s="332">
        <f t="shared" si="70"/>
        <v>895</v>
      </c>
      <c r="H240" s="332">
        <f t="shared" si="70"/>
        <v>16230</v>
      </c>
      <c r="I240" s="332">
        <f t="shared" si="70"/>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71">SUM(C235:C240)</f>
        <v>26</v>
      </c>
      <c r="D241" s="441">
        <f t="shared" si="71"/>
        <v>6</v>
      </c>
      <c r="E241" s="441">
        <f t="shared" si="71"/>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72">D212+D225+D231+D241</f>
        <v>19</v>
      </c>
      <c r="E242" s="475">
        <f t="shared" si="72"/>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297"/>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3">I247+J247+K247</f>
        <v>33</v>
      </c>
      <c r="G247" s="297">
        <v>40</v>
      </c>
      <c r="H247" s="297">
        <f t="shared" ref="H247:H271" si="74">C247*D247*E247*G247</f>
        <v>80</v>
      </c>
      <c r="I247" s="299">
        <f t="shared" ref="I247:I272" si="75">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3"/>
        <v>49.5</v>
      </c>
      <c r="G248" s="297">
        <v>20</v>
      </c>
      <c r="H248" s="297">
        <f t="shared" si="74"/>
        <v>60</v>
      </c>
      <c r="I248" s="299">
        <f t="shared" si="75"/>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3"/>
        <v>128.70000000000002</v>
      </c>
      <c r="G249" s="297">
        <v>80</v>
      </c>
      <c r="H249" s="297">
        <f t="shared" si="74"/>
        <v>480</v>
      </c>
      <c r="I249" s="299">
        <f t="shared" si="75"/>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3"/>
        <v>64.350000000000009</v>
      </c>
      <c r="G250" s="297">
        <v>80</v>
      </c>
      <c r="H250" s="297">
        <f t="shared" si="74"/>
        <v>240</v>
      </c>
      <c r="I250" s="299">
        <f t="shared" si="75"/>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3"/>
        <v>85.8</v>
      </c>
      <c r="G251" s="297">
        <v>80</v>
      </c>
      <c r="H251" s="297">
        <f t="shared" si="74"/>
        <v>320</v>
      </c>
      <c r="I251" s="299">
        <f t="shared" si="75"/>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3"/>
        <v>42.9</v>
      </c>
      <c r="G252" s="297">
        <v>80</v>
      </c>
      <c r="H252" s="297">
        <f t="shared" si="74"/>
        <v>160</v>
      </c>
      <c r="I252" s="299">
        <f t="shared" si="75"/>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3"/>
        <v>49.5</v>
      </c>
      <c r="G253" s="299">
        <v>40</v>
      </c>
      <c r="H253" s="297">
        <f t="shared" si="74"/>
        <v>120</v>
      </c>
      <c r="I253" s="299">
        <f t="shared" si="75"/>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3"/>
        <v>33</v>
      </c>
      <c r="G254" s="299">
        <v>40</v>
      </c>
      <c r="H254" s="297">
        <f t="shared" si="74"/>
        <v>80</v>
      </c>
      <c r="I254" s="299">
        <f t="shared" si="75"/>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3"/>
        <v>49.5</v>
      </c>
      <c r="G255" s="299">
        <v>30</v>
      </c>
      <c r="H255" s="297">
        <f t="shared" si="74"/>
        <v>90</v>
      </c>
      <c r="I255" s="299">
        <f t="shared" si="75"/>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3"/>
        <v>66</v>
      </c>
      <c r="G256" s="299">
        <v>30</v>
      </c>
      <c r="H256" s="297">
        <f t="shared" si="74"/>
        <v>120</v>
      </c>
      <c r="I256" s="299">
        <f t="shared" si="75"/>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3"/>
        <v>42.9</v>
      </c>
      <c r="G257" s="299">
        <v>80</v>
      </c>
      <c r="H257" s="297">
        <f t="shared" si="74"/>
        <v>160</v>
      </c>
      <c r="I257" s="299">
        <f t="shared" si="75"/>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3"/>
        <v>42.9</v>
      </c>
      <c r="G258" s="297">
        <v>80</v>
      </c>
      <c r="H258" s="297">
        <f t="shared" si="74"/>
        <v>160</v>
      </c>
      <c r="I258" s="299">
        <f t="shared" si="75"/>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3"/>
        <v>66</v>
      </c>
      <c r="G259" s="297">
        <v>30</v>
      </c>
      <c r="H259" s="297">
        <f t="shared" si="74"/>
        <v>120</v>
      </c>
      <c r="I259" s="299">
        <f t="shared" si="75"/>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3"/>
        <v>66</v>
      </c>
      <c r="G260" s="373">
        <v>40</v>
      </c>
      <c r="H260" s="297">
        <f t="shared" si="74"/>
        <v>160</v>
      </c>
      <c r="I260" s="299">
        <f t="shared" si="75"/>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3"/>
        <v>42.9</v>
      </c>
      <c r="G261" s="373">
        <v>89</v>
      </c>
      <c r="H261" s="297">
        <f t="shared" si="74"/>
        <v>178</v>
      </c>
      <c r="I261" s="299">
        <f t="shared" si="75"/>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3"/>
        <v>49.5</v>
      </c>
      <c r="G262" s="373">
        <v>40</v>
      </c>
      <c r="H262" s="297">
        <f t="shared" si="74"/>
        <v>120</v>
      </c>
      <c r="I262" s="299">
        <f t="shared" si="75"/>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3"/>
        <v>42.9</v>
      </c>
      <c r="G263" s="297">
        <v>80</v>
      </c>
      <c r="H263" s="297">
        <f t="shared" si="74"/>
        <v>160</v>
      </c>
      <c r="I263" s="299">
        <f t="shared" si="75"/>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3"/>
        <v>33</v>
      </c>
      <c r="G264" s="297">
        <v>40</v>
      </c>
      <c r="H264" s="297">
        <f t="shared" si="74"/>
        <v>80</v>
      </c>
      <c r="I264" s="299">
        <f t="shared" si="75"/>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3"/>
        <v>49.5</v>
      </c>
      <c r="G265" s="297">
        <v>40</v>
      </c>
      <c r="H265" s="297">
        <f t="shared" si="74"/>
        <v>120</v>
      </c>
      <c r="I265" s="299">
        <f t="shared" si="75"/>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3"/>
        <v>42.9</v>
      </c>
      <c r="G266" s="297">
        <v>80</v>
      </c>
      <c r="H266" s="297">
        <f t="shared" si="74"/>
        <v>160</v>
      </c>
      <c r="I266" s="299">
        <f t="shared" si="75"/>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3"/>
        <v>33</v>
      </c>
      <c r="G267" s="303">
        <v>40</v>
      </c>
      <c r="H267" s="399">
        <f t="shared" si="74"/>
        <v>80</v>
      </c>
      <c r="I267" s="299">
        <f t="shared" si="75"/>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3"/>
        <v>33</v>
      </c>
      <c r="G268" s="297">
        <v>40</v>
      </c>
      <c r="H268" s="297">
        <f t="shared" si="74"/>
        <v>104</v>
      </c>
      <c r="I268" s="299">
        <f t="shared" si="75"/>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3"/>
        <v>66</v>
      </c>
      <c r="G269" s="297">
        <v>40</v>
      </c>
      <c r="H269" s="297">
        <f t="shared" si="74"/>
        <v>160</v>
      </c>
      <c r="I269" s="299">
        <f t="shared" si="75"/>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3"/>
        <v>66</v>
      </c>
      <c r="G270" s="297">
        <v>40</v>
      </c>
      <c r="H270" s="297">
        <f t="shared" si="74"/>
        <v>160</v>
      </c>
      <c r="I270" s="299">
        <f t="shared" si="75"/>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3"/>
        <v>49.5</v>
      </c>
      <c r="G271" s="297">
        <v>40</v>
      </c>
      <c r="H271" s="297">
        <f t="shared" si="74"/>
        <v>120</v>
      </c>
      <c r="I271" s="299">
        <f t="shared" si="75"/>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3"/>
        <v>16.5</v>
      </c>
      <c r="G272" s="297">
        <v>40</v>
      </c>
      <c r="H272" s="297">
        <f>C272*D272*E272*G272</f>
        <v>52</v>
      </c>
      <c r="I272" s="299">
        <f t="shared" si="75"/>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E273" si="76">SUM(D247:D272)</f>
        <v>26.6</v>
      </c>
      <c r="E273" s="424">
        <f t="shared" si="76"/>
        <v>29</v>
      </c>
      <c r="F273" s="318">
        <f t="shared" ref="F273:I273" si="77">SUM(F247:F272)</f>
        <v>1344.75</v>
      </c>
      <c r="G273" s="318">
        <f t="shared" si="77"/>
        <v>1359</v>
      </c>
      <c r="H273" s="318">
        <f t="shared" si="77"/>
        <v>3844</v>
      </c>
      <c r="I273" s="318">
        <f t="shared" si="77"/>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297"/>
      <c r="G274" s="297"/>
      <c r="H274" s="297"/>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297"/>
      <c r="G275" s="297"/>
      <c r="H275" s="297"/>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297"/>
      <c r="G276" s="297"/>
      <c r="H276" s="297"/>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297"/>
      <c r="G277" s="297"/>
      <c r="H277" s="297"/>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297"/>
      <c r="G278" s="297"/>
      <c r="H278" s="297"/>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297"/>
      <c r="G279" s="297"/>
      <c r="H279" s="297"/>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297"/>
      <c r="G280" s="297"/>
      <c r="H280" s="297"/>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297"/>
      <c r="G281" s="297"/>
      <c r="H281" s="297"/>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8">I282+J282+K282</f>
        <v>445.5</v>
      </c>
      <c r="G282" s="297">
        <v>30</v>
      </c>
      <c r="H282" s="297">
        <f t="shared" ref="H282:H294" si="79">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8"/>
        <v>445.5</v>
      </c>
      <c r="G283" s="297">
        <v>30</v>
      </c>
      <c r="H283" s="297">
        <f t="shared" si="79"/>
        <v>540</v>
      </c>
      <c r="I283" s="299">
        <f t="shared" ref="I283:I289" si="80">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8"/>
        <v>74.25</v>
      </c>
      <c r="G284" s="297">
        <v>30</v>
      </c>
      <c r="H284" s="297">
        <f t="shared" si="79"/>
        <v>90</v>
      </c>
      <c r="I284" s="299">
        <f t="shared" si="80"/>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8"/>
        <v>74.25</v>
      </c>
      <c r="G285" s="297">
        <v>30</v>
      </c>
      <c r="H285" s="297">
        <f t="shared" si="79"/>
        <v>90</v>
      </c>
      <c r="I285" s="299">
        <f t="shared" si="80"/>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8"/>
        <v>445.5</v>
      </c>
      <c r="G286" s="297">
        <v>30</v>
      </c>
      <c r="H286" s="297">
        <f t="shared" si="79"/>
        <v>540</v>
      </c>
      <c r="I286" s="299">
        <f t="shared" si="80"/>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8"/>
        <v>445.5</v>
      </c>
      <c r="G287" s="297">
        <v>30</v>
      </c>
      <c r="H287" s="297">
        <f t="shared" si="79"/>
        <v>540</v>
      </c>
      <c r="I287" s="299">
        <f t="shared" si="80"/>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8"/>
        <v>74.25</v>
      </c>
      <c r="G288" s="297">
        <v>30</v>
      </c>
      <c r="H288" s="297">
        <f t="shared" si="79"/>
        <v>90</v>
      </c>
      <c r="I288" s="299">
        <f t="shared" si="80"/>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8"/>
        <v>74.25</v>
      </c>
      <c r="G289" s="297">
        <v>30</v>
      </c>
      <c r="H289" s="297">
        <f t="shared" si="79"/>
        <v>90</v>
      </c>
      <c r="I289" s="299">
        <f t="shared" si="80"/>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8"/>
        <v>445.5</v>
      </c>
      <c r="G290" s="297">
        <v>30</v>
      </c>
      <c r="H290" s="297">
        <f t="shared" si="79"/>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8"/>
        <v>445.5</v>
      </c>
      <c r="G291" s="297">
        <v>30</v>
      </c>
      <c r="H291" s="297">
        <f t="shared" si="79"/>
        <v>540</v>
      </c>
      <c r="I291" s="351"/>
      <c r="J291" s="299">
        <f t="shared" ref="J291:J294" si="81">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8"/>
        <v>74.25</v>
      </c>
      <c r="G292" s="297">
        <v>30</v>
      </c>
      <c r="H292" s="297">
        <f t="shared" si="79"/>
        <v>90</v>
      </c>
      <c r="I292" s="373"/>
      <c r="J292" s="299">
        <f t="shared" si="81"/>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8"/>
        <v>74.25</v>
      </c>
      <c r="G293" s="297">
        <v>30</v>
      </c>
      <c r="H293" s="297">
        <f t="shared" si="79"/>
        <v>90</v>
      </c>
      <c r="I293" s="373"/>
      <c r="J293" s="299">
        <f t="shared" si="81"/>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8"/>
        <v>74.25</v>
      </c>
      <c r="G294" s="297">
        <v>30</v>
      </c>
      <c r="H294" s="297">
        <f t="shared" si="79"/>
        <v>90</v>
      </c>
      <c r="I294" s="300"/>
      <c r="J294" s="299">
        <f t="shared" si="81"/>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E295" si="82">SUM(D282:D294)</f>
        <v>13</v>
      </c>
      <c r="E295" s="469">
        <f t="shared" si="82"/>
        <v>43</v>
      </c>
      <c r="F295" s="294">
        <f t="shared" ref="F295:J295" si="83">SUM(F282:F294)</f>
        <v>3192.75</v>
      </c>
      <c r="G295" s="294">
        <f t="shared" si="83"/>
        <v>390</v>
      </c>
      <c r="H295" s="294">
        <f t="shared" si="83"/>
        <v>3870</v>
      </c>
      <c r="I295" s="294">
        <f t="shared" si="83"/>
        <v>2079</v>
      </c>
      <c r="J295" s="294">
        <f t="shared" si="83"/>
        <v>1113.75</v>
      </c>
      <c r="K295" s="354"/>
      <c r="L295" s="354"/>
      <c r="M295" s="355"/>
      <c r="N295" s="355"/>
      <c r="O295" s="355"/>
      <c r="P295" s="355"/>
      <c r="Q295" s="355"/>
    </row>
    <row r="296" spans="1:17" s="375" customFormat="1" ht="24.95" customHeight="1" x14ac:dyDescent="0.2">
      <c r="A296" s="465" t="s">
        <v>150</v>
      </c>
      <c r="B296" s="466" t="s">
        <v>533</v>
      </c>
      <c r="C296" s="425"/>
      <c r="D296" s="425"/>
      <c r="E296" s="425"/>
      <c r="F296" s="297"/>
      <c r="G296" s="297"/>
      <c r="H296" s="297"/>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297">
        <v>5</v>
      </c>
      <c r="H297" s="297">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84">I298+J298+K298</f>
        <v>175</v>
      </c>
      <c r="G298" s="297">
        <v>5</v>
      </c>
      <c r="H298" s="297">
        <f t="shared" ref="H298" si="85">C298*G298</f>
        <v>75</v>
      </c>
      <c r="I298" s="299"/>
      <c r="J298" s="299">
        <f t="shared" ref="J298" si="86">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84"/>
        <v>175</v>
      </c>
      <c r="G299" s="297">
        <v>5</v>
      </c>
      <c r="H299" s="297">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84"/>
        <v>175</v>
      </c>
      <c r="G300" s="297">
        <v>5</v>
      </c>
      <c r="H300" s="297">
        <f t="shared" ref="H300:H307" si="87">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84"/>
        <v>175</v>
      </c>
      <c r="G301" s="297">
        <v>5</v>
      </c>
      <c r="H301" s="297">
        <f t="shared" si="87"/>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84"/>
        <v>175</v>
      </c>
      <c r="G302" s="297">
        <v>5</v>
      </c>
      <c r="H302" s="297">
        <f t="shared" si="87"/>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84"/>
        <v>175</v>
      </c>
      <c r="G303" s="297">
        <v>5</v>
      </c>
      <c r="H303" s="297">
        <f t="shared" si="87"/>
        <v>75</v>
      </c>
      <c r="I303" s="299">
        <f t="shared" ref="I303:I305" si="88">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84"/>
        <v>175</v>
      </c>
      <c r="G304" s="297">
        <v>5</v>
      </c>
      <c r="H304" s="297">
        <f t="shared" si="87"/>
        <v>75</v>
      </c>
      <c r="I304" s="299">
        <f t="shared" si="88"/>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84"/>
        <v>175</v>
      </c>
      <c r="G305" s="297">
        <v>5</v>
      </c>
      <c r="H305" s="297">
        <f t="shared" si="87"/>
        <v>75</v>
      </c>
      <c r="I305" s="299">
        <f t="shared" si="88"/>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84"/>
        <v>175</v>
      </c>
      <c r="G306" s="297">
        <v>5</v>
      </c>
      <c r="H306" s="297">
        <f t="shared" si="87"/>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84"/>
        <v>4515</v>
      </c>
      <c r="G307" s="297">
        <v>129</v>
      </c>
      <c r="H307" s="297">
        <f t="shared" si="87"/>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9">SUM(F297:F307)</f>
        <v>6265</v>
      </c>
      <c r="G308" s="294">
        <f t="shared" si="89"/>
        <v>179</v>
      </c>
      <c r="H308" s="294">
        <f t="shared" si="89"/>
        <v>2685</v>
      </c>
      <c r="I308" s="294">
        <f t="shared" si="89"/>
        <v>1225</v>
      </c>
      <c r="J308" s="294">
        <f t="shared" si="89"/>
        <v>525</v>
      </c>
      <c r="K308" s="294">
        <f t="shared" si="89"/>
        <v>4515</v>
      </c>
      <c r="L308" s="354"/>
      <c r="M308" s="359"/>
      <c r="N308" s="359"/>
      <c r="O308" s="359"/>
      <c r="P308" s="359"/>
      <c r="Q308" s="359"/>
    </row>
    <row r="309" spans="1:17" ht="24.95" customHeight="1" x14ac:dyDescent="0.2">
      <c r="A309" s="467" t="s">
        <v>733</v>
      </c>
      <c r="B309" s="428" t="s">
        <v>734</v>
      </c>
      <c r="C309" s="425">
        <v>15</v>
      </c>
      <c r="D309" s="425">
        <v>1</v>
      </c>
      <c r="E309" s="425">
        <v>1</v>
      </c>
      <c r="F309" s="297"/>
      <c r="G309" s="297"/>
      <c r="H309" s="297"/>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297"/>
      <c r="G310" s="297"/>
      <c r="H310" s="297"/>
      <c r="I310" s="300"/>
      <c r="J310" s="300"/>
      <c r="K310" s="354"/>
      <c r="L310" s="354"/>
      <c r="M310" s="355"/>
      <c r="N310" s="355"/>
      <c r="O310" s="355"/>
      <c r="P310" s="355"/>
      <c r="Q310" s="355"/>
    </row>
    <row r="311" spans="1:17" ht="24.95" customHeight="1" x14ac:dyDescent="0.2">
      <c r="A311" s="467"/>
      <c r="B311" s="468" t="s">
        <v>403</v>
      </c>
      <c r="C311" s="469">
        <f t="shared" ref="C311:E311" si="90">SUM(C297:C310)</f>
        <v>210</v>
      </c>
      <c r="D311" s="469">
        <f t="shared" si="90"/>
        <v>14</v>
      </c>
      <c r="E311" s="469">
        <f t="shared" si="90"/>
        <v>14</v>
      </c>
      <c r="F311" s="302">
        <f t="shared" ref="F311:F313" si="91">I311+J311+K311</f>
        <v>97020</v>
      </c>
      <c r="G311" s="297">
        <v>11</v>
      </c>
      <c r="H311" s="297">
        <f t="shared" ref="H311:H313" si="92">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91"/>
        <v>0</v>
      </c>
      <c r="G312" s="297">
        <v>11</v>
      </c>
      <c r="H312" s="297">
        <f t="shared" si="92"/>
        <v>0</v>
      </c>
      <c r="I312" s="299">
        <f t="shared" ref="I312:I313" si="93">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91"/>
        <v>0</v>
      </c>
      <c r="G313" s="297">
        <v>11</v>
      </c>
      <c r="H313" s="297">
        <f t="shared" si="92"/>
        <v>0</v>
      </c>
      <c r="I313" s="299">
        <f t="shared" si="93"/>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297"/>
      <c r="G314" s="297"/>
      <c r="H314" s="297"/>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297"/>
      <c r="G315" s="297"/>
      <c r="H315" s="297"/>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297"/>
      <c r="G316" s="297"/>
      <c r="H316" s="297"/>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94">I317+J317+K317</f>
        <v>600</v>
      </c>
      <c r="G317" s="297"/>
      <c r="H317" s="297"/>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94"/>
        <v>300</v>
      </c>
      <c r="G318" s="297"/>
      <c r="H318" s="297"/>
      <c r="I318" s="300"/>
      <c r="J318" s="300">
        <v>300</v>
      </c>
      <c r="K318" s="354"/>
      <c r="L318" s="354"/>
      <c r="M318" s="355"/>
      <c r="N318" s="355"/>
      <c r="O318" s="355"/>
      <c r="P318" s="355"/>
      <c r="Q318" s="355"/>
    </row>
    <row r="319" spans="1:17" ht="24.95" customHeight="1" x14ac:dyDescent="0.2">
      <c r="A319" s="465"/>
      <c r="B319" s="466" t="s">
        <v>737</v>
      </c>
      <c r="C319" s="425"/>
      <c r="D319" s="425"/>
      <c r="E319" s="425"/>
      <c r="F319" s="297"/>
      <c r="G319" s="297"/>
      <c r="H319" s="297"/>
      <c r="I319" s="300"/>
      <c r="J319" s="300"/>
      <c r="K319" s="354"/>
      <c r="L319" s="354"/>
      <c r="M319" s="355"/>
      <c r="N319" s="355"/>
      <c r="O319" s="355"/>
      <c r="P319" s="355"/>
      <c r="Q319" s="355"/>
    </row>
    <row r="320" spans="1:17" ht="24.95" customHeight="1" x14ac:dyDescent="0.2">
      <c r="A320" s="465"/>
      <c r="B320" s="466" t="s">
        <v>502</v>
      </c>
      <c r="C320" s="425"/>
      <c r="D320" s="425"/>
      <c r="E320" s="425"/>
      <c r="F320" s="297"/>
      <c r="G320" s="297"/>
      <c r="H320" s="297"/>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 si="95">I321+J321+K321</f>
        <v>1120</v>
      </c>
      <c r="G321" s="297"/>
      <c r="H321" s="297"/>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ref="F322" si="96">I322+J322+K322</f>
        <v>680</v>
      </c>
      <c r="G322" s="297"/>
      <c r="H322" s="297"/>
      <c r="I322" s="300"/>
      <c r="J322" s="300">
        <v>680</v>
      </c>
      <c r="K322" s="354"/>
      <c r="L322" s="354"/>
      <c r="M322" s="355"/>
      <c r="N322" s="355"/>
      <c r="O322" s="355"/>
      <c r="P322" s="355"/>
      <c r="Q322" s="355"/>
    </row>
    <row r="323" spans="1:17" ht="24.95" customHeight="1" x14ac:dyDescent="0.2">
      <c r="A323" s="467"/>
      <c r="B323" s="422" t="s">
        <v>738</v>
      </c>
      <c r="C323" s="425"/>
      <c r="D323" s="425"/>
      <c r="E323" s="425"/>
      <c r="F323" s="297">
        <f>SUM(F311:F322)</f>
        <v>99720</v>
      </c>
      <c r="G323" s="294">
        <f t="shared" ref="G323:J323" si="97">SUM(G311:G322)</f>
        <v>33</v>
      </c>
      <c r="H323" s="294">
        <f t="shared" si="97"/>
        <v>452760</v>
      </c>
      <c r="I323" s="294">
        <f t="shared" si="97"/>
        <v>98740</v>
      </c>
      <c r="J323" s="294">
        <f t="shared" si="97"/>
        <v>980</v>
      </c>
      <c r="K323" s="354"/>
      <c r="L323" s="354"/>
      <c r="M323" s="355"/>
      <c r="N323" s="355"/>
      <c r="O323" s="355"/>
      <c r="P323" s="355"/>
      <c r="Q323" s="355"/>
    </row>
    <row r="324" spans="1:17" ht="24.95" customHeight="1" x14ac:dyDescent="0.2">
      <c r="A324" s="467"/>
      <c r="B324" s="422" t="s">
        <v>504</v>
      </c>
      <c r="C324" s="425"/>
      <c r="D324" s="425"/>
      <c r="E324" s="425"/>
      <c r="F324" s="297"/>
      <c r="G324" s="297"/>
      <c r="H324" s="297"/>
      <c r="I324" s="300"/>
      <c r="J324" s="300"/>
      <c r="K324" s="354"/>
      <c r="L324" s="354"/>
      <c r="M324" s="355"/>
      <c r="N324" s="355"/>
      <c r="O324" s="355"/>
      <c r="P324" s="355"/>
      <c r="Q324" s="355"/>
    </row>
    <row r="325" spans="1:17" ht="24.95" customHeight="1" x14ac:dyDescent="0.2">
      <c r="A325" s="467"/>
      <c r="B325" s="422" t="s">
        <v>503</v>
      </c>
      <c r="C325" s="425"/>
      <c r="D325" s="425"/>
      <c r="E325" s="425"/>
      <c r="F325" s="297"/>
      <c r="G325" s="297"/>
      <c r="H325" s="297"/>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8">SUM(D314:D325)</f>
        <v>3</v>
      </c>
      <c r="E326" s="469">
        <f t="shared" si="98"/>
        <v>3</v>
      </c>
      <c r="F326" s="297"/>
      <c r="G326" s="297"/>
      <c r="H326" s="297"/>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9">I327+J327+K327</f>
        <v>0</v>
      </c>
      <c r="G327" s="308">
        <v>40</v>
      </c>
      <c r="H327" s="297">
        <f>C327*D327*E327*G327</f>
        <v>0</v>
      </c>
      <c r="I327" s="299">
        <f t="shared" ref="I327:I328" si="100">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9"/>
        <v>0</v>
      </c>
      <c r="G328" s="308">
        <v>40</v>
      </c>
      <c r="H328" s="297">
        <f t="shared" ref="H328" si="101">C328*D328*E328*G328</f>
        <v>0</v>
      </c>
      <c r="I328" s="299">
        <f t="shared" si="100"/>
        <v>0</v>
      </c>
      <c r="J328" s="300"/>
      <c r="K328" s="354"/>
      <c r="L328" s="354"/>
      <c r="M328" s="355"/>
      <c r="N328" s="355"/>
      <c r="O328" s="355"/>
      <c r="P328" s="355"/>
      <c r="Q328" s="355"/>
    </row>
    <row r="329" spans="1:17" ht="24.95" customHeight="1" x14ac:dyDescent="0.2">
      <c r="A329" s="430" t="s">
        <v>404</v>
      </c>
      <c r="B329" s="432" t="s">
        <v>165</v>
      </c>
      <c r="C329" s="425"/>
      <c r="D329" s="425"/>
      <c r="E329" s="425"/>
      <c r="F329" s="297">
        <f t="shared" ref="F329:J329" si="102">SUM(F327:F328)</f>
        <v>0</v>
      </c>
      <c r="G329" s="294">
        <f t="shared" si="102"/>
        <v>80</v>
      </c>
      <c r="H329" s="294">
        <f t="shared" si="102"/>
        <v>0</v>
      </c>
      <c r="I329" s="294">
        <f t="shared" si="102"/>
        <v>0</v>
      </c>
      <c r="J329" s="294">
        <f t="shared" si="102"/>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103">F273+F295+F308+F329+F323</f>
        <v>110522.5</v>
      </c>
      <c r="G330" s="505">
        <f t="shared" si="103"/>
        <v>2041</v>
      </c>
      <c r="H330" s="505">
        <f t="shared" si="103"/>
        <v>463159</v>
      </c>
      <c r="I330" s="505">
        <f t="shared" si="103"/>
        <v>103388.75</v>
      </c>
      <c r="J330" s="505">
        <f t="shared" si="103"/>
        <v>2618.75</v>
      </c>
      <c r="K330" s="505">
        <f t="shared" si="103"/>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104">SUM(D331:D332)</f>
        <v>2</v>
      </c>
      <c r="E333" s="497">
        <f t="shared" si="104"/>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105">C273+C295+C311+C333+C326</f>
        <v>330</v>
      </c>
      <c r="D334" s="497">
        <f t="shared" si="105"/>
        <v>58.6</v>
      </c>
      <c r="E334" s="497">
        <f t="shared" si="105"/>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6">C48+C185+C211+C273+C126</f>
        <v>76</v>
      </c>
      <c r="D336" s="294">
        <f t="shared" si="106"/>
        <v>29.6</v>
      </c>
      <c r="E336" s="294">
        <f t="shared" si="106"/>
        <v>38</v>
      </c>
      <c r="F336" s="294">
        <f t="shared" si="106"/>
        <v>45451.149999999994</v>
      </c>
      <c r="G336" s="294">
        <f t="shared" si="106"/>
        <v>5620</v>
      </c>
      <c r="H336" s="294">
        <f t="shared" si="106"/>
        <v>1371917.36</v>
      </c>
      <c r="I336" s="294">
        <f t="shared" si="106"/>
        <v>45253.149999999994</v>
      </c>
      <c r="J336" s="294">
        <f t="shared" si="106"/>
        <v>198</v>
      </c>
      <c r="K336" s="294">
        <f t="shared" si="106"/>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7">C308+C295+C223+C195+C63+C146</f>
        <v>63</v>
      </c>
      <c r="D337" s="294">
        <f t="shared" si="107"/>
        <v>17</v>
      </c>
      <c r="E337" s="294">
        <f t="shared" si="107"/>
        <v>62</v>
      </c>
      <c r="F337" s="294">
        <f t="shared" si="107"/>
        <v>58648.25</v>
      </c>
      <c r="G337" s="294">
        <f t="shared" si="107"/>
        <v>928</v>
      </c>
      <c r="H337" s="294">
        <f t="shared" si="107"/>
        <v>217128</v>
      </c>
      <c r="I337" s="294">
        <f t="shared" si="107"/>
        <v>52494.5</v>
      </c>
      <c r="J337" s="294">
        <f t="shared" si="107"/>
        <v>1638.75</v>
      </c>
      <c r="K337" s="294">
        <f t="shared" si="107"/>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8">C323+C229</f>
        <v>0</v>
      </c>
      <c r="D338" s="294">
        <f t="shared" si="108"/>
        <v>0</v>
      </c>
      <c r="E338" s="294">
        <f t="shared" si="108"/>
        <v>0</v>
      </c>
      <c r="F338" s="294">
        <f t="shared" si="108"/>
        <v>99720</v>
      </c>
      <c r="G338" s="294">
        <f t="shared" si="108"/>
        <v>33</v>
      </c>
      <c r="H338" s="294">
        <f t="shared" si="108"/>
        <v>452760</v>
      </c>
      <c r="I338" s="294">
        <f t="shared" si="108"/>
        <v>98740</v>
      </c>
      <c r="J338" s="294">
        <f t="shared" si="108"/>
        <v>980</v>
      </c>
      <c r="K338" s="294">
        <f t="shared" ref="K338:P338" si="109">K329+K229</f>
        <v>0</v>
      </c>
      <c r="L338" s="294">
        <f t="shared" si="109"/>
        <v>0</v>
      </c>
      <c r="M338" s="294">
        <f t="shared" si="109"/>
        <v>0</v>
      </c>
      <c r="N338" s="294">
        <f t="shared" si="109"/>
        <v>0</v>
      </c>
      <c r="O338" s="294">
        <f t="shared" si="109"/>
        <v>0</v>
      </c>
      <c r="P338" s="294">
        <f t="shared" si="109"/>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288" t="e">
        <f>J341+K341</f>
        <v>#REF!</v>
      </c>
      <c r="K342" s="66"/>
      <c r="L342" s="66"/>
      <c r="M342" s="66"/>
      <c r="N342" s="1077" t="s">
        <v>647</v>
      </c>
      <c r="O342" s="1077"/>
      <c r="P342" s="1077"/>
      <c r="Q342" s="1077"/>
    </row>
    <row r="343" spans="1:17" ht="12.75" customHeight="1" x14ac:dyDescent="0.2">
      <c r="A343" s="72"/>
      <c r="B343" s="72"/>
      <c r="C343" s="211"/>
      <c r="D343" s="211"/>
      <c r="E343" s="211"/>
      <c r="F343" s="211"/>
      <c r="G343" s="211"/>
      <c r="H343" s="211"/>
      <c r="I343" s="211"/>
      <c r="J343" s="211"/>
      <c r="K343" s="66"/>
      <c r="L343" s="66"/>
      <c r="M343" s="66"/>
      <c r="N343" s="1051" t="s">
        <v>577</v>
      </c>
      <c r="O343" s="1051"/>
      <c r="P343" s="1051"/>
      <c r="Q343" s="1051"/>
    </row>
    <row r="344" spans="1:17" x14ac:dyDescent="0.2">
      <c r="A344" s="72"/>
      <c r="B344" s="1078" t="s">
        <v>152</v>
      </c>
      <c r="C344" s="1078"/>
      <c r="D344" s="1078"/>
      <c r="E344" s="1078"/>
      <c r="F344" s="1078"/>
      <c r="G344" s="1078"/>
      <c r="H344" s="1078"/>
      <c r="I344" s="1078"/>
      <c r="J344" s="1078"/>
      <c r="K344" s="1078"/>
      <c r="L344" s="66"/>
      <c r="M344" s="66"/>
      <c r="N344" s="66"/>
      <c r="O344" s="66"/>
      <c r="P344" s="66"/>
      <c r="Q344" s="289"/>
    </row>
    <row r="345" spans="1:17" ht="26.25" customHeight="1" x14ac:dyDescent="0.2">
      <c r="A345" s="72"/>
      <c r="B345" s="1064" t="s">
        <v>240</v>
      </c>
      <c r="C345" s="1064"/>
      <c r="D345" s="1064"/>
      <c r="E345" s="1064"/>
      <c r="F345" s="1064"/>
      <c r="G345" s="1064"/>
      <c r="H345" s="1064"/>
      <c r="I345" s="1064"/>
      <c r="J345" s="1064"/>
      <c r="K345" s="1064"/>
      <c r="L345" s="66"/>
      <c r="M345" s="66"/>
      <c r="N345" s="66"/>
      <c r="O345" s="66"/>
      <c r="P345" s="66"/>
      <c r="Q345" s="289"/>
    </row>
    <row r="346" spans="1:17" ht="30" customHeight="1" x14ac:dyDescent="0.2">
      <c r="A346" s="72"/>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F5:F6"/>
    <mergeCell ref="G5:G6"/>
    <mergeCell ref="H5:H6"/>
    <mergeCell ref="I5:K5"/>
    <mergeCell ref="L5:L6"/>
    <mergeCell ref="O5:O6"/>
    <mergeCell ref="P5:P6"/>
    <mergeCell ref="Q5:Q6"/>
    <mergeCell ref="M300:Q300"/>
    <mergeCell ref="N5:N6"/>
    <mergeCell ref="M5:M6"/>
    <mergeCell ref="Q50:Q52"/>
    <mergeCell ref="Q128:Q134"/>
    <mergeCell ref="A1:C1"/>
    <mergeCell ref="I1:N1"/>
    <mergeCell ref="A2:C2"/>
    <mergeCell ref="I2:N2"/>
    <mergeCell ref="A3:Q3"/>
    <mergeCell ref="A5:A6"/>
    <mergeCell ref="B5:B6"/>
    <mergeCell ref="C5:C6"/>
    <mergeCell ref="D5:D6"/>
    <mergeCell ref="E5:E6"/>
    <mergeCell ref="N342:Q342"/>
    <mergeCell ref="N343:Q343"/>
    <mergeCell ref="B344:K344"/>
    <mergeCell ref="B345:K345"/>
    <mergeCell ref="B346:K346"/>
    <mergeCell ref="N346:Q346"/>
    <mergeCell ref="D342:I342"/>
  </mergeCells>
  <pageMargins left="0.2" right="0.2" top="0.5" bottom="0.42" header="0.62" footer="0.6"/>
  <pageSetup paperSize="9" scale="85" orientation="landscape"/>
  <ignoredErrors>
    <ignoredError sqref="F12 F220:F222" emptyCellReference="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7"/>
  <sheetViews>
    <sheetView zoomScale="125" zoomScaleNormal="125" zoomScalePageLayoutView="125" workbookViewId="0">
      <pane xSplit="2" ySplit="7" topLeftCell="C72" activePane="bottomRight" state="frozen"/>
      <selection pane="topRight" activeCell="C1" sqref="C1"/>
      <selection pane="bottomLeft" activeCell="A8" sqref="A8"/>
      <selection pane="bottomRight" activeCell="B12" sqref="B12"/>
    </sheetView>
  </sheetViews>
  <sheetFormatPr defaultColWidth="9.140625" defaultRowHeight="12.75" x14ac:dyDescent="0.2"/>
  <cols>
    <col min="1" max="1" width="5.42578125" style="719" customWidth="1"/>
    <col min="2" max="2" width="41.140625" style="719" customWidth="1"/>
    <col min="3" max="3" width="7" style="722" customWidth="1"/>
    <col min="4" max="4" width="7" style="722" hidden="1" customWidth="1"/>
    <col min="5" max="5" width="6" style="722" customWidth="1"/>
    <col min="6" max="6" width="7.42578125" style="212" customWidth="1"/>
    <col min="7" max="7" width="6.85546875" style="722" customWidth="1"/>
    <col min="8" max="8" width="11.140625" style="722" customWidth="1"/>
    <col min="9" max="10" width="8.28515625" style="722" customWidth="1"/>
    <col min="11" max="11" width="6.42578125" style="723" customWidth="1"/>
    <col min="12" max="12" width="7.7109375" style="723" customWidth="1"/>
    <col min="13" max="13" width="9.42578125" style="723" customWidth="1"/>
    <col min="14" max="14" width="11" style="723" customWidth="1"/>
    <col min="15" max="15" width="6.7109375" style="723" customWidth="1"/>
    <col min="16" max="16" width="9.7109375" style="723" customWidth="1"/>
    <col min="17" max="17" width="12.7109375" style="578" customWidth="1"/>
    <col min="18" max="16384" width="9.140625" style="578"/>
  </cols>
  <sheetData>
    <row r="1" spans="1:17" ht="14.25" customHeight="1" x14ac:dyDescent="0.2">
      <c r="A1" s="1070" t="s">
        <v>3</v>
      </c>
      <c r="B1" s="1070"/>
      <c r="C1" s="1070"/>
      <c r="D1" s="726"/>
      <c r="E1" s="726"/>
      <c r="F1" s="726"/>
      <c r="G1" s="726"/>
      <c r="H1" s="212"/>
      <c r="I1" s="1058"/>
      <c r="J1" s="1058"/>
      <c r="K1" s="1058"/>
      <c r="L1" s="1058"/>
      <c r="M1" s="1058"/>
      <c r="N1" s="1058"/>
      <c r="O1" s="576"/>
      <c r="P1" s="576"/>
      <c r="Q1" s="577" t="s">
        <v>30</v>
      </c>
    </row>
    <row r="2" spans="1:17" x14ac:dyDescent="0.2">
      <c r="A2" s="1071" t="s">
        <v>556</v>
      </c>
      <c r="B2" s="1071"/>
      <c r="C2" s="1071"/>
      <c r="D2" s="727"/>
      <c r="E2" s="727"/>
      <c r="F2" s="726"/>
      <c r="G2" s="727"/>
      <c r="H2" s="212"/>
      <c r="I2" s="1058"/>
      <c r="J2" s="1058"/>
      <c r="K2" s="1058"/>
      <c r="L2" s="1058"/>
      <c r="M2" s="1058"/>
      <c r="N2" s="1058"/>
      <c r="O2" s="576"/>
      <c r="P2" s="576"/>
      <c r="Q2" s="576"/>
    </row>
    <row r="3" spans="1:17" ht="30" customHeight="1" x14ac:dyDescent="0.2">
      <c r="A3" s="1098" t="s">
        <v>859</v>
      </c>
      <c r="B3" s="1098"/>
      <c r="C3" s="1098"/>
      <c r="D3" s="1098"/>
      <c r="E3" s="1098"/>
      <c r="F3" s="1098"/>
      <c r="G3" s="1098"/>
      <c r="H3" s="1098"/>
      <c r="I3" s="1098"/>
      <c r="J3" s="1098"/>
      <c r="K3" s="1098"/>
      <c r="L3" s="1098"/>
      <c r="M3" s="1098"/>
      <c r="N3" s="1098"/>
      <c r="O3" s="1098"/>
      <c r="P3" s="1098"/>
      <c r="Q3" s="1098"/>
    </row>
    <row r="4" spans="1:17" x14ac:dyDescent="0.2">
      <c r="A4" s="580"/>
      <c r="B4" s="580"/>
      <c r="C4" s="581"/>
      <c r="D4" s="581"/>
      <c r="E4" s="581"/>
      <c r="F4" s="581"/>
      <c r="G4" s="581"/>
      <c r="H4" s="581"/>
      <c r="I4" s="581"/>
      <c r="J4" s="581"/>
      <c r="K4" s="580"/>
      <c r="L4" s="580"/>
      <c r="M4" s="580"/>
      <c r="N4" s="580" t="s">
        <v>20</v>
      </c>
      <c r="O4" s="580"/>
      <c r="P4" s="580"/>
      <c r="Q4" s="581"/>
    </row>
    <row r="5" spans="1:17" ht="67.5" customHeight="1" x14ac:dyDescent="0.2">
      <c r="A5" s="1099" t="s">
        <v>0</v>
      </c>
      <c r="B5" s="1092" t="s">
        <v>173</v>
      </c>
      <c r="C5" s="1092" t="s">
        <v>207</v>
      </c>
      <c r="D5" s="1092" t="s">
        <v>208</v>
      </c>
      <c r="E5" s="1092" t="s">
        <v>154</v>
      </c>
      <c r="F5" s="1092" t="s">
        <v>161</v>
      </c>
      <c r="G5" s="1092" t="s">
        <v>211</v>
      </c>
      <c r="H5" s="1092" t="s">
        <v>210</v>
      </c>
      <c r="I5" s="1095" t="s">
        <v>212</v>
      </c>
      <c r="J5" s="1096"/>
      <c r="K5" s="1097"/>
      <c r="L5" s="1092" t="s">
        <v>213</v>
      </c>
      <c r="M5" s="1092" t="s">
        <v>214</v>
      </c>
      <c r="N5" s="1092" t="s">
        <v>39</v>
      </c>
      <c r="O5" s="1092" t="s">
        <v>88</v>
      </c>
      <c r="P5" s="1092" t="s">
        <v>89</v>
      </c>
      <c r="Q5" s="1092" t="s">
        <v>2</v>
      </c>
    </row>
    <row r="6" spans="1:17" ht="50.1" customHeight="1" x14ac:dyDescent="0.2">
      <c r="A6" s="1100"/>
      <c r="B6" s="1093"/>
      <c r="C6" s="1093"/>
      <c r="D6" s="1093"/>
      <c r="E6" s="1093"/>
      <c r="F6" s="1093"/>
      <c r="G6" s="1093"/>
      <c r="H6" s="1093"/>
      <c r="I6" s="582" t="s">
        <v>162</v>
      </c>
      <c r="J6" s="582" t="s">
        <v>103</v>
      </c>
      <c r="K6" s="582" t="s">
        <v>160</v>
      </c>
      <c r="L6" s="1093"/>
      <c r="M6" s="1093"/>
      <c r="N6" s="1093"/>
      <c r="O6" s="1093"/>
      <c r="P6" s="1093"/>
      <c r="Q6" s="1093"/>
    </row>
    <row r="7" spans="1:17" s="587" customFormat="1" ht="30" customHeight="1" x14ac:dyDescent="0.2">
      <c r="A7" s="583" t="s">
        <v>117</v>
      </c>
      <c r="B7" s="584" t="s">
        <v>118</v>
      </c>
      <c r="C7" s="584" t="s">
        <v>119</v>
      </c>
      <c r="D7" s="585" t="s">
        <v>120</v>
      </c>
      <c r="E7" s="585" t="s">
        <v>120</v>
      </c>
      <c r="F7" s="585" t="s">
        <v>121</v>
      </c>
      <c r="G7" s="585" t="s">
        <v>122</v>
      </c>
      <c r="H7" s="585" t="s">
        <v>654</v>
      </c>
      <c r="I7" s="585" t="s">
        <v>125</v>
      </c>
      <c r="J7" s="585" t="s">
        <v>127</v>
      </c>
      <c r="K7" s="585" t="s">
        <v>136</v>
      </c>
      <c r="L7" s="585" t="s">
        <v>128</v>
      </c>
      <c r="M7" s="585" t="s">
        <v>129</v>
      </c>
      <c r="N7" s="585" t="s">
        <v>130</v>
      </c>
      <c r="O7" s="586" t="s">
        <v>131</v>
      </c>
      <c r="P7" s="586" t="s">
        <v>132</v>
      </c>
      <c r="Q7" s="585" t="s">
        <v>209</v>
      </c>
    </row>
    <row r="8" spans="1:17" ht="24.95" customHeight="1" x14ac:dyDescent="0.2">
      <c r="A8" s="588" t="s">
        <v>6</v>
      </c>
      <c r="B8" s="588" t="s">
        <v>297</v>
      </c>
      <c r="C8" s="589"/>
      <c r="D8" s="589"/>
      <c r="E8" s="589"/>
      <c r="F8" s="590"/>
      <c r="G8" s="589"/>
      <c r="H8" s="589"/>
      <c r="I8" s="589"/>
      <c r="J8" s="589"/>
      <c r="K8" s="588"/>
      <c r="L8" s="588"/>
      <c r="M8" s="588"/>
      <c r="N8" s="588"/>
      <c r="O8" s="588"/>
      <c r="P8" s="588"/>
      <c r="Q8" s="588"/>
    </row>
    <row r="9" spans="1:17" ht="24.95" customHeight="1" x14ac:dyDescent="0.2">
      <c r="A9" s="591" t="s">
        <v>7</v>
      </c>
      <c r="B9" s="591" t="s">
        <v>649</v>
      </c>
      <c r="C9" s="592"/>
      <c r="D9" s="592"/>
      <c r="E9" s="592"/>
      <c r="F9" s="593"/>
      <c r="G9" s="592"/>
      <c r="H9" s="592"/>
      <c r="I9" s="592"/>
      <c r="J9" s="592"/>
      <c r="K9" s="591"/>
      <c r="L9" s="591"/>
      <c r="M9" s="591"/>
      <c r="N9" s="591"/>
      <c r="O9" s="591"/>
      <c r="P9" s="591"/>
      <c r="Q9" s="591"/>
    </row>
    <row r="10" spans="1:17" ht="24.95" customHeight="1" x14ac:dyDescent="0.2">
      <c r="A10" s="591">
        <v>1</v>
      </c>
      <c r="B10" s="591" t="s">
        <v>4</v>
      </c>
      <c r="C10" s="592"/>
      <c r="D10" s="592"/>
      <c r="E10" s="592"/>
      <c r="F10" s="593"/>
      <c r="G10" s="592"/>
      <c r="H10" s="592"/>
      <c r="I10" s="592"/>
      <c r="J10" s="592"/>
      <c r="K10" s="591"/>
      <c r="L10" s="591"/>
      <c r="M10" s="591"/>
      <c r="N10" s="591"/>
      <c r="O10" s="591"/>
      <c r="P10" s="591"/>
      <c r="Q10" s="591"/>
    </row>
    <row r="11" spans="1:17" s="71" customFormat="1" ht="24.95" customHeight="1" x14ac:dyDescent="0.2">
      <c r="A11" s="594" t="s">
        <v>149</v>
      </c>
      <c r="B11" s="595" t="s">
        <v>163</v>
      </c>
      <c r="C11" s="596"/>
      <c r="D11" s="596"/>
      <c r="E11" s="596"/>
      <c r="F11" s="725"/>
      <c r="G11" s="596"/>
      <c r="H11" s="596"/>
      <c r="I11" s="597"/>
      <c r="J11" s="597"/>
      <c r="K11" s="597"/>
      <c r="L11" s="597"/>
      <c r="M11" s="597"/>
      <c r="N11" s="597"/>
      <c r="O11" s="597"/>
      <c r="P11" s="597"/>
      <c r="Q11" s="598"/>
    </row>
    <row r="12" spans="1:17" s="71" customFormat="1" ht="24.95" customHeight="1" x14ac:dyDescent="0.2">
      <c r="A12" s="626"/>
      <c r="B12" s="472" t="s">
        <v>296</v>
      </c>
      <c r="C12" s="654"/>
      <c r="D12" s="654"/>
      <c r="E12" s="654"/>
      <c r="F12" s="601"/>
      <c r="G12" s="654"/>
      <c r="H12" s="654"/>
      <c r="I12" s="679"/>
      <c r="J12" s="679"/>
      <c r="K12" s="679"/>
      <c r="L12" s="679"/>
      <c r="M12" s="679"/>
      <c r="N12" s="679"/>
      <c r="O12" s="679"/>
      <c r="P12" s="679"/>
      <c r="Q12" s="728"/>
    </row>
    <row r="13" spans="1:17" s="71" customFormat="1" ht="24.95" customHeight="1" x14ac:dyDescent="0.2">
      <c r="A13" s="599" t="s">
        <v>229</v>
      </c>
      <c r="B13" s="600" t="s">
        <v>253</v>
      </c>
      <c r="C13" s="601">
        <v>2</v>
      </c>
      <c r="D13" s="602">
        <v>1</v>
      </c>
      <c r="E13" s="601">
        <v>1</v>
      </c>
      <c r="F13" s="302">
        <f>I13+J13+K13</f>
        <v>33</v>
      </c>
      <c r="G13" s="601">
        <v>40</v>
      </c>
      <c r="H13" s="725">
        <f>C13*E13*G13</f>
        <v>80</v>
      </c>
      <c r="I13" s="318">
        <f>IF(G13&lt;70, C13*E13*16.5*1, C13*E13*16.5*1.3)</f>
        <v>33</v>
      </c>
      <c r="J13" s="597"/>
      <c r="K13" s="597"/>
      <c r="L13" s="597"/>
      <c r="M13" s="597"/>
      <c r="N13" s="597"/>
      <c r="O13" s="597"/>
      <c r="P13" s="597"/>
      <c r="Q13" s="598"/>
    </row>
    <row r="14" spans="1:17" s="71" customFormat="1" ht="24.95" customHeight="1" x14ac:dyDescent="0.2">
      <c r="A14" s="599" t="s">
        <v>230</v>
      </c>
      <c r="B14" s="600" t="s">
        <v>268</v>
      </c>
      <c r="C14" s="601">
        <v>3</v>
      </c>
      <c r="D14" s="601">
        <v>1</v>
      </c>
      <c r="E14" s="601">
        <v>6</v>
      </c>
      <c r="F14" s="302">
        <f>I14+J53+K53</f>
        <v>297</v>
      </c>
      <c r="G14" s="601">
        <v>50</v>
      </c>
      <c r="H14" s="725">
        <f>C14*E14*G14</f>
        <v>900</v>
      </c>
      <c r="I14" s="318">
        <f>IF(G14&lt;70, C14*E14*16.5*1, C14*E14*16.5*1.3)</f>
        <v>297</v>
      </c>
      <c r="J14" s="597"/>
      <c r="K14" s="597"/>
      <c r="L14" s="597"/>
      <c r="M14" s="597"/>
      <c r="N14" s="597"/>
      <c r="O14" s="597"/>
      <c r="P14" s="597"/>
      <c r="Q14" s="594" t="s">
        <v>763</v>
      </c>
    </row>
    <row r="15" spans="1:17" s="71" customFormat="1" ht="24.95" customHeight="1" x14ac:dyDescent="0.2">
      <c r="A15" s="599" t="s">
        <v>231</v>
      </c>
      <c r="B15" s="600" t="s">
        <v>254</v>
      </c>
      <c r="C15" s="601">
        <v>2</v>
      </c>
      <c r="D15" s="601">
        <v>1</v>
      </c>
      <c r="E15" s="601">
        <v>2</v>
      </c>
      <c r="F15" s="302">
        <f t="shared" ref="F15:F61" si="0">I15+J15+K15</f>
        <v>85.8</v>
      </c>
      <c r="G15" s="601">
        <v>80</v>
      </c>
      <c r="H15" s="725">
        <f t="shared" ref="H15:H61" si="1">C15*E15*G15</f>
        <v>320</v>
      </c>
      <c r="I15" s="318">
        <f t="shared" ref="I15:I59" si="2">IF(G15&lt;70, C15*E15*16.5*1, C15*E15*16.5*1.3)</f>
        <v>85.8</v>
      </c>
      <c r="J15" s="597"/>
      <c r="K15" s="597"/>
      <c r="L15" s="597"/>
      <c r="M15" s="597"/>
      <c r="N15" s="597"/>
      <c r="O15" s="597"/>
      <c r="P15" s="597"/>
      <c r="Q15" s="598"/>
    </row>
    <row r="16" spans="1:17" s="71" customFormat="1" ht="24.95" customHeight="1" x14ac:dyDescent="0.2">
      <c r="A16" s="599" t="s">
        <v>232</v>
      </c>
      <c r="B16" s="600" t="s">
        <v>696</v>
      </c>
      <c r="C16" s="601">
        <v>2</v>
      </c>
      <c r="D16" s="601">
        <v>1</v>
      </c>
      <c r="E16" s="601">
        <v>3</v>
      </c>
      <c r="F16" s="302">
        <f t="shared" si="0"/>
        <v>128.70000000000002</v>
      </c>
      <c r="G16" s="601">
        <v>70</v>
      </c>
      <c r="H16" s="725">
        <f t="shared" si="1"/>
        <v>420</v>
      </c>
      <c r="I16" s="318">
        <f t="shared" si="2"/>
        <v>128.70000000000002</v>
      </c>
      <c r="J16" s="597"/>
      <c r="K16" s="597"/>
      <c r="L16" s="597"/>
      <c r="M16" s="597"/>
      <c r="N16" s="597"/>
      <c r="O16" s="597"/>
      <c r="P16" s="597"/>
      <c r="Q16" s="598"/>
    </row>
    <row r="17" spans="1:17" s="71" customFormat="1" ht="24.95" customHeight="1" x14ac:dyDescent="0.25">
      <c r="A17" s="599" t="s">
        <v>233</v>
      </c>
      <c r="B17" s="603" t="s">
        <v>697</v>
      </c>
      <c r="C17" s="601">
        <v>2</v>
      </c>
      <c r="D17" s="601">
        <v>1</v>
      </c>
      <c r="E17" s="601">
        <v>3</v>
      </c>
      <c r="F17" s="302">
        <f t="shared" si="0"/>
        <v>128.70000000000002</v>
      </c>
      <c r="G17" s="601">
        <v>70</v>
      </c>
      <c r="H17" s="725">
        <f t="shared" si="1"/>
        <v>420</v>
      </c>
      <c r="I17" s="318">
        <f t="shared" si="2"/>
        <v>128.70000000000002</v>
      </c>
      <c r="J17" s="597"/>
      <c r="K17" s="597"/>
      <c r="L17" s="597"/>
      <c r="M17" s="597"/>
      <c r="N17" s="597"/>
      <c r="O17" s="597"/>
      <c r="P17" s="597"/>
      <c r="Q17" s="598"/>
    </row>
    <row r="18" spans="1:17" s="71" customFormat="1" ht="24.95" customHeight="1" x14ac:dyDescent="0.2">
      <c r="A18" s="599"/>
      <c r="B18" s="729" t="s">
        <v>722</v>
      </c>
      <c r="C18" s="601"/>
      <c r="D18" s="601"/>
      <c r="E18" s="601"/>
      <c r="F18" s="606"/>
      <c r="G18" s="601"/>
      <c r="H18" s="601"/>
      <c r="I18" s="604"/>
      <c r="J18" s="679"/>
      <c r="K18" s="679"/>
      <c r="L18" s="679"/>
      <c r="M18" s="679"/>
      <c r="N18" s="679"/>
      <c r="O18" s="679"/>
      <c r="P18" s="679"/>
      <c r="Q18" s="728"/>
    </row>
    <row r="19" spans="1:17" s="71" customFormat="1" ht="24.95" customHeight="1" x14ac:dyDescent="0.2">
      <c r="A19" s="599"/>
      <c r="B19" s="606" t="s">
        <v>709</v>
      </c>
      <c r="C19" s="601">
        <v>2</v>
      </c>
      <c r="D19" s="601">
        <v>1</v>
      </c>
      <c r="E19" s="601">
        <v>5</v>
      </c>
      <c r="F19" s="302">
        <f>I19+J57+K57</f>
        <v>165</v>
      </c>
      <c r="G19" s="601">
        <v>50</v>
      </c>
      <c r="H19" s="725">
        <f>C19*E19*G19</f>
        <v>500</v>
      </c>
      <c r="I19" s="318">
        <f>IF(G19&lt;70, C19*E19*16.5*1, C19*E19*16.5*1.3)</f>
        <v>165</v>
      </c>
      <c r="J19" s="679"/>
      <c r="K19" s="679"/>
      <c r="L19" s="679"/>
      <c r="M19" s="679"/>
      <c r="N19" s="679"/>
      <c r="O19" s="679"/>
      <c r="P19" s="679"/>
      <c r="Q19" s="728"/>
    </row>
    <row r="20" spans="1:17" s="71" customFormat="1" ht="24.95" customHeight="1" x14ac:dyDescent="0.2">
      <c r="A20" s="599" t="s">
        <v>234</v>
      </c>
      <c r="B20" s="600" t="s">
        <v>704</v>
      </c>
      <c r="C20" s="601">
        <v>4</v>
      </c>
      <c r="D20" s="601">
        <v>1</v>
      </c>
      <c r="E20" s="601">
        <v>2</v>
      </c>
      <c r="F20" s="302">
        <f>I20+J47+K47</f>
        <v>171.6</v>
      </c>
      <c r="G20" s="601">
        <v>70</v>
      </c>
      <c r="H20" s="725">
        <f>C20*E20*G20</f>
        <v>560</v>
      </c>
      <c r="I20" s="318">
        <f>IF(G20&lt;70, C20*E20*16.5*1, C20*E20*16.5*1.3)</f>
        <v>171.6</v>
      </c>
      <c r="J20" s="597"/>
      <c r="K20" s="597"/>
      <c r="L20" s="597"/>
      <c r="M20" s="597"/>
      <c r="N20" s="597"/>
      <c r="O20" s="597"/>
      <c r="P20" s="597"/>
      <c r="Q20" s="598"/>
    </row>
    <row r="21" spans="1:17" s="71" customFormat="1" ht="24.95" customHeight="1" x14ac:dyDescent="0.2">
      <c r="A21" s="599" t="s">
        <v>285</v>
      </c>
      <c r="B21" s="600" t="s">
        <v>252</v>
      </c>
      <c r="C21" s="604">
        <v>2</v>
      </c>
      <c r="D21" s="602">
        <v>1</v>
      </c>
      <c r="E21" s="604">
        <v>1</v>
      </c>
      <c r="F21" s="302">
        <f t="shared" si="0"/>
        <v>33</v>
      </c>
      <c r="G21" s="604">
        <v>40</v>
      </c>
      <c r="H21" s="725">
        <f t="shared" si="1"/>
        <v>80</v>
      </c>
      <c r="I21" s="318">
        <f t="shared" si="2"/>
        <v>33</v>
      </c>
      <c r="J21" s="597"/>
      <c r="K21" s="597"/>
      <c r="L21" s="597"/>
      <c r="M21" s="597"/>
      <c r="N21" s="597"/>
      <c r="O21" s="597"/>
      <c r="P21" s="597"/>
      <c r="Q21" s="598"/>
    </row>
    <row r="22" spans="1:17" s="71" customFormat="1" ht="24.95" customHeight="1" x14ac:dyDescent="0.2">
      <c r="A22" s="599"/>
      <c r="B22" s="612" t="s">
        <v>713</v>
      </c>
      <c r="C22" s="601">
        <v>5</v>
      </c>
      <c r="D22" s="601">
        <v>1</v>
      </c>
      <c r="E22" s="601">
        <v>4</v>
      </c>
      <c r="F22" s="302">
        <f t="shared" si="0"/>
        <v>429</v>
      </c>
      <c r="G22" s="601">
        <v>70</v>
      </c>
      <c r="H22" s="725">
        <f>C22*E22*G22</f>
        <v>1400</v>
      </c>
      <c r="I22" s="318">
        <f>IF(G22&lt;70, C22*E22*16.5*1, C22*E22*16.5*1.3)</f>
        <v>429</v>
      </c>
      <c r="J22" s="679"/>
      <c r="K22" s="679"/>
      <c r="L22" s="679"/>
      <c r="M22" s="679"/>
      <c r="N22" s="679"/>
      <c r="O22" s="679"/>
      <c r="P22" s="679"/>
      <c r="Q22" s="728"/>
    </row>
    <row r="23" spans="1:17" s="71" customFormat="1" ht="24.95" customHeight="1" x14ac:dyDescent="0.2">
      <c r="A23" s="599" t="s">
        <v>286</v>
      </c>
      <c r="B23" s="730" t="s">
        <v>781</v>
      </c>
      <c r="C23" s="604"/>
      <c r="D23" s="602"/>
      <c r="E23" s="604"/>
      <c r="F23" s="606"/>
      <c r="G23" s="604"/>
      <c r="H23" s="601"/>
      <c r="I23" s="604"/>
      <c r="J23" s="597"/>
      <c r="K23" s="597"/>
      <c r="L23" s="597"/>
      <c r="M23" s="597"/>
      <c r="N23" s="597"/>
      <c r="O23" s="597"/>
      <c r="P23" s="597"/>
      <c r="Q23" s="598"/>
    </row>
    <row r="24" spans="1:17" s="71" customFormat="1" ht="24.95" customHeight="1" x14ac:dyDescent="0.25">
      <c r="A24" s="599"/>
      <c r="B24" s="603" t="s">
        <v>698</v>
      </c>
      <c r="C24" s="601">
        <v>2</v>
      </c>
      <c r="D24" s="601">
        <v>1</v>
      </c>
      <c r="E24" s="601">
        <v>2</v>
      </c>
      <c r="F24" s="302">
        <f>I24+J23+K23</f>
        <v>85.8</v>
      </c>
      <c r="G24" s="601">
        <v>80</v>
      </c>
      <c r="H24" s="725">
        <f>C24*E24*G24</f>
        <v>320</v>
      </c>
      <c r="I24" s="318">
        <f>IF(G24&lt;70, C24*E24*16.5*1, C24*E24*16.5*1.3)</f>
        <v>85.8</v>
      </c>
      <c r="J24" s="679"/>
      <c r="K24" s="679"/>
      <c r="L24" s="679"/>
      <c r="M24" s="679"/>
      <c r="N24" s="679"/>
      <c r="O24" s="679"/>
      <c r="P24" s="679"/>
      <c r="Q24" s="728"/>
    </row>
    <row r="25" spans="1:17" s="71" customFormat="1" ht="24.95" customHeight="1" x14ac:dyDescent="0.25">
      <c r="A25" s="599"/>
      <c r="B25" s="605" t="s">
        <v>701</v>
      </c>
      <c r="C25" s="601">
        <v>3</v>
      </c>
      <c r="D25" s="601">
        <v>1</v>
      </c>
      <c r="E25" s="601">
        <v>4</v>
      </c>
      <c r="F25" s="302">
        <f>I25+J40+K40</f>
        <v>257.40000000000003</v>
      </c>
      <c r="G25" s="601">
        <v>70</v>
      </c>
      <c r="H25" s="725">
        <f>C25*E25*G25</f>
        <v>840</v>
      </c>
      <c r="I25" s="318">
        <f>IF(G25&lt;70, C25*E25*16.5*1, C25*E25*16.5*1.3)</f>
        <v>257.40000000000003</v>
      </c>
      <c r="J25" s="679"/>
      <c r="K25" s="679"/>
      <c r="L25" s="679"/>
      <c r="M25" s="679"/>
      <c r="N25" s="679"/>
      <c r="O25" s="679"/>
      <c r="P25" s="679"/>
      <c r="Q25" s="728"/>
    </row>
    <row r="26" spans="1:17" s="71" customFormat="1" ht="24.95" customHeight="1" x14ac:dyDescent="0.2">
      <c r="A26" s="599" t="s">
        <v>287</v>
      </c>
      <c r="B26" s="600" t="s">
        <v>699</v>
      </c>
      <c r="C26" s="601">
        <v>1</v>
      </c>
      <c r="D26" s="601">
        <v>1.4</v>
      </c>
      <c r="E26" s="601">
        <v>6</v>
      </c>
      <c r="F26" s="302">
        <f t="shared" si="0"/>
        <v>99</v>
      </c>
      <c r="G26" s="601">
        <v>20</v>
      </c>
      <c r="H26" s="725">
        <f t="shared" si="1"/>
        <v>120</v>
      </c>
      <c r="I26" s="318">
        <f t="shared" si="2"/>
        <v>99</v>
      </c>
      <c r="J26" s="597"/>
      <c r="K26" s="597"/>
      <c r="L26" s="597"/>
      <c r="M26" s="597"/>
      <c r="N26" s="597"/>
      <c r="O26" s="597"/>
      <c r="P26" s="597"/>
      <c r="Q26" s="598"/>
    </row>
    <row r="27" spans="1:17" s="71" customFormat="1" ht="24.95" customHeight="1" x14ac:dyDescent="0.2">
      <c r="A27" s="599"/>
      <c r="B27" s="450" t="s">
        <v>721</v>
      </c>
      <c r="C27" s="601"/>
      <c r="D27" s="601"/>
      <c r="E27" s="601"/>
      <c r="F27" s="302">
        <f t="shared" si="0"/>
        <v>0</v>
      </c>
      <c r="G27" s="601"/>
      <c r="H27" s="601"/>
      <c r="I27" s="604"/>
      <c r="J27" s="679"/>
      <c r="K27" s="679"/>
      <c r="L27" s="679"/>
      <c r="M27" s="679"/>
      <c r="N27" s="679"/>
      <c r="O27" s="679"/>
      <c r="P27" s="679"/>
      <c r="Q27" s="728"/>
    </row>
    <row r="28" spans="1:17" s="71" customFormat="1" ht="24.95" customHeight="1" x14ac:dyDescent="0.2">
      <c r="A28" s="599" t="s">
        <v>288</v>
      </c>
      <c r="B28" s="613" t="s">
        <v>261</v>
      </c>
      <c r="C28" s="611">
        <v>2</v>
      </c>
      <c r="D28" s="601">
        <v>1</v>
      </c>
      <c r="E28" s="601">
        <v>2</v>
      </c>
      <c r="F28" s="302">
        <f t="shared" si="0"/>
        <v>85.8</v>
      </c>
      <c r="G28" s="601">
        <v>70</v>
      </c>
      <c r="H28" s="725">
        <f t="shared" ref="H28:H33" si="3">C28*E28*G28</f>
        <v>280</v>
      </c>
      <c r="I28" s="318">
        <f t="shared" ref="I28:I33" si="4">IF(G28&lt;70, C28*E28*16.5*1, C28*E28*16.5*1.3)</f>
        <v>85.8</v>
      </c>
      <c r="J28" s="319"/>
      <c r="K28" s="319"/>
      <c r="L28" s="319"/>
      <c r="M28" s="319"/>
      <c r="N28" s="319"/>
      <c r="O28" s="319"/>
      <c r="P28" s="319"/>
      <c r="Q28" s="302"/>
    </row>
    <row r="29" spans="1:17" s="71" customFormat="1" ht="24.95" customHeight="1" x14ac:dyDescent="0.2">
      <c r="A29" s="599" t="s">
        <v>289</v>
      </c>
      <c r="B29" s="613" t="s">
        <v>260</v>
      </c>
      <c r="C29" s="611">
        <v>2</v>
      </c>
      <c r="D29" s="601">
        <v>1</v>
      </c>
      <c r="E29" s="601">
        <v>2</v>
      </c>
      <c r="F29" s="302">
        <f t="shared" si="0"/>
        <v>85.8</v>
      </c>
      <c r="G29" s="601">
        <v>70</v>
      </c>
      <c r="H29" s="725">
        <f t="shared" si="3"/>
        <v>280</v>
      </c>
      <c r="I29" s="318">
        <f t="shared" si="4"/>
        <v>85.8</v>
      </c>
      <c r="J29" s="319"/>
      <c r="K29" s="319"/>
      <c r="L29" s="319"/>
      <c r="M29" s="319"/>
      <c r="N29" s="319"/>
      <c r="O29" s="319"/>
      <c r="P29" s="319"/>
      <c r="Q29" s="302"/>
    </row>
    <row r="30" spans="1:17" s="71" customFormat="1" ht="24.95" customHeight="1" x14ac:dyDescent="0.2">
      <c r="A30" s="599" t="s">
        <v>292</v>
      </c>
      <c r="B30" s="614" t="s">
        <v>718</v>
      </c>
      <c r="C30" s="611">
        <v>1</v>
      </c>
      <c r="D30" s="601">
        <v>1.4</v>
      </c>
      <c r="E30" s="601">
        <v>14</v>
      </c>
      <c r="F30" s="302">
        <f t="shared" si="0"/>
        <v>231</v>
      </c>
      <c r="G30" s="601">
        <v>20</v>
      </c>
      <c r="H30" s="725">
        <f t="shared" si="3"/>
        <v>280</v>
      </c>
      <c r="I30" s="318">
        <f t="shared" si="4"/>
        <v>231</v>
      </c>
      <c r="J30" s="319"/>
      <c r="K30" s="319"/>
      <c r="L30" s="319"/>
      <c r="M30" s="319"/>
      <c r="N30" s="319"/>
      <c r="O30" s="319"/>
      <c r="P30" s="319"/>
      <c r="Q30" s="302"/>
    </row>
    <row r="31" spans="1:17" s="71" customFormat="1" ht="24.95" customHeight="1" x14ac:dyDescent="0.2">
      <c r="A31" s="599"/>
      <c r="B31" s="600" t="s">
        <v>700</v>
      </c>
      <c r="C31" s="601">
        <v>3</v>
      </c>
      <c r="D31" s="601">
        <v>1</v>
      </c>
      <c r="E31" s="601">
        <v>2</v>
      </c>
      <c r="F31" s="302">
        <f t="shared" si="0"/>
        <v>128.70000000000002</v>
      </c>
      <c r="G31" s="601">
        <v>80</v>
      </c>
      <c r="H31" s="725">
        <f t="shared" si="3"/>
        <v>480</v>
      </c>
      <c r="I31" s="318">
        <f t="shared" si="4"/>
        <v>128.70000000000002</v>
      </c>
      <c r="J31" s="526"/>
      <c r="K31" s="526"/>
      <c r="L31" s="526"/>
      <c r="M31" s="526"/>
      <c r="N31" s="526"/>
      <c r="O31" s="526"/>
      <c r="P31" s="526"/>
      <c r="Q31" s="606"/>
    </row>
    <row r="32" spans="1:17" s="71" customFormat="1" ht="24.95" customHeight="1" x14ac:dyDescent="0.2">
      <c r="A32" s="599"/>
      <c r="B32" s="600" t="s">
        <v>255</v>
      </c>
      <c r="C32" s="601">
        <v>2</v>
      </c>
      <c r="D32" s="601">
        <v>1</v>
      </c>
      <c r="E32" s="601">
        <v>1</v>
      </c>
      <c r="F32" s="302">
        <f>I32+J29+K29</f>
        <v>33</v>
      </c>
      <c r="G32" s="601">
        <v>40</v>
      </c>
      <c r="H32" s="725">
        <f t="shared" si="3"/>
        <v>80</v>
      </c>
      <c r="I32" s="318">
        <f t="shared" si="4"/>
        <v>33</v>
      </c>
      <c r="J32" s="526"/>
      <c r="K32" s="526"/>
      <c r="L32" s="526"/>
      <c r="M32" s="526"/>
      <c r="N32" s="526"/>
      <c r="O32" s="526"/>
      <c r="P32" s="526"/>
      <c r="Q32" s="606"/>
    </row>
    <row r="33" spans="1:17" s="71" customFormat="1" ht="24.95" customHeight="1" x14ac:dyDescent="0.2">
      <c r="A33" s="599"/>
      <c r="B33" s="600" t="s">
        <v>269</v>
      </c>
      <c r="C33" s="601">
        <v>3</v>
      </c>
      <c r="D33" s="601">
        <v>1</v>
      </c>
      <c r="E33" s="601">
        <v>2</v>
      </c>
      <c r="F33" s="302">
        <f>I33+J54+K54</f>
        <v>128.70000000000002</v>
      </c>
      <c r="G33" s="601">
        <v>70</v>
      </c>
      <c r="H33" s="725">
        <f t="shared" si="3"/>
        <v>420</v>
      </c>
      <c r="I33" s="318">
        <f t="shared" si="4"/>
        <v>128.70000000000002</v>
      </c>
      <c r="J33" s="526"/>
      <c r="K33" s="526"/>
      <c r="L33" s="526"/>
      <c r="M33" s="526"/>
      <c r="N33" s="526"/>
      <c r="O33" s="526"/>
      <c r="P33" s="526"/>
      <c r="Q33" s="606"/>
    </row>
    <row r="34" spans="1:17" s="71" customFormat="1" ht="24.95" customHeight="1" x14ac:dyDescent="0.2">
      <c r="A34" s="599" t="s">
        <v>293</v>
      </c>
      <c r="B34" s="600" t="s">
        <v>257</v>
      </c>
      <c r="C34" s="601">
        <v>4</v>
      </c>
      <c r="D34" s="601">
        <v>1.4</v>
      </c>
      <c r="E34" s="601">
        <v>6</v>
      </c>
      <c r="F34" s="302">
        <f t="shared" si="0"/>
        <v>396</v>
      </c>
      <c r="G34" s="601">
        <v>20</v>
      </c>
      <c r="H34" s="725">
        <f t="shared" si="1"/>
        <v>480</v>
      </c>
      <c r="I34" s="318">
        <f t="shared" si="2"/>
        <v>396</v>
      </c>
      <c r="J34" s="319"/>
      <c r="K34" s="319"/>
      <c r="L34" s="319"/>
      <c r="M34" s="319"/>
      <c r="N34" s="319"/>
      <c r="O34" s="319"/>
      <c r="P34" s="319"/>
      <c r="Q34" s="302"/>
    </row>
    <row r="35" spans="1:17" s="71" customFormat="1" ht="24.95" customHeight="1" x14ac:dyDescent="0.2">
      <c r="A35" s="599" t="s">
        <v>294</v>
      </c>
      <c r="B35" s="600" t="s">
        <v>258</v>
      </c>
      <c r="C35" s="601">
        <v>3</v>
      </c>
      <c r="D35" s="601">
        <v>1.3</v>
      </c>
      <c r="E35" s="601">
        <v>6</v>
      </c>
      <c r="F35" s="302">
        <f t="shared" si="0"/>
        <v>297</v>
      </c>
      <c r="G35" s="601">
        <v>20</v>
      </c>
      <c r="H35" s="725">
        <f t="shared" si="1"/>
        <v>360</v>
      </c>
      <c r="I35" s="318">
        <f t="shared" si="2"/>
        <v>297</v>
      </c>
      <c r="J35" s="319"/>
      <c r="K35" s="319"/>
      <c r="L35" s="319"/>
      <c r="M35" s="319"/>
      <c r="N35" s="319"/>
      <c r="O35" s="319"/>
      <c r="P35" s="319"/>
      <c r="Q35" s="302"/>
    </row>
    <row r="36" spans="1:17" s="71" customFormat="1" ht="24.95" customHeight="1" x14ac:dyDescent="0.2">
      <c r="A36" s="599"/>
      <c r="B36" s="731" t="s">
        <v>782</v>
      </c>
      <c r="C36" s="601"/>
      <c r="D36" s="601"/>
      <c r="E36" s="601"/>
      <c r="F36" s="606"/>
      <c r="G36" s="601"/>
      <c r="H36" s="601"/>
      <c r="I36" s="604"/>
      <c r="J36" s="526"/>
      <c r="K36" s="526"/>
      <c r="L36" s="526"/>
      <c r="M36" s="526"/>
      <c r="N36" s="526"/>
      <c r="O36" s="526"/>
      <c r="P36" s="526"/>
      <c r="Q36" s="606"/>
    </row>
    <row r="37" spans="1:17" s="71" customFormat="1" ht="24.95" customHeight="1" x14ac:dyDescent="0.2">
      <c r="A37" s="599" t="s">
        <v>295</v>
      </c>
      <c r="B37" s="600" t="s">
        <v>259</v>
      </c>
      <c r="C37" s="601">
        <v>3</v>
      </c>
      <c r="D37" s="601">
        <v>1</v>
      </c>
      <c r="E37" s="601">
        <v>2</v>
      </c>
      <c r="F37" s="302">
        <f t="shared" si="0"/>
        <v>128.70000000000002</v>
      </c>
      <c r="G37" s="601">
        <v>70</v>
      </c>
      <c r="H37" s="725">
        <f t="shared" si="1"/>
        <v>420</v>
      </c>
      <c r="I37" s="318">
        <f t="shared" si="2"/>
        <v>128.70000000000002</v>
      </c>
      <c r="J37" s="319"/>
      <c r="K37" s="319"/>
      <c r="L37" s="319"/>
      <c r="M37" s="319"/>
      <c r="N37" s="319"/>
      <c r="O37" s="319"/>
      <c r="P37" s="319"/>
      <c r="Q37" s="302"/>
    </row>
    <row r="38" spans="1:17" s="71" customFormat="1" ht="24.95" customHeight="1" x14ac:dyDescent="0.2">
      <c r="A38" s="599"/>
      <c r="B38" s="600" t="s">
        <v>705</v>
      </c>
      <c r="C38" s="601">
        <v>2</v>
      </c>
      <c r="D38" s="601">
        <v>1.08</v>
      </c>
      <c r="E38" s="601">
        <v>4</v>
      </c>
      <c r="F38" s="302">
        <f>I38+J48+K48</f>
        <v>132</v>
      </c>
      <c r="G38" s="601">
        <v>50</v>
      </c>
      <c r="H38" s="725">
        <f>C38*E38*G38</f>
        <v>400</v>
      </c>
      <c r="I38" s="318">
        <f>IF(G38&lt;70, C38*E38*16.5*1, C38*E38*16.5*1.3)</f>
        <v>132</v>
      </c>
      <c r="J38" s="526"/>
      <c r="K38" s="526"/>
      <c r="L38" s="526"/>
      <c r="M38" s="526"/>
      <c r="N38" s="526"/>
      <c r="O38" s="526"/>
      <c r="P38" s="526"/>
      <c r="Q38" s="606"/>
    </row>
    <row r="39" spans="1:17" s="71" customFormat="1" ht="24.95" customHeight="1" x14ac:dyDescent="0.2">
      <c r="A39" s="599"/>
      <c r="B39" s="730" t="s">
        <v>780</v>
      </c>
      <c r="C39" s="601"/>
      <c r="D39" s="601"/>
      <c r="E39" s="601"/>
      <c r="F39" s="606"/>
      <c r="G39" s="601"/>
      <c r="H39" s="601"/>
      <c r="I39" s="604"/>
      <c r="J39" s="526"/>
      <c r="K39" s="526"/>
      <c r="L39" s="526"/>
      <c r="M39" s="526"/>
      <c r="N39" s="526"/>
      <c r="O39" s="526"/>
      <c r="P39" s="526"/>
      <c r="Q39" s="606"/>
    </row>
    <row r="40" spans="1:17" s="71" customFormat="1" ht="24.95" customHeight="1" x14ac:dyDescent="0.2">
      <c r="A40" s="599" t="s">
        <v>417</v>
      </c>
      <c r="B40" s="600" t="s">
        <v>262</v>
      </c>
      <c r="C40" s="601">
        <v>5</v>
      </c>
      <c r="D40" s="601">
        <v>1</v>
      </c>
      <c r="E40" s="601">
        <v>4</v>
      </c>
      <c r="F40" s="302">
        <f>I40+J20+K20</f>
        <v>429</v>
      </c>
      <c r="G40" s="601">
        <v>70</v>
      </c>
      <c r="H40" s="725">
        <f>C40*E40*G40</f>
        <v>1400</v>
      </c>
      <c r="I40" s="318">
        <f>IF(G40&lt;70, C40*E40*16.5*1, C40*E40*16.5*1.3)</f>
        <v>429</v>
      </c>
      <c r="J40" s="319"/>
      <c r="K40" s="319"/>
      <c r="L40" s="319"/>
      <c r="M40" s="319"/>
      <c r="N40" s="319"/>
      <c r="O40" s="319"/>
      <c r="P40" s="319"/>
      <c r="Q40" s="302"/>
    </row>
    <row r="41" spans="1:17" s="71" customFormat="1" ht="24.95" customHeight="1" x14ac:dyDescent="0.2">
      <c r="A41" s="599"/>
      <c r="B41" s="600" t="s">
        <v>270</v>
      </c>
      <c r="C41" s="601">
        <v>2</v>
      </c>
      <c r="D41" s="601">
        <v>1</v>
      </c>
      <c r="E41" s="601">
        <v>1</v>
      </c>
      <c r="F41" s="302">
        <f>I41+J55+K55</f>
        <v>33</v>
      </c>
      <c r="G41" s="601">
        <v>50</v>
      </c>
      <c r="H41" s="725">
        <f>C41*E41*G41</f>
        <v>100</v>
      </c>
      <c r="I41" s="318">
        <f>IF(G41&lt;70, C41*E41*16.5*1, C41*E41*16.5*1.3)</f>
        <v>33</v>
      </c>
      <c r="J41" s="526"/>
      <c r="K41" s="526"/>
      <c r="L41" s="526"/>
      <c r="M41" s="526"/>
      <c r="N41" s="526"/>
      <c r="O41" s="526"/>
      <c r="P41" s="526"/>
      <c r="Q41" s="606"/>
    </row>
    <row r="42" spans="1:17" s="71" customFormat="1" ht="24.95" customHeight="1" x14ac:dyDescent="0.2">
      <c r="A42" s="599"/>
      <c r="B42" s="600" t="s">
        <v>271</v>
      </c>
      <c r="C42" s="601">
        <v>2</v>
      </c>
      <c r="D42" s="601">
        <v>1</v>
      </c>
      <c r="E42" s="601">
        <v>1</v>
      </c>
      <c r="F42" s="302">
        <f>I42+J56+K56</f>
        <v>33</v>
      </c>
      <c r="G42" s="601">
        <v>50</v>
      </c>
      <c r="H42" s="725">
        <f>C42*E42*G42</f>
        <v>100</v>
      </c>
      <c r="I42" s="318">
        <f>IF(G42&lt;70, C42*E42*16.5*1, C42*E42*16.5*1.3)</f>
        <v>33</v>
      </c>
      <c r="J42" s="526"/>
      <c r="K42" s="526"/>
      <c r="L42" s="526"/>
      <c r="M42" s="526"/>
      <c r="N42" s="526"/>
      <c r="O42" s="526"/>
      <c r="P42" s="526"/>
      <c r="Q42" s="606"/>
    </row>
    <row r="43" spans="1:17" s="71" customFormat="1" ht="24.95" customHeight="1" x14ac:dyDescent="0.2">
      <c r="A43" s="599" t="s">
        <v>418</v>
      </c>
      <c r="B43" s="600" t="s">
        <v>702</v>
      </c>
      <c r="C43" s="601">
        <v>5</v>
      </c>
      <c r="D43" s="601">
        <v>1.4</v>
      </c>
      <c r="E43" s="601">
        <v>6</v>
      </c>
      <c r="F43" s="302">
        <f t="shared" si="0"/>
        <v>495</v>
      </c>
      <c r="G43" s="601">
        <v>20</v>
      </c>
      <c r="H43" s="725">
        <f t="shared" si="1"/>
        <v>600</v>
      </c>
      <c r="I43" s="318">
        <f t="shared" si="2"/>
        <v>495</v>
      </c>
      <c r="J43" s="319"/>
      <c r="K43" s="319"/>
      <c r="L43" s="319"/>
      <c r="M43" s="319"/>
      <c r="N43" s="319"/>
      <c r="O43" s="319"/>
      <c r="P43" s="319"/>
      <c r="Q43" s="302"/>
    </row>
    <row r="44" spans="1:17" s="71" customFormat="1" ht="24.95" customHeight="1" x14ac:dyDescent="0.2">
      <c r="A44" s="599"/>
      <c r="B44" s="600" t="s">
        <v>256</v>
      </c>
      <c r="C44" s="601">
        <v>2</v>
      </c>
      <c r="D44" s="601">
        <v>1</v>
      </c>
      <c r="E44" s="601">
        <v>1</v>
      </c>
      <c r="F44" s="302">
        <f>I44+J30+K30</f>
        <v>33</v>
      </c>
      <c r="G44" s="601">
        <v>40</v>
      </c>
      <c r="H44" s="725">
        <f>C44*E44*G44</f>
        <v>80</v>
      </c>
      <c r="I44" s="318">
        <f>IF(G44&lt;70, C44*E44*16.5*1, C44*E44*16.5*1.3)</f>
        <v>33</v>
      </c>
      <c r="J44" s="526"/>
      <c r="K44" s="526"/>
      <c r="L44" s="526"/>
      <c r="M44" s="526"/>
      <c r="N44" s="526"/>
      <c r="O44" s="526"/>
      <c r="P44" s="526"/>
      <c r="Q44" s="606"/>
    </row>
    <row r="45" spans="1:17" s="71" customFormat="1" ht="24.95" customHeight="1" x14ac:dyDescent="0.2">
      <c r="A45" s="599"/>
      <c r="B45" s="731" t="s">
        <v>783</v>
      </c>
      <c r="C45" s="601"/>
      <c r="D45" s="601"/>
      <c r="E45" s="601"/>
      <c r="F45" s="606"/>
      <c r="G45" s="601"/>
      <c r="H45" s="601"/>
      <c r="I45" s="604"/>
      <c r="J45" s="526"/>
      <c r="K45" s="526"/>
      <c r="L45" s="526"/>
      <c r="M45" s="526"/>
      <c r="N45" s="526"/>
      <c r="O45" s="526"/>
      <c r="P45" s="526"/>
      <c r="Q45" s="606"/>
    </row>
    <row r="46" spans="1:17" s="71" customFormat="1" ht="24.95" customHeight="1" x14ac:dyDescent="0.2">
      <c r="A46" s="599" t="s">
        <v>420</v>
      </c>
      <c r="B46" s="600" t="s">
        <v>703</v>
      </c>
      <c r="C46" s="601">
        <v>2</v>
      </c>
      <c r="D46" s="601">
        <v>1</v>
      </c>
      <c r="E46" s="601">
        <v>2</v>
      </c>
      <c r="F46" s="302">
        <f t="shared" si="0"/>
        <v>66</v>
      </c>
      <c r="G46" s="601">
        <v>65</v>
      </c>
      <c r="H46" s="725">
        <f t="shared" si="1"/>
        <v>260</v>
      </c>
      <c r="I46" s="318">
        <f t="shared" si="2"/>
        <v>66</v>
      </c>
      <c r="J46" s="319"/>
      <c r="K46" s="319"/>
      <c r="L46" s="319"/>
      <c r="M46" s="319"/>
      <c r="N46" s="319"/>
      <c r="O46" s="319"/>
      <c r="P46" s="319"/>
      <c r="Q46" s="302"/>
    </row>
    <row r="47" spans="1:17" s="71" customFormat="1" ht="24.95" customHeight="1" x14ac:dyDescent="0.2">
      <c r="A47" s="599" t="s">
        <v>421</v>
      </c>
      <c r="B47" s="600" t="s">
        <v>702</v>
      </c>
      <c r="C47" s="601">
        <v>2</v>
      </c>
      <c r="D47" s="601">
        <v>1.4</v>
      </c>
      <c r="E47" s="601">
        <v>6</v>
      </c>
      <c r="F47" s="302">
        <f t="shared" si="0"/>
        <v>198</v>
      </c>
      <c r="G47" s="601">
        <v>20</v>
      </c>
      <c r="H47" s="725">
        <f>C47*E47*G47</f>
        <v>240</v>
      </c>
      <c r="I47" s="318">
        <f>IF(G47&lt;70, C47*E47*16.5*1, C47*E47*16.5*1.3)</f>
        <v>198</v>
      </c>
      <c r="J47" s="319"/>
      <c r="K47" s="319"/>
      <c r="L47" s="319"/>
      <c r="M47" s="319"/>
      <c r="N47" s="319"/>
      <c r="O47" s="319"/>
      <c r="P47" s="319"/>
      <c r="Q47" s="302"/>
    </row>
    <row r="48" spans="1:17" s="71" customFormat="1" ht="24.95" customHeight="1" x14ac:dyDescent="0.2">
      <c r="A48" s="599" t="s">
        <v>422</v>
      </c>
      <c r="B48" s="606" t="s">
        <v>265</v>
      </c>
      <c r="C48" s="607">
        <v>4</v>
      </c>
      <c r="D48" s="601">
        <v>1.08</v>
      </c>
      <c r="E48" s="608">
        <v>2</v>
      </c>
      <c r="F48" s="302">
        <f>I48+J49+K49</f>
        <v>171.6</v>
      </c>
      <c r="G48" s="608">
        <v>70</v>
      </c>
      <c r="H48" s="725">
        <f>C48*E48*G48</f>
        <v>560</v>
      </c>
      <c r="I48" s="318">
        <f>IF(G48&lt;70, C48*E48*16.5*1, C48*E48*16.5*1.3)</f>
        <v>171.6</v>
      </c>
      <c r="J48" s="319"/>
      <c r="K48" s="319"/>
      <c r="L48" s="319"/>
      <c r="M48" s="319"/>
      <c r="N48" s="319"/>
      <c r="O48" s="319"/>
      <c r="P48" s="319"/>
      <c r="Q48" s="302"/>
    </row>
    <row r="49" spans="1:17" s="71" customFormat="1" ht="24.95" customHeight="1" x14ac:dyDescent="0.2">
      <c r="A49" s="599" t="s">
        <v>423</v>
      </c>
      <c r="B49" s="609" t="s">
        <v>706</v>
      </c>
      <c r="C49" s="601">
        <v>3</v>
      </c>
      <c r="D49" s="601">
        <v>1</v>
      </c>
      <c r="E49" s="601">
        <v>2</v>
      </c>
      <c r="F49" s="302">
        <f>I49+J50+K50</f>
        <v>128.70000000000002</v>
      </c>
      <c r="G49" s="601">
        <v>80</v>
      </c>
      <c r="H49" s="725">
        <f>C49*E49*G49</f>
        <v>480</v>
      </c>
      <c r="I49" s="318">
        <f>IF(G49&lt;70, C49*E49*16.5*1, C49*E49*16.5*1.3)</f>
        <v>128.70000000000002</v>
      </c>
      <c r="J49" s="319"/>
      <c r="K49" s="319"/>
      <c r="L49" s="319"/>
      <c r="M49" s="319"/>
      <c r="N49" s="319"/>
      <c r="O49" s="319"/>
      <c r="P49" s="319"/>
      <c r="Q49" s="302"/>
    </row>
    <row r="50" spans="1:17" s="71" customFormat="1" ht="24.95" customHeight="1" x14ac:dyDescent="0.2">
      <c r="A50" s="599" t="s">
        <v>424</v>
      </c>
      <c r="B50" s="600" t="s">
        <v>707</v>
      </c>
      <c r="C50" s="601">
        <v>3</v>
      </c>
      <c r="D50" s="601">
        <v>1</v>
      </c>
      <c r="E50" s="601">
        <v>2</v>
      </c>
      <c r="F50" s="302">
        <f>I50+J51+K51</f>
        <v>128.70000000000002</v>
      </c>
      <c r="G50" s="601">
        <v>70</v>
      </c>
      <c r="H50" s="725">
        <f>C50*E50*G50</f>
        <v>420</v>
      </c>
      <c r="I50" s="318">
        <f>IF(G50&lt;70, C50*E50*16.5*1, C50*E50*16.5*1.3)</f>
        <v>128.70000000000002</v>
      </c>
      <c r="J50" s="319"/>
      <c r="K50" s="319"/>
      <c r="L50" s="319"/>
      <c r="M50" s="319"/>
      <c r="N50" s="319"/>
      <c r="O50" s="319"/>
      <c r="P50" s="319"/>
      <c r="Q50" s="302"/>
    </row>
    <row r="51" spans="1:17" s="71" customFormat="1" ht="24.95" customHeight="1" x14ac:dyDescent="0.2">
      <c r="A51" s="599" t="s">
        <v>425</v>
      </c>
      <c r="B51" s="600" t="s">
        <v>267</v>
      </c>
      <c r="C51" s="601">
        <v>3</v>
      </c>
      <c r="D51" s="601">
        <v>1</v>
      </c>
      <c r="E51" s="601">
        <v>1</v>
      </c>
      <c r="F51" s="302">
        <f>I51+J52+K52</f>
        <v>49.5</v>
      </c>
      <c r="G51" s="601">
        <v>21</v>
      </c>
      <c r="H51" s="725">
        <f>C51*E51*G51</f>
        <v>63</v>
      </c>
      <c r="I51" s="318">
        <f>IF(G51&lt;70, C51*E51*16.5*1, C51*E51*16.5*1.3)</f>
        <v>49.5</v>
      </c>
      <c r="J51" s="319"/>
      <c r="K51" s="319"/>
      <c r="L51" s="319"/>
      <c r="M51" s="319"/>
      <c r="N51" s="319"/>
      <c r="O51" s="319"/>
      <c r="P51" s="319"/>
      <c r="Q51" s="302"/>
    </row>
    <row r="52" spans="1:17" s="71" customFormat="1" ht="24.95" customHeight="1" x14ac:dyDescent="0.2">
      <c r="A52" s="599"/>
      <c r="B52" s="731" t="s">
        <v>784</v>
      </c>
      <c r="C52" s="601"/>
      <c r="D52" s="601"/>
      <c r="E52" s="601"/>
      <c r="F52" s="606"/>
      <c r="G52" s="601"/>
      <c r="H52" s="601"/>
      <c r="I52" s="604"/>
      <c r="J52" s="526"/>
      <c r="K52" s="526"/>
      <c r="L52" s="526"/>
      <c r="M52" s="526"/>
      <c r="N52" s="526"/>
      <c r="O52" s="526"/>
      <c r="P52" s="526"/>
      <c r="Q52" s="606"/>
    </row>
    <row r="53" spans="1:17" s="71" customFormat="1" ht="24.95" customHeight="1" x14ac:dyDescent="0.2">
      <c r="A53" s="599" t="s">
        <v>429</v>
      </c>
      <c r="B53" s="600" t="s">
        <v>695</v>
      </c>
      <c r="C53" s="601">
        <v>1</v>
      </c>
      <c r="D53" s="601">
        <v>1.4</v>
      </c>
      <c r="E53" s="601">
        <v>14</v>
      </c>
      <c r="F53" s="302">
        <f>I53+J14+K14</f>
        <v>231</v>
      </c>
      <c r="G53" s="601">
        <v>20</v>
      </c>
      <c r="H53" s="725">
        <f>C53*E53*G53</f>
        <v>280</v>
      </c>
      <c r="I53" s="318">
        <f>IF(G53&lt;70, C53*E53*16.5*1, C53*E53*16.5*1.3)</f>
        <v>231</v>
      </c>
      <c r="J53" s="319"/>
      <c r="K53" s="319"/>
      <c r="L53" s="319"/>
      <c r="M53" s="319"/>
      <c r="N53" s="319"/>
      <c r="O53" s="319"/>
      <c r="P53" s="319"/>
      <c r="Q53" s="302"/>
    </row>
    <row r="54" spans="1:17" s="71" customFormat="1" ht="24.95" customHeight="1" x14ac:dyDescent="0.2">
      <c r="A54" s="599" t="s">
        <v>430</v>
      </c>
      <c r="B54" s="600" t="s">
        <v>263</v>
      </c>
      <c r="C54" s="601">
        <v>2</v>
      </c>
      <c r="D54" s="601">
        <v>1</v>
      </c>
      <c r="E54" s="601">
        <v>4</v>
      </c>
      <c r="F54" s="302">
        <f>I54+J15+K15</f>
        <v>132</v>
      </c>
      <c r="G54" s="601">
        <v>40</v>
      </c>
      <c r="H54" s="725">
        <f>C54*E54*G54</f>
        <v>320</v>
      </c>
      <c r="I54" s="318">
        <f>IF(G54&lt;70, C54*E54*16.5*1, C54*E54*16.5*1.3)</f>
        <v>132</v>
      </c>
      <c r="J54" s="319"/>
      <c r="K54" s="319"/>
      <c r="L54" s="319"/>
      <c r="M54" s="319"/>
      <c r="N54" s="319"/>
      <c r="O54" s="319"/>
      <c r="P54" s="319"/>
      <c r="Q54" s="302"/>
    </row>
    <row r="55" spans="1:17" s="71" customFormat="1" ht="24.95" customHeight="1" x14ac:dyDescent="0.2">
      <c r="A55" s="599" t="s">
        <v>431</v>
      </c>
      <c r="B55" s="71" t="s">
        <v>785</v>
      </c>
      <c r="F55" s="302">
        <f t="shared" ref="F55:F57" si="5">I55+J16+K16</f>
        <v>0</v>
      </c>
      <c r="J55" s="319"/>
      <c r="K55" s="319"/>
      <c r="L55" s="319"/>
      <c r="M55" s="319"/>
      <c r="N55" s="319"/>
      <c r="O55" s="319"/>
      <c r="P55" s="319"/>
      <c r="Q55" s="302"/>
    </row>
    <row r="56" spans="1:17" s="71" customFormat="1" ht="24.95" customHeight="1" x14ac:dyDescent="0.2">
      <c r="A56" s="599" t="s">
        <v>432</v>
      </c>
      <c r="B56" s="600" t="s">
        <v>708</v>
      </c>
      <c r="C56" s="601">
        <v>4</v>
      </c>
      <c r="D56" s="601">
        <v>1</v>
      </c>
      <c r="E56" s="601">
        <v>5</v>
      </c>
      <c r="F56" s="302">
        <f t="shared" si="5"/>
        <v>429</v>
      </c>
      <c r="G56" s="601">
        <v>70</v>
      </c>
      <c r="H56" s="725">
        <f>C56*E56*G56</f>
        <v>1400</v>
      </c>
      <c r="I56" s="318">
        <f>IF(G56&lt;70, C56*E56*16.5*1, C56*E56*16.5*1.3)</f>
        <v>429</v>
      </c>
      <c r="J56" s="319"/>
      <c r="K56" s="319"/>
      <c r="L56" s="319"/>
      <c r="M56" s="319"/>
      <c r="N56" s="319"/>
      <c r="O56" s="319"/>
      <c r="P56" s="319"/>
      <c r="Q56" s="302"/>
    </row>
    <row r="57" spans="1:17" s="71" customFormat="1" ht="24.95" customHeight="1" x14ac:dyDescent="0.2">
      <c r="A57" s="599" t="s">
        <v>433</v>
      </c>
      <c r="B57" s="612" t="s">
        <v>264</v>
      </c>
      <c r="C57" s="611">
        <v>4</v>
      </c>
      <c r="D57" s="601">
        <v>1</v>
      </c>
      <c r="E57" s="601">
        <v>4</v>
      </c>
      <c r="F57" s="302">
        <f t="shared" si="5"/>
        <v>343.2</v>
      </c>
      <c r="G57" s="601">
        <v>70</v>
      </c>
      <c r="H57" s="725">
        <f>C57*E57*G57</f>
        <v>1120</v>
      </c>
      <c r="I57" s="318">
        <f>IF(G57&lt;70, C57*E57*16.5*1, C57*E57*16.5*1.3)</f>
        <v>343.2</v>
      </c>
      <c r="J57" s="319"/>
      <c r="K57" s="319"/>
      <c r="L57" s="319"/>
      <c r="M57" s="319"/>
      <c r="N57" s="319"/>
      <c r="O57" s="319"/>
      <c r="P57" s="319"/>
      <c r="Q57" s="302"/>
    </row>
    <row r="58" spans="1:17" s="71" customFormat="1" ht="24.95" customHeight="1" x14ac:dyDescent="0.2">
      <c r="A58" s="599" t="s">
        <v>710</v>
      </c>
      <c r="B58" s="610" t="s">
        <v>711</v>
      </c>
      <c r="C58" s="611">
        <v>3</v>
      </c>
      <c r="D58" s="601">
        <v>1</v>
      </c>
      <c r="E58" s="601">
        <v>4</v>
      </c>
      <c r="F58" s="302">
        <f t="shared" si="0"/>
        <v>257.40000000000003</v>
      </c>
      <c r="G58" s="601">
        <v>70</v>
      </c>
      <c r="H58" s="725">
        <f t="shared" si="1"/>
        <v>840</v>
      </c>
      <c r="I58" s="318">
        <f t="shared" si="2"/>
        <v>257.40000000000003</v>
      </c>
      <c r="J58" s="319"/>
      <c r="K58" s="319"/>
      <c r="L58" s="319"/>
      <c r="M58" s="319"/>
      <c r="N58" s="319"/>
      <c r="O58" s="319"/>
      <c r="P58" s="319"/>
      <c r="Q58" s="302"/>
    </row>
    <row r="59" spans="1:17" s="71" customFormat="1" ht="24.95" customHeight="1" x14ac:dyDescent="0.2">
      <c r="A59" s="599" t="s">
        <v>719</v>
      </c>
      <c r="B59" s="615" t="s">
        <v>436</v>
      </c>
      <c r="C59" s="616">
        <v>1</v>
      </c>
      <c r="D59" s="616">
        <v>1.4</v>
      </c>
      <c r="E59" s="616">
        <v>10</v>
      </c>
      <c r="F59" s="302">
        <f t="shared" si="0"/>
        <v>165</v>
      </c>
      <c r="G59" s="616">
        <v>40</v>
      </c>
      <c r="H59" s="725">
        <f t="shared" si="1"/>
        <v>400</v>
      </c>
      <c r="I59" s="318">
        <f t="shared" si="2"/>
        <v>165</v>
      </c>
      <c r="J59" s="319"/>
      <c r="K59" s="319"/>
      <c r="L59" s="319"/>
      <c r="M59" s="319"/>
      <c r="N59" s="319"/>
      <c r="O59" s="319"/>
      <c r="P59" s="319"/>
      <c r="Q59" s="600"/>
    </row>
    <row r="60" spans="1:17" s="71" customFormat="1" ht="24.95" customHeight="1" x14ac:dyDescent="0.2">
      <c r="A60" s="617" t="s">
        <v>150</v>
      </c>
      <c r="B60" s="618" t="s">
        <v>153</v>
      </c>
      <c r="C60" s="601">
        <v>0</v>
      </c>
      <c r="D60" s="601">
        <v>0</v>
      </c>
      <c r="E60" s="601">
        <v>0</v>
      </c>
      <c r="F60" s="725">
        <v>0</v>
      </c>
      <c r="G60" s="601">
        <v>0</v>
      </c>
      <c r="H60" s="725">
        <v>0</v>
      </c>
      <c r="I60" s="725">
        <v>0</v>
      </c>
      <c r="J60" s="319"/>
      <c r="K60" s="319"/>
      <c r="L60" s="319"/>
      <c r="M60" s="319"/>
      <c r="N60" s="319"/>
      <c r="O60" s="319"/>
      <c r="P60" s="319"/>
      <c r="Q60" s="600"/>
    </row>
    <row r="61" spans="1:17" s="71" customFormat="1" ht="24.95" customHeight="1" x14ac:dyDescent="0.2">
      <c r="A61" s="619" t="s">
        <v>235</v>
      </c>
      <c r="B61" s="599" t="s">
        <v>158</v>
      </c>
      <c r="C61" s="601">
        <v>4</v>
      </c>
      <c r="D61" s="601">
        <v>1.4</v>
      </c>
      <c r="E61" s="601">
        <v>6</v>
      </c>
      <c r="F61" s="302">
        <f t="shared" si="0"/>
        <v>240</v>
      </c>
      <c r="G61" s="601">
        <v>20</v>
      </c>
      <c r="H61" s="725">
        <f t="shared" si="1"/>
        <v>480</v>
      </c>
      <c r="I61" s="318">
        <f>E61*G61*2</f>
        <v>240</v>
      </c>
      <c r="J61" s="319"/>
      <c r="K61" s="319"/>
      <c r="L61" s="319"/>
      <c r="M61" s="319"/>
      <c r="N61" s="319"/>
      <c r="O61" s="319"/>
      <c r="P61" s="319"/>
      <c r="Q61" s="600" t="s">
        <v>764</v>
      </c>
    </row>
    <row r="62" spans="1:17" s="71" customFormat="1" ht="24.95" customHeight="1" x14ac:dyDescent="0.2">
      <c r="A62" s="619" t="s">
        <v>236</v>
      </c>
      <c r="B62" s="599" t="s">
        <v>159</v>
      </c>
      <c r="C62" s="601">
        <v>0</v>
      </c>
      <c r="D62" s="601"/>
      <c r="E62" s="601">
        <v>0</v>
      </c>
      <c r="F62" s="725">
        <v>0</v>
      </c>
      <c r="G62" s="601">
        <v>0</v>
      </c>
      <c r="H62" s="725">
        <v>0</v>
      </c>
      <c r="I62" s="319">
        <v>0</v>
      </c>
      <c r="J62" s="319"/>
      <c r="K62" s="319"/>
      <c r="L62" s="319"/>
      <c r="M62" s="319"/>
      <c r="N62" s="319"/>
      <c r="O62" s="319"/>
      <c r="P62" s="319"/>
      <c r="Q62" s="302"/>
    </row>
    <row r="63" spans="1:17" s="71" customFormat="1" ht="24.95" customHeight="1" x14ac:dyDescent="0.2">
      <c r="A63" s="620"/>
      <c r="B63" s="621" t="s">
        <v>360</v>
      </c>
      <c r="C63" s="622">
        <f t="shared" ref="C63:K63" si="6">SUM(C13:C62)</f>
        <v>107</v>
      </c>
      <c r="D63" s="622">
        <f t="shared" si="6"/>
        <v>43.659999999999989</v>
      </c>
      <c r="E63" s="622">
        <f t="shared" si="6"/>
        <v>155</v>
      </c>
      <c r="F63" s="622">
        <f t="shared" si="6"/>
        <v>7123.7999999999993</v>
      </c>
      <c r="G63" s="622">
        <f t="shared" si="6"/>
        <v>2106</v>
      </c>
      <c r="H63" s="622">
        <f t="shared" si="6"/>
        <v>18583</v>
      </c>
      <c r="I63" s="622">
        <f t="shared" si="6"/>
        <v>7123.7999999999993</v>
      </c>
      <c r="J63" s="622">
        <f t="shared" si="6"/>
        <v>0</v>
      </c>
      <c r="K63" s="622">
        <f t="shared" si="6"/>
        <v>0</v>
      </c>
      <c r="L63" s="623"/>
      <c r="M63" s="623"/>
      <c r="N63" s="623"/>
      <c r="O63" s="623"/>
      <c r="P63" s="623"/>
      <c r="Q63" s="624"/>
    </row>
    <row r="64" spans="1:17" s="71" customFormat="1" ht="24.95" customHeight="1" x14ac:dyDescent="0.2">
      <c r="A64" s="625">
        <v>2</v>
      </c>
      <c r="B64" s="625" t="s">
        <v>166</v>
      </c>
      <c r="C64" s="601"/>
      <c r="D64" s="601"/>
      <c r="E64" s="601"/>
      <c r="F64" s="302"/>
      <c r="G64" s="601"/>
      <c r="H64" s="725"/>
      <c r="I64" s="318"/>
      <c r="J64" s="319"/>
      <c r="K64" s="319"/>
      <c r="L64" s="319"/>
      <c r="M64" s="319"/>
      <c r="N64" s="319"/>
      <c r="O64" s="319"/>
      <c r="P64" s="319"/>
      <c r="Q64" s="302"/>
    </row>
    <row r="65" spans="1:17" s="71" customFormat="1" ht="24.95" customHeight="1" x14ac:dyDescent="0.2">
      <c r="A65" s="626" t="s">
        <v>149</v>
      </c>
      <c r="B65" s="627" t="s">
        <v>167</v>
      </c>
      <c r="C65" s="601"/>
      <c r="D65" s="601"/>
      <c r="E65" s="601"/>
      <c r="F65" s="302">
        <f t="shared" ref="F65:F71" si="7">I65+J65+K65</f>
        <v>0</v>
      </c>
      <c r="G65" s="601"/>
      <c r="H65" s="725">
        <f t="shared" ref="H65" si="8">C65*D65*E65*G65</f>
        <v>0</v>
      </c>
      <c r="I65" s="318">
        <f t="shared" ref="I65" si="9">IF(G65&lt;70, C65*E65*16.5*1.5, C65*E65*16.5*1.5)</f>
        <v>0</v>
      </c>
      <c r="J65" s="319"/>
      <c r="K65" s="319"/>
      <c r="L65" s="319"/>
      <c r="M65" s="319"/>
      <c r="N65" s="319"/>
      <c r="O65" s="319"/>
      <c r="P65" s="319"/>
      <c r="Q65" s="302"/>
    </row>
    <row r="66" spans="1:17" s="71" customFormat="1" ht="24.95" customHeight="1" x14ac:dyDescent="0.2">
      <c r="A66" s="599" t="s">
        <v>229</v>
      </c>
      <c r="B66" s="628" t="s">
        <v>272</v>
      </c>
      <c r="C66" s="601">
        <v>3</v>
      </c>
      <c r="D66" s="601">
        <v>1</v>
      </c>
      <c r="E66" s="601">
        <v>1</v>
      </c>
      <c r="F66" s="302">
        <f t="shared" si="7"/>
        <v>74.25</v>
      </c>
      <c r="G66" s="601">
        <v>10</v>
      </c>
      <c r="H66" s="725">
        <f t="shared" ref="H66:H71" si="10">C66*E66*G66</f>
        <v>30</v>
      </c>
      <c r="I66" s="318">
        <f>C66*E66*16.5*1.5</f>
        <v>74.25</v>
      </c>
      <c r="J66" s="319"/>
      <c r="K66" s="319"/>
      <c r="L66" s="319"/>
      <c r="M66" s="319"/>
      <c r="N66" s="319"/>
      <c r="O66" s="319"/>
      <c r="P66" s="319"/>
      <c r="Q66" s="302"/>
    </row>
    <row r="67" spans="1:17" s="71" customFormat="1" ht="24.95" customHeight="1" x14ac:dyDescent="0.2">
      <c r="A67" s="599" t="s">
        <v>230</v>
      </c>
      <c r="B67" s="628" t="s">
        <v>273</v>
      </c>
      <c r="C67" s="601">
        <v>3</v>
      </c>
      <c r="D67" s="601">
        <v>1</v>
      </c>
      <c r="E67" s="601">
        <v>1</v>
      </c>
      <c r="F67" s="302">
        <f t="shared" si="7"/>
        <v>74.25</v>
      </c>
      <c r="G67" s="601">
        <v>10</v>
      </c>
      <c r="H67" s="725">
        <f t="shared" si="10"/>
        <v>30</v>
      </c>
      <c r="I67" s="318">
        <f t="shared" ref="I67:I71" si="11">C67*E67*16.5*1.5</f>
        <v>74.25</v>
      </c>
      <c r="J67" s="319"/>
      <c r="K67" s="319"/>
      <c r="L67" s="319"/>
      <c r="M67" s="319"/>
      <c r="N67" s="319"/>
      <c r="O67" s="319"/>
      <c r="P67" s="319"/>
      <c r="Q67" s="302"/>
    </row>
    <row r="68" spans="1:17" s="71" customFormat="1" ht="24.95" customHeight="1" x14ac:dyDescent="0.2">
      <c r="A68" s="599" t="s">
        <v>231</v>
      </c>
      <c r="B68" s="628" t="s">
        <v>274</v>
      </c>
      <c r="C68" s="601">
        <v>3</v>
      </c>
      <c r="D68" s="601">
        <v>1</v>
      </c>
      <c r="E68" s="601">
        <v>1</v>
      </c>
      <c r="F68" s="302">
        <f t="shared" si="7"/>
        <v>74.25</v>
      </c>
      <c r="G68" s="601">
        <v>10</v>
      </c>
      <c r="H68" s="725">
        <f t="shared" si="10"/>
        <v>30</v>
      </c>
      <c r="I68" s="318">
        <f t="shared" si="11"/>
        <v>74.25</v>
      </c>
      <c r="J68" s="319"/>
      <c r="K68" s="319"/>
      <c r="L68" s="319"/>
      <c r="M68" s="319"/>
      <c r="N68" s="319"/>
      <c r="O68" s="319"/>
      <c r="P68" s="319"/>
      <c r="Q68" s="302"/>
    </row>
    <row r="69" spans="1:17" s="71" customFormat="1" ht="24.95" customHeight="1" x14ac:dyDescent="0.2">
      <c r="A69" s="599" t="s">
        <v>232</v>
      </c>
      <c r="B69" s="628" t="s">
        <v>275</v>
      </c>
      <c r="C69" s="601">
        <v>3</v>
      </c>
      <c r="D69" s="601">
        <v>1</v>
      </c>
      <c r="E69" s="601">
        <v>1</v>
      </c>
      <c r="F69" s="302">
        <f t="shared" si="7"/>
        <v>74.25</v>
      </c>
      <c r="G69" s="601">
        <v>10</v>
      </c>
      <c r="H69" s="725">
        <f t="shared" si="10"/>
        <v>30</v>
      </c>
      <c r="I69" s="318">
        <f t="shared" si="11"/>
        <v>74.25</v>
      </c>
      <c r="J69" s="319"/>
      <c r="K69" s="319"/>
      <c r="L69" s="319"/>
      <c r="M69" s="319"/>
      <c r="N69" s="319"/>
      <c r="O69" s="319"/>
      <c r="P69" s="319"/>
      <c r="Q69" s="302"/>
    </row>
    <row r="70" spans="1:17" s="71" customFormat="1" ht="24.95" customHeight="1" x14ac:dyDescent="0.2">
      <c r="A70" s="599" t="s">
        <v>233</v>
      </c>
      <c r="B70" s="629" t="s">
        <v>276</v>
      </c>
      <c r="C70" s="601">
        <v>3</v>
      </c>
      <c r="D70" s="601">
        <v>1</v>
      </c>
      <c r="E70" s="601">
        <v>1</v>
      </c>
      <c r="F70" s="302">
        <f t="shared" si="7"/>
        <v>74.25</v>
      </c>
      <c r="G70" s="601">
        <v>10</v>
      </c>
      <c r="H70" s="725">
        <f t="shared" si="10"/>
        <v>30</v>
      </c>
      <c r="I70" s="318">
        <f t="shared" si="11"/>
        <v>74.25</v>
      </c>
      <c r="J70" s="319"/>
      <c r="K70" s="319"/>
      <c r="L70" s="319"/>
      <c r="M70" s="319"/>
      <c r="N70" s="319"/>
      <c r="O70" s="319"/>
      <c r="P70" s="319"/>
      <c r="Q70" s="302"/>
    </row>
    <row r="71" spans="1:17" s="71" customFormat="1" ht="24.95" customHeight="1" x14ac:dyDescent="0.2">
      <c r="A71" s="599" t="s">
        <v>234</v>
      </c>
      <c r="B71" s="628" t="s">
        <v>557</v>
      </c>
      <c r="C71" s="601">
        <v>3</v>
      </c>
      <c r="D71" s="601">
        <v>1</v>
      </c>
      <c r="E71" s="601">
        <v>1</v>
      </c>
      <c r="F71" s="302">
        <f t="shared" si="7"/>
        <v>74.25</v>
      </c>
      <c r="G71" s="601">
        <v>15</v>
      </c>
      <c r="H71" s="725">
        <f t="shared" si="10"/>
        <v>45</v>
      </c>
      <c r="I71" s="318">
        <f t="shared" si="11"/>
        <v>74.25</v>
      </c>
      <c r="J71" s="319"/>
      <c r="K71" s="319"/>
      <c r="L71" s="319"/>
      <c r="M71" s="319"/>
      <c r="N71" s="319"/>
      <c r="O71" s="319"/>
      <c r="P71" s="319"/>
      <c r="Q71" s="302"/>
    </row>
    <row r="72" spans="1:17" s="71" customFormat="1" ht="24.95" customHeight="1" x14ac:dyDescent="0.2">
      <c r="A72" s="630" t="s">
        <v>150</v>
      </c>
      <c r="B72" s="631" t="s">
        <v>493</v>
      </c>
      <c r="C72" s="382"/>
      <c r="D72" s="382"/>
      <c r="E72" s="382"/>
      <c r="F72" s="725"/>
      <c r="G72" s="382"/>
      <c r="H72" s="725"/>
      <c r="I72" s="319"/>
      <c r="J72" s="319"/>
      <c r="K72" s="319"/>
      <c r="L72" s="319"/>
      <c r="M72" s="319"/>
      <c r="N72" s="319"/>
      <c r="O72" s="319"/>
      <c r="P72" s="319"/>
      <c r="Q72" s="302"/>
    </row>
    <row r="73" spans="1:17" s="71" customFormat="1" ht="24.95" customHeight="1" x14ac:dyDescent="0.2">
      <c r="A73" s="630"/>
      <c r="B73" s="632" t="s">
        <v>765</v>
      </c>
      <c r="C73" s="382">
        <v>15</v>
      </c>
      <c r="D73" s="382">
        <v>1</v>
      </c>
      <c r="E73" s="382">
        <v>1</v>
      </c>
      <c r="F73" s="302">
        <f t="shared" ref="F73:F102" si="12">I73+J73+K73</f>
        <v>280</v>
      </c>
      <c r="G73" s="382">
        <v>8</v>
      </c>
      <c r="H73" s="725">
        <f>C73*E73*G73</f>
        <v>120</v>
      </c>
      <c r="I73" s="318">
        <f>8*35</f>
        <v>280</v>
      </c>
      <c r="J73" s="319"/>
      <c r="K73" s="319"/>
      <c r="L73" s="319"/>
      <c r="M73" s="319"/>
      <c r="N73" s="319"/>
      <c r="O73" s="319"/>
      <c r="P73" s="319"/>
      <c r="Q73" s="302" t="s">
        <v>766</v>
      </c>
    </row>
    <row r="74" spans="1:17" s="71" customFormat="1" ht="24.95" customHeight="1" x14ac:dyDescent="0.2">
      <c r="A74" s="633"/>
      <c r="B74" s="621" t="s">
        <v>360</v>
      </c>
      <c r="C74" s="622">
        <f t="shared" ref="C74:E74" si="13">SUM(C66:C73)</f>
        <v>33</v>
      </c>
      <c r="D74" s="622">
        <f t="shared" si="13"/>
        <v>7</v>
      </c>
      <c r="E74" s="622">
        <f t="shared" si="13"/>
        <v>7</v>
      </c>
      <c r="F74" s="564">
        <f>SUM(F66:F73)</f>
        <v>725.5</v>
      </c>
      <c r="G74" s="564">
        <f t="shared" ref="G74:I74" si="14">SUM(G66:G73)</f>
        <v>73</v>
      </c>
      <c r="H74" s="564">
        <f t="shared" si="14"/>
        <v>315</v>
      </c>
      <c r="I74" s="564">
        <f t="shared" si="14"/>
        <v>725.5</v>
      </c>
      <c r="J74" s="623"/>
      <c r="K74" s="623"/>
      <c r="L74" s="623"/>
      <c r="M74" s="623"/>
      <c r="N74" s="623"/>
      <c r="O74" s="623"/>
      <c r="P74" s="623"/>
      <c r="Q74" s="624"/>
    </row>
    <row r="75" spans="1:17" s="71" customFormat="1" ht="24.95" customHeight="1" x14ac:dyDescent="0.2">
      <c r="A75" s="625">
        <v>3</v>
      </c>
      <c r="B75" s="625" t="s">
        <v>168</v>
      </c>
      <c r="C75" s="601">
        <v>0</v>
      </c>
      <c r="D75" s="601">
        <v>0</v>
      </c>
      <c r="E75" s="601">
        <v>0</v>
      </c>
      <c r="F75" s="302">
        <f t="shared" si="12"/>
        <v>0</v>
      </c>
      <c r="G75" s="601">
        <v>0</v>
      </c>
      <c r="H75" s="725">
        <f t="shared" ref="H75:H77" si="15">C75*D75*E75*G75</f>
        <v>0</v>
      </c>
      <c r="I75" s="318">
        <f t="shared" ref="I75:I102" si="16">IF(G75&lt;70, C75*E75*16.5*1, C75*E75*16.5*1.3)</f>
        <v>0</v>
      </c>
      <c r="J75" s="319"/>
      <c r="K75" s="319"/>
      <c r="L75" s="319"/>
      <c r="M75" s="319"/>
      <c r="N75" s="319"/>
      <c r="O75" s="319"/>
      <c r="P75" s="319"/>
      <c r="Q75" s="302"/>
    </row>
    <row r="76" spans="1:17" s="71" customFormat="1" ht="24.95" customHeight="1" x14ac:dyDescent="0.2">
      <c r="A76" s="625" t="s">
        <v>8</v>
      </c>
      <c r="B76" s="625" t="s">
        <v>227</v>
      </c>
      <c r="C76" s="601"/>
      <c r="D76" s="601"/>
      <c r="E76" s="601"/>
      <c r="F76" s="302">
        <f t="shared" si="12"/>
        <v>0</v>
      </c>
      <c r="G76" s="601"/>
      <c r="H76" s="725">
        <f t="shared" si="15"/>
        <v>0</v>
      </c>
      <c r="I76" s="318">
        <f t="shared" si="16"/>
        <v>0</v>
      </c>
      <c r="J76" s="319"/>
      <c r="K76" s="319"/>
      <c r="L76" s="319"/>
      <c r="M76" s="319"/>
      <c r="N76" s="319"/>
      <c r="O76" s="319"/>
      <c r="P76" s="319"/>
      <c r="Q76" s="302"/>
    </row>
    <row r="77" spans="1:17" s="71" customFormat="1" ht="24.95" customHeight="1" x14ac:dyDescent="0.2">
      <c r="A77" s="625">
        <v>1</v>
      </c>
      <c r="B77" s="627" t="s">
        <v>228</v>
      </c>
      <c r="C77" s="601"/>
      <c r="D77" s="601"/>
      <c r="E77" s="601"/>
      <c r="F77" s="302">
        <f t="shared" si="12"/>
        <v>0</v>
      </c>
      <c r="G77" s="601"/>
      <c r="H77" s="725">
        <f t="shared" si="15"/>
        <v>0</v>
      </c>
      <c r="I77" s="318">
        <f t="shared" si="16"/>
        <v>0</v>
      </c>
      <c r="J77" s="319"/>
      <c r="K77" s="319"/>
      <c r="L77" s="319"/>
      <c r="M77" s="319"/>
      <c r="N77" s="319"/>
      <c r="O77" s="319"/>
      <c r="P77" s="319"/>
      <c r="Q77" s="302"/>
    </row>
    <row r="78" spans="1:17" s="71" customFormat="1" ht="24.95" customHeight="1" x14ac:dyDescent="0.2">
      <c r="A78" s="625" t="s">
        <v>149</v>
      </c>
      <c r="B78" s="627" t="s">
        <v>165</v>
      </c>
      <c r="C78" s="601"/>
      <c r="D78" s="601"/>
      <c r="E78" s="601"/>
      <c r="F78" s="302"/>
      <c r="G78" s="601"/>
      <c r="H78" s="725"/>
      <c r="I78" s="318"/>
      <c r="J78" s="319"/>
      <c r="K78" s="319"/>
      <c r="L78" s="319"/>
      <c r="M78" s="319"/>
      <c r="N78" s="319"/>
      <c r="O78" s="319"/>
      <c r="P78" s="319"/>
      <c r="Q78" s="302"/>
    </row>
    <row r="79" spans="1:17" s="71" customFormat="1" ht="24.95" customHeight="1" x14ac:dyDescent="0.2">
      <c r="A79" s="625"/>
      <c r="B79" s="627" t="s">
        <v>721</v>
      </c>
      <c r="C79" s="601"/>
      <c r="D79" s="601"/>
      <c r="E79" s="601"/>
      <c r="F79" s="606"/>
      <c r="G79" s="601"/>
      <c r="H79" s="601"/>
      <c r="I79" s="604"/>
      <c r="J79" s="526"/>
      <c r="K79" s="526"/>
      <c r="L79" s="526"/>
      <c r="M79" s="526"/>
      <c r="N79" s="526"/>
      <c r="O79" s="526"/>
      <c r="P79" s="526"/>
      <c r="Q79" s="606"/>
    </row>
    <row r="80" spans="1:17" s="71" customFormat="1" ht="24.95" customHeight="1" x14ac:dyDescent="0.2">
      <c r="A80" s="619" t="s">
        <v>229</v>
      </c>
      <c r="B80" s="629" t="s">
        <v>269</v>
      </c>
      <c r="C80" s="601">
        <v>3</v>
      </c>
      <c r="D80" s="601">
        <v>1</v>
      </c>
      <c r="E80" s="601">
        <v>3</v>
      </c>
      <c r="F80" s="302">
        <f t="shared" si="12"/>
        <v>148.5</v>
      </c>
      <c r="G80" s="601">
        <v>40</v>
      </c>
      <c r="H80" s="725">
        <f t="shared" ref="H80:H102" si="17">C80*E80*G80</f>
        <v>360</v>
      </c>
      <c r="I80" s="318">
        <f t="shared" si="16"/>
        <v>148.5</v>
      </c>
      <c r="J80" s="319"/>
      <c r="K80" s="319"/>
      <c r="L80" s="319"/>
      <c r="M80" s="319"/>
      <c r="N80" s="319"/>
      <c r="O80" s="319"/>
      <c r="P80" s="319"/>
      <c r="Q80" s="302"/>
    </row>
    <row r="81" spans="1:17" s="71" customFormat="1" ht="24.95" customHeight="1" x14ac:dyDescent="0.2">
      <c r="A81" s="619"/>
      <c r="B81" s="732" t="s">
        <v>780</v>
      </c>
      <c r="C81" s="601"/>
      <c r="D81" s="601"/>
      <c r="E81" s="601"/>
      <c r="F81" s="606"/>
      <c r="G81" s="601"/>
      <c r="H81" s="601"/>
      <c r="I81" s="604"/>
      <c r="J81" s="526"/>
      <c r="K81" s="526"/>
      <c r="L81" s="526"/>
      <c r="M81" s="526"/>
      <c r="N81" s="526"/>
      <c r="O81" s="526"/>
      <c r="P81" s="526"/>
      <c r="Q81" s="606"/>
    </row>
    <row r="82" spans="1:17" s="71" customFormat="1" ht="24.95" customHeight="1" x14ac:dyDescent="0.2">
      <c r="A82" s="619" t="s">
        <v>230</v>
      </c>
      <c r="B82" s="629" t="s">
        <v>277</v>
      </c>
      <c r="C82" s="601">
        <v>5</v>
      </c>
      <c r="D82" s="601">
        <v>1</v>
      </c>
      <c r="E82" s="601">
        <v>3</v>
      </c>
      <c r="F82" s="302">
        <f t="shared" si="12"/>
        <v>247.5</v>
      </c>
      <c r="G82" s="601">
        <v>40</v>
      </c>
      <c r="H82" s="725">
        <f t="shared" si="17"/>
        <v>600</v>
      </c>
      <c r="I82" s="318">
        <f t="shared" si="16"/>
        <v>247.5</v>
      </c>
      <c r="J82" s="319"/>
      <c r="K82" s="319"/>
      <c r="L82" s="319"/>
      <c r="M82" s="319"/>
      <c r="N82" s="319"/>
      <c r="O82" s="319"/>
      <c r="P82" s="319"/>
      <c r="Q82" s="302"/>
    </row>
    <row r="83" spans="1:17" s="71" customFormat="1" ht="24.95" customHeight="1" x14ac:dyDescent="0.2">
      <c r="A83" s="635" t="s">
        <v>295</v>
      </c>
      <c r="B83" s="636" t="s">
        <v>266</v>
      </c>
      <c r="C83" s="637">
        <v>3</v>
      </c>
      <c r="D83" s="637">
        <v>1</v>
      </c>
      <c r="E83" s="637">
        <v>3</v>
      </c>
      <c r="F83" s="302">
        <f t="shared" si="12"/>
        <v>148.5</v>
      </c>
      <c r="G83" s="601">
        <v>40</v>
      </c>
      <c r="H83" s="725">
        <f>C83*E83*G83</f>
        <v>360</v>
      </c>
      <c r="I83" s="318">
        <f>IF(G83&lt;70, C83*E83*16.5*1, C83*E83*16.5*1.3)</f>
        <v>148.5</v>
      </c>
      <c r="J83" s="526"/>
      <c r="K83" s="526"/>
      <c r="L83" s="526"/>
      <c r="M83" s="526"/>
      <c r="N83" s="526"/>
      <c r="O83" s="526"/>
      <c r="P83" s="526"/>
      <c r="Q83" s="606"/>
    </row>
    <row r="84" spans="1:17" s="71" customFormat="1" ht="24.95" customHeight="1" x14ac:dyDescent="0.2">
      <c r="A84" s="619"/>
      <c r="B84" s="732" t="s">
        <v>781</v>
      </c>
      <c r="C84" s="601"/>
      <c r="D84" s="601"/>
      <c r="E84" s="601"/>
      <c r="F84" s="606"/>
      <c r="G84" s="601"/>
      <c r="H84" s="601"/>
      <c r="I84" s="604"/>
      <c r="J84" s="526"/>
      <c r="K84" s="526"/>
      <c r="L84" s="526"/>
      <c r="M84" s="526"/>
      <c r="N84" s="526"/>
      <c r="O84" s="526"/>
      <c r="P84" s="526"/>
      <c r="Q84" s="606"/>
    </row>
    <row r="85" spans="1:17" s="71" customFormat="1" ht="24.95" customHeight="1" x14ac:dyDescent="0.2">
      <c r="A85" s="619" t="s">
        <v>231</v>
      </c>
      <c r="B85" s="629" t="s">
        <v>278</v>
      </c>
      <c r="C85" s="601">
        <v>3</v>
      </c>
      <c r="D85" s="601">
        <v>1</v>
      </c>
      <c r="E85" s="601">
        <v>3</v>
      </c>
      <c r="F85" s="302">
        <f t="shared" si="12"/>
        <v>148.5</v>
      </c>
      <c r="G85" s="601">
        <v>40</v>
      </c>
      <c r="H85" s="725">
        <f t="shared" si="17"/>
        <v>360</v>
      </c>
      <c r="I85" s="318">
        <f t="shared" si="16"/>
        <v>148.5</v>
      </c>
      <c r="J85" s="319"/>
      <c r="K85" s="319"/>
      <c r="L85" s="319"/>
      <c r="M85" s="319"/>
      <c r="N85" s="319"/>
      <c r="O85" s="319"/>
      <c r="P85" s="319"/>
      <c r="Q85" s="302"/>
    </row>
    <row r="86" spans="1:17" s="71" customFormat="1" ht="24.95" customHeight="1" x14ac:dyDescent="0.2">
      <c r="A86" s="619" t="s">
        <v>232</v>
      </c>
      <c r="B86" s="629" t="s">
        <v>279</v>
      </c>
      <c r="C86" s="601">
        <v>2</v>
      </c>
      <c r="D86" s="601">
        <v>1</v>
      </c>
      <c r="E86" s="601">
        <v>3</v>
      </c>
      <c r="F86" s="302">
        <f t="shared" si="12"/>
        <v>99</v>
      </c>
      <c r="G86" s="601">
        <v>40</v>
      </c>
      <c r="H86" s="725">
        <f t="shared" si="17"/>
        <v>240</v>
      </c>
      <c r="I86" s="318">
        <f t="shared" si="16"/>
        <v>99</v>
      </c>
      <c r="J86" s="319"/>
      <c r="K86" s="319"/>
      <c r="L86" s="319"/>
      <c r="M86" s="319"/>
      <c r="N86" s="319"/>
      <c r="O86" s="319"/>
      <c r="P86" s="319"/>
      <c r="Q86" s="302"/>
    </row>
    <row r="87" spans="1:17" s="71" customFormat="1" ht="24.95" customHeight="1" x14ac:dyDescent="0.2">
      <c r="A87" s="619" t="s">
        <v>233</v>
      </c>
      <c r="B87" s="629" t="s">
        <v>280</v>
      </c>
      <c r="C87" s="601">
        <v>2</v>
      </c>
      <c r="D87" s="601">
        <v>1</v>
      </c>
      <c r="E87" s="601">
        <v>3</v>
      </c>
      <c r="F87" s="302">
        <f t="shared" si="12"/>
        <v>99</v>
      </c>
      <c r="G87" s="601">
        <v>40</v>
      </c>
      <c r="H87" s="725">
        <f t="shared" si="17"/>
        <v>240</v>
      </c>
      <c r="I87" s="318">
        <f t="shared" si="16"/>
        <v>99</v>
      </c>
      <c r="J87" s="319"/>
      <c r="K87" s="319"/>
      <c r="L87" s="319"/>
      <c r="M87" s="319"/>
      <c r="N87" s="319"/>
      <c r="O87" s="319"/>
      <c r="P87" s="319"/>
      <c r="Q87" s="302"/>
    </row>
    <row r="88" spans="1:17" s="71" customFormat="1" ht="24.95" customHeight="1" x14ac:dyDescent="0.2">
      <c r="A88" s="619"/>
      <c r="B88" s="732" t="s">
        <v>785</v>
      </c>
      <c r="C88" s="601"/>
      <c r="D88" s="601"/>
      <c r="E88" s="601"/>
      <c r="F88" s="606"/>
      <c r="G88" s="601"/>
      <c r="H88" s="601"/>
      <c r="I88" s="604"/>
      <c r="J88" s="526"/>
      <c r="K88" s="526"/>
      <c r="L88" s="526"/>
      <c r="M88" s="526"/>
      <c r="N88" s="526"/>
      <c r="O88" s="526"/>
      <c r="P88" s="526"/>
      <c r="Q88" s="606"/>
    </row>
    <row r="89" spans="1:17" s="71" customFormat="1" ht="24.95" customHeight="1" x14ac:dyDescent="0.2">
      <c r="A89" s="619" t="s">
        <v>234</v>
      </c>
      <c r="B89" s="629" t="s">
        <v>281</v>
      </c>
      <c r="C89" s="601">
        <v>5</v>
      </c>
      <c r="D89" s="601">
        <v>1</v>
      </c>
      <c r="E89" s="601">
        <v>3</v>
      </c>
      <c r="F89" s="302">
        <f t="shared" si="12"/>
        <v>247.5</v>
      </c>
      <c r="G89" s="601">
        <v>40</v>
      </c>
      <c r="H89" s="725">
        <f t="shared" si="17"/>
        <v>600</v>
      </c>
      <c r="I89" s="318">
        <f t="shared" si="16"/>
        <v>247.5</v>
      </c>
      <c r="J89" s="319"/>
      <c r="K89" s="319"/>
      <c r="L89" s="319"/>
      <c r="M89" s="319"/>
      <c r="N89" s="319"/>
      <c r="O89" s="319"/>
      <c r="P89" s="319"/>
      <c r="Q89" s="302"/>
    </row>
    <row r="90" spans="1:17" s="71" customFormat="1" ht="24.95" customHeight="1" x14ac:dyDescent="0.2">
      <c r="A90" s="619"/>
      <c r="B90" s="732" t="s">
        <v>783</v>
      </c>
      <c r="C90" s="601"/>
      <c r="D90" s="601"/>
      <c r="E90" s="601"/>
      <c r="F90" s="606"/>
      <c r="G90" s="601"/>
      <c r="H90" s="601"/>
      <c r="I90" s="604"/>
      <c r="J90" s="526"/>
      <c r="K90" s="526"/>
      <c r="L90" s="526"/>
      <c r="M90" s="526"/>
      <c r="N90" s="526"/>
      <c r="O90" s="526"/>
      <c r="P90" s="526"/>
      <c r="Q90" s="606"/>
    </row>
    <row r="91" spans="1:17" s="71" customFormat="1" ht="24.95" customHeight="1" x14ac:dyDescent="0.2">
      <c r="A91" s="619" t="s">
        <v>285</v>
      </c>
      <c r="B91" s="629" t="s">
        <v>282</v>
      </c>
      <c r="C91" s="601">
        <v>2</v>
      </c>
      <c r="D91" s="601">
        <v>1</v>
      </c>
      <c r="E91" s="601">
        <v>3</v>
      </c>
      <c r="F91" s="302">
        <f t="shared" si="12"/>
        <v>99</v>
      </c>
      <c r="G91" s="601">
        <v>40</v>
      </c>
      <c r="H91" s="725">
        <f t="shared" si="17"/>
        <v>240</v>
      </c>
      <c r="I91" s="318">
        <f t="shared" si="16"/>
        <v>99</v>
      </c>
      <c r="J91" s="319"/>
      <c r="K91" s="319"/>
      <c r="L91" s="319"/>
      <c r="M91" s="319"/>
      <c r="N91" s="319"/>
      <c r="O91" s="319"/>
      <c r="P91" s="319"/>
      <c r="Q91" s="302"/>
    </row>
    <row r="92" spans="1:17" s="71" customFormat="1" ht="24.95" customHeight="1" x14ac:dyDescent="0.2">
      <c r="A92" s="619" t="s">
        <v>286</v>
      </c>
      <c r="B92" s="634" t="s">
        <v>259</v>
      </c>
      <c r="C92" s="601">
        <v>3</v>
      </c>
      <c r="D92" s="601">
        <v>1</v>
      </c>
      <c r="E92" s="601">
        <v>5</v>
      </c>
      <c r="F92" s="302">
        <f t="shared" si="12"/>
        <v>247.5</v>
      </c>
      <c r="G92" s="601">
        <v>40</v>
      </c>
      <c r="H92" s="725">
        <f t="shared" si="17"/>
        <v>600</v>
      </c>
      <c r="I92" s="318">
        <f t="shared" si="16"/>
        <v>247.5</v>
      </c>
      <c r="J92" s="319"/>
      <c r="K92" s="319"/>
      <c r="L92" s="319"/>
      <c r="M92" s="319"/>
      <c r="N92" s="319"/>
      <c r="O92" s="319"/>
      <c r="P92" s="319"/>
      <c r="Q92" s="302"/>
    </row>
    <row r="93" spans="1:17" s="71" customFormat="1" ht="24.95" customHeight="1" x14ac:dyDescent="0.2">
      <c r="A93" s="619"/>
      <c r="B93" s="660" t="s">
        <v>786</v>
      </c>
      <c r="C93" s="601"/>
      <c r="D93" s="601"/>
      <c r="E93" s="601"/>
      <c r="F93" s="606"/>
      <c r="G93" s="601"/>
      <c r="H93" s="601"/>
      <c r="I93" s="604"/>
      <c r="J93" s="526"/>
      <c r="K93" s="526"/>
      <c r="L93" s="526"/>
      <c r="M93" s="526"/>
      <c r="N93" s="526"/>
      <c r="O93" s="526"/>
      <c r="P93" s="526"/>
      <c r="Q93" s="606"/>
    </row>
    <row r="94" spans="1:17" s="71" customFormat="1" ht="24.95" customHeight="1" x14ac:dyDescent="0.2">
      <c r="A94" s="619" t="s">
        <v>287</v>
      </c>
      <c r="B94" s="634" t="s">
        <v>265</v>
      </c>
      <c r="C94" s="601">
        <v>5</v>
      </c>
      <c r="D94" s="601">
        <v>1</v>
      </c>
      <c r="E94" s="601">
        <v>5</v>
      </c>
      <c r="F94" s="302">
        <f t="shared" si="12"/>
        <v>412.5</v>
      </c>
      <c r="G94" s="601">
        <v>40</v>
      </c>
      <c r="H94" s="725">
        <f t="shared" si="17"/>
        <v>1000</v>
      </c>
      <c r="I94" s="318">
        <f t="shared" si="16"/>
        <v>412.5</v>
      </c>
      <c r="J94" s="319"/>
      <c r="K94" s="319"/>
      <c r="L94" s="319"/>
      <c r="M94" s="319"/>
      <c r="N94" s="319"/>
      <c r="O94" s="319"/>
      <c r="P94" s="319"/>
      <c r="Q94" s="302"/>
    </row>
    <row r="95" spans="1:17" s="71" customFormat="1" ht="24.95" customHeight="1" x14ac:dyDescent="0.2">
      <c r="A95" s="619" t="s">
        <v>288</v>
      </c>
      <c r="B95" s="634" t="s">
        <v>283</v>
      </c>
      <c r="C95" s="601">
        <v>2</v>
      </c>
      <c r="D95" s="601">
        <v>1</v>
      </c>
      <c r="E95" s="601">
        <v>5</v>
      </c>
      <c r="F95" s="302">
        <f t="shared" si="12"/>
        <v>165</v>
      </c>
      <c r="G95" s="601">
        <v>40</v>
      </c>
      <c r="H95" s="725">
        <f t="shared" si="17"/>
        <v>400</v>
      </c>
      <c r="I95" s="318">
        <f t="shared" si="16"/>
        <v>165</v>
      </c>
      <c r="J95" s="319"/>
      <c r="K95" s="319"/>
      <c r="L95" s="319"/>
      <c r="M95" s="319"/>
      <c r="N95" s="319"/>
      <c r="O95" s="319"/>
      <c r="P95" s="319"/>
      <c r="Q95" s="302"/>
    </row>
    <row r="96" spans="1:17" s="71" customFormat="1" ht="24.95" customHeight="1" x14ac:dyDescent="0.2">
      <c r="A96" s="619" t="s">
        <v>289</v>
      </c>
      <c r="B96" s="629" t="s">
        <v>284</v>
      </c>
      <c r="C96" s="601">
        <v>2</v>
      </c>
      <c r="D96" s="601">
        <v>1</v>
      </c>
      <c r="E96" s="601">
        <v>5</v>
      </c>
      <c r="F96" s="302">
        <f t="shared" si="12"/>
        <v>165</v>
      </c>
      <c r="G96" s="601">
        <v>40</v>
      </c>
      <c r="H96" s="725">
        <f t="shared" si="17"/>
        <v>400</v>
      </c>
      <c r="I96" s="318">
        <f t="shared" si="16"/>
        <v>165</v>
      </c>
      <c r="J96" s="319"/>
      <c r="K96" s="319"/>
      <c r="L96" s="319"/>
      <c r="M96" s="319"/>
      <c r="N96" s="319"/>
      <c r="O96" s="319"/>
      <c r="P96" s="319"/>
      <c r="Q96" s="302"/>
    </row>
    <row r="97" spans="1:17" s="71" customFormat="1" ht="24.95" customHeight="1" x14ac:dyDescent="0.2">
      <c r="A97" s="619"/>
      <c r="B97" s="732" t="s">
        <v>296</v>
      </c>
      <c r="C97" s="601"/>
      <c r="D97" s="601"/>
      <c r="E97" s="601"/>
      <c r="F97" s="606"/>
      <c r="G97" s="601"/>
      <c r="H97" s="601"/>
      <c r="I97" s="604"/>
      <c r="J97" s="733"/>
      <c r="K97" s="733"/>
      <c r="L97" s="733"/>
      <c r="M97" s="733"/>
      <c r="N97" s="733"/>
      <c r="O97" s="733"/>
      <c r="P97" s="733"/>
      <c r="Q97" s="606"/>
    </row>
    <row r="98" spans="1:17" s="563" customFormat="1" ht="24.95" customHeight="1" x14ac:dyDescent="0.2">
      <c r="A98" s="635" t="s">
        <v>292</v>
      </c>
      <c r="B98" s="636" t="s">
        <v>290</v>
      </c>
      <c r="C98" s="637">
        <v>3</v>
      </c>
      <c r="D98" s="637">
        <v>1</v>
      </c>
      <c r="E98" s="637">
        <v>3</v>
      </c>
      <c r="F98" s="302">
        <f t="shared" si="12"/>
        <v>148.5</v>
      </c>
      <c r="G98" s="601">
        <v>40</v>
      </c>
      <c r="H98" s="725">
        <f t="shared" si="17"/>
        <v>360</v>
      </c>
      <c r="I98" s="318">
        <f t="shared" si="16"/>
        <v>148.5</v>
      </c>
      <c r="Q98" s="638"/>
    </row>
    <row r="99" spans="1:17" s="563" customFormat="1" ht="24.95" customHeight="1" x14ac:dyDescent="0.2">
      <c r="A99" s="635"/>
      <c r="B99" s="734" t="s">
        <v>787</v>
      </c>
      <c r="C99" s="637"/>
      <c r="D99" s="637"/>
      <c r="E99" s="637"/>
      <c r="F99" s="606"/>
      <c r="G99" s="601"/>
      <c r="H99" s="601"/>
      <c r="I99" s="604"/>
      <c r="Q99" s="643"/>
    </row>
    <row r="100" spans="1:17" s="563" customFormat="1" ht="24.95" customHeight="1" x14ac:dyDescent="0.2">
      <c r="A100" s="635" t="s">
        <v>293</v>
      </c>
      <c r="B100" s="636" t="s">
        <v>268</v>
      </c>
      <c r="C100" s="637">
        <v>3</v>
      </c>
      <c r="D100" s="637">
        <v>1</v>
      </c>
      <c r="E100" s="637">
        <v>3</v>
      </c>
      <c r="F100" s="302">
        <f t="shared" si="12"/>
        <v>148.5</v>
      </c>
      <c r="G100" s="601">
        <v>40</v>
      </c>
      <c r="H100" s="725">
        <f t="shared" si="17"/>
        <v>360</v>
      </c>
      <c r="I100" s="318">
        <f t="shared" si="16"/>
        <v>148.5</v>
      </c>
      <c r="J100" s="639"/>
      <c r="K100" s="639"/>
      <c r="L100" s="640"/>
      <c r="M100" s="641"/>
      <c r="N100" s="641"/>
      <c r="O100" s="642"/>
      <c r="P100" s="642"/>
      <c r="Q100" s="643"/>
    </row>
    <row r="101" spans="1:17" s="563" customFormat="1" ht="24.95" customHeight="1" x14ac:dyDescent="0.2">
      <c r="A101" s="635"/>
      <c r="B101" s="734" t="s">
        <v>722</v>
      </c>
      <c r="C101" s="637"/>
      <c r="D101" s="637"/>
      <c r="E101" s="637"/>
      <c r="F101" s="606"/>
      <c r="G101" s="601"/>
      <c r="H101" s="601"/>
      <c r="I101" s="604"/>
      <c r="J101" s="639"/>
      <c r="K101" s="639"/>
      <c r="L101" s="640"/>
      <c r="M101" s="641"/>
      <c r="N101" s="641"/>
      <c r="O101" s="642"/>
      <c r="P101" s="642"/>
      <c r="Q101" s="643"/>
    </row>
    <row r="102" spans="1:17" s="563" customFormat="1" ht="24.95" customHeight="1" x14ac:dyDescent="0.2">
      <c r="A102" s="635" t="s">
        <v>294</v>
      </c>
      <c r="B102" s="636" t="s">
        <v>291</v>
      </c>
      <c r="C102" s="637">
        <v>5</v>
      </c>
      <c r="D102" s="637">
        <v>1</v>
      </c>
      <c r="E102" s="637">
        <v>3</v>
      </c>
      <c r="F102" s="302">
        <f t="shared" si="12"/>
        <v>247.5</v>
      </c>
      <c r="G102" s="601">
        <v>40</v>
      </c>
      <c r="H102" s="725">
        <f t="shared" si="17"/>
        <v>600</v>
      </c>
      <c r="I102" s="318">
        <f t="shared" si="16"/>
        <v>247.5</v>
      </c>
      <c r="J102" s="639"/>
      <c r="K102" s="639"/>
      <c r="L102" s="640"/>
      <c r="M102" s="641"/>
      <c r="N102" s="641"/>
      <c r="O102" s="642"/>
      <c r="P102" s="642"/>
      <c r="Q102" s="643"/>
    </row>
    <row r="103" spans="1:17" s="563" customFormat="1" ht="24.95" customHeight="1" x14ac:dyDescent="0.2">
      <c r="A103" s="644"/>
      <c r="B103" s="621" t="s">
        <v>360</v>
      </c>
      <c r="C103" s="622">
        <f t="shared" ref="C103:I103" si="18">SUM(C80:C102)</f>
        <v>48</v>
      </c>
      <c r="D103" s="622">
        <f t="shared" si="18"/>
        <v>15</v>
      </c>
      <c r="E103" s="622">
        <f t="shared" si="18"/>
        <v>53</v>
      </c>
      <c r="F103" s="622">
        <f t="shared" si="18"/>
        <v>2772</v>
      </c>
      <c r="G103" s="622">
        <f t="shared" si="18"/>
        <v>600</v>
      </c>
      <c r="H103" s="622">
        <f t="shared" si="18"/>
        <v>6720</v>
      </c>
      <c r="I103" s="622">
        <f t="shared" si="18"/>
        <v>2772</v>
      </c>
      <c r="J103" s="639"/>
      <c r="K103" s="639"/>
      <c r="L103" s="640"/>
      <c r="M103" s="641"/>
      <c r="N103" s="641"/>
      <c r="O103" s="642"/>
      <c r="P103" s="642"/>
      <c r="Q103" s="643"/>
    </row>
    <row r="104" spans="1:17" s="563" customFormat="1" ht="24.95" customHeight="1" x14ac:dyDescent="0.2">
      <c r="A104" s="645">
        <v>2</v>
      </c>
      <c r="B104" s="645" t="s">
        <v>87</v>
      </c>
      <c r="C104" s="637">
        <v>0</v>
      </c>
      <c r="D104" s="637">
        <v>0</v>
      </c>
      <c r="E104" s="637">
        <v>0</v>
      </c>
      <c r="F104" s="637"/>
      <c r="G104" s="601">
        <v>0</v>
      </c>
      <c r="H104" s="646"/>
      <c r="I104" s="646"/>
      <c r="J104" s="639"/>
      <c r="K104" s="639"/>
      <c r="L104" s="640"/>
      <c r="M104" s="641"/>
      <c r="N104" s="641"/>
      <c r="O104" s="642"/>
      <c r="P104" s="642"/>
      <c r="Q104" s="643"/>
    </row>
    <row r="105" spans="1:17" s="71" customFormat="1" ht="24.95" customHeight="1" x14ac:dyDescent="0.2">
      <c r="A105" s="647"/>
      <c r="B105" s="647" t="s">
        <v>397</v>
      </c>
      <c r="C105" s="539">
        <f t="shared" ref="C105:I105" si="19">C63+C74+C103</f>
        <v>188</v>
      </c>
      <c r="D105" s="539">
        <f t="shared" si="19"/>
        <v>65.66</v>
      </c>
      <c r="E105" s="539">
        <f t="shared" si="19"/>
        <v>215</v>
      </c>
      <c r="F105" s="539">
        <f t="shared" si="19"/>
        <v>10621.3</v>
      </c>
      <c r="G105" s="539">
        <f t="shared" si="19"/>
        <v>2779</v>
      </c>
      <c r="H105" s="539">
        <f t="shared" si="19"/>
        <v>25618</v>
      </c>
      <c r="I105" s="539">
        <f t="shared" si="19"/>
        <v>10621.3</v>
      </c>
      <c r="J105" s="648">
        <v>0</v>
      </c>
      <c r="K105" s="648">
        <v>0</v>
      </c>
      <c r="L105" s="649">
        <f>'Bieu3 GDTH'!F24</f>
        <v>2632</v>
      </c>
      <c r="M105" s="650">
        <f>'Bieu3 GDTH'!N24</f>
        <v>2159.5</v>
      </c>
      <c r="N105" s="650">
        <f>F105-M105</f>
        <v>8461.7999999999993</v>
      </c>
      <c r="O105" s="332">
        <f>'Bieu3 GDTH'!O24</f>
        <v>1358</v>
      </c>
      <c r="P105" s="332">
        <f>'Bieu3 GDTH'!P24</f>
        <v>701</v>
      </c>
      <c r="Q105" s="542" t="s">
        <v>767</v>
      </c>
    </row>
    <row r="106" spans="1:17" s="71" customFormat="1" ht="24.95" customHeight="1" x14ac:dyDescent="0.2">
      <c r="A106" s="591" t="s">
        <v>19</v>
      </c>
      <c r="B106" s="591" t="s">
        <v>398</v>
      </c>
      <c r="C106" s="725"/>
      <c r="D106" s="725"/>
      <c r="E106" s="725"/>
      <c r="F106" s="725"/>
      <c r="G106" s="725"/>
      <c r="H106" s="725"/>
      <c r="I106" s="319"/>
      <c r="J106" s="319"/>
      <c r="K106" s="319"/>
      <c r="L106" s="319"/>
      <c r="M106" s="319"/>
      <c r="N106" s="319"/>
      <c r="O106" s="319"/>
      <c r="P106" s="319"/>
      <c r="Q106" s="302"/>
    </row>
    <row r="107" spans="1:17" s="71" customFormat="1" ht="24.95" customHeight="1" x14ac:dyDescent="0.2">
      <c r="A107" s="651" t="s">
        <v>400</v>
      </c>
      <c r="B107" s="651" t="s">
        <v>401</v>
      </c>
      <c r="C107" s="725"/>
      <c r="D107" s="725"/>
      <c r="E107" s="725"/>
      <c r="F107" s="725"/>
      <c r="G107" s="725"/>
      <c r="H107" s="725"/>
      <c r="I107" s="319"/>
      <c r="J107" s="319"/>
      <c r="K107" s="319"/>
      <c r="L107" s="319"/>
      <c r="M107" s="319"/>
      <c r="N107" s="319"/>
      <c r="O107" s="319"/>
      <c r="P107" s="319"/>
      <c r="Q107" s="302"/>
    </row>
    <row r="108" spans="1:17" s="71" customFormat="1" ht="24.95" customHeight="1" x14ac:dyDescent="0.2">
      <c r="A108" s="651">
        <v>1</v>
      </c>
      <c r="B108" s="651" t="s">
        <v>402</v>
      </c>
      <c r="C108" s="725"/>
      <c r="D108" s="725"/>
      <c r="E108" s="725"/>
      <c r="F108" s="725"/>
      <c r="G108" s="725"/>
      <c r="H108" s="725"/>
      <c r="I108" s="319"/>
      <c r="J108" s="319"/>
      <c r="K108" s="319"/>
      <c r="L108" s="319"/>
      <c r="M108" s="319"/>
      <c r="N108" s="319"/>
      <c r="O108" s="319"/>
      <c r="P108" s="319"/>
      <c r="Q108" s="302"/>
    </row>
    <row r="109" spans="1:17" s="71" customFormat="1" ht="24.95" customHeight="1" x14ac:dyDescent="0.2">
      <c r="A109" s="652" t="s">
        <v>149</v>
      </c>
      <c r="B109" s="653" t="s">
        <v>163</v>
      </c>
      <c r="C109" s="725"/>
      <c r="D109" s="725"/>
      <c r="E109" s="725"/>
      <c r="F109" s="725"/>
      <c r="G109" s="725"/>
      <c r="H109" s="725"/>
      <c r="I109" s="319"/>
      <c r="J109" s="319"/>
      <c r="K109" s="319"/>
      <c r="L109" s="319"/>
      <c r="M109" s="319"/>
      <c r="N109" s="319"/>
      <c r="O109" s="319"/>
      <c r="P109" s="319"/>
      <c r="Q109" s="302"/>
    </row>
    <row r="110" spans="1:17" s="71" customFormat="1" ht="24.95" customHeight="1" x14ac:dyDescent="0.2">
      <c r="A110" s="545"/>
      <c r="B110" s="660" t="s">
        <v>788</v>
      </c>
      <c r="C110" s="601"/>
      <c r="D110" s="601"/>
      <c r="E110" s="601"/>
      <c r="F110" s="601"/>
      <c r="G110" s="601"/>
      <c r="H110" s="601"/>
      <c r="I110" s="526"/>
      <c r="J110" s="526"/>
      <c r="K110" s="526"/>
      <c r="L110" s="526"/>
      <c r="M110" s="526"/>
      <c r="N110" s="526"/>
      <c r="O110" s="526"/>
      <c r="P110" s="526"/>
      <c r="Q110" s="606"/>
    </row>
    <row r="111" spans="1:17" s="71" customFormat="1" ht="24.95" customHeight="1" x14ac:dyDescent="0.2">
      <c r="A111" s="599" t="s">
        <v>229</v>
      </c>
      <c r="B111" s="628" t="s">
        <v>655</v>
      </c>
      <c r="C111" s="604">
        <v>3</v>
      </c>
      <c r="D111" s="604">
        <v>1</v>
      </c>
      <c r="E111" s="604">
        <v>3</v>
      </c>
      <c r="F111" s="302">
        <f t="shared" ref="F111:F145" si="20">I111+J111+K111</f>
        <v>148.5</v>
      </c>
      <c r="G111" s="604">
        <v>60</v>
      </c>
      <c r="H111" s="725">
        <f t="shared" ref="H111:H159" si="21">C111*E111*G111</f>
        <v>540</v>
      </c>
      <c r="I111" s="318">
        <f t="shared" ref="I111:I149" si="22">IF(G111&lt;70, C111*E111*16.5*1, C111*E111*16.5*1.3)</f>
        <v>148.5</v>
      </c>
      <c r="J111" s="526"/>
      <c r="K111" s="526"/>
      <c r="L111" s="319"/>
      <c r="M111" s="319"/>
      <c r="N111" s="319"/>
      <c r="O111" s="319"/>
      <c r="P111" s="319"/>
      <c r="Q111" s="302"/>
    </row>
    <row r="112" spans="1:17" s="71" customFormat="1" ht="24.95" customHeight="1" x14ac:dyDescent="0.2">
      <c r="A112" s="599" t="s">
        <v>230</v>
      </c>
      <c r="B112" s="628" t="s">
        <v>656</v>
      </c>
      <c r="C112" s="604">
        <v>4</v>
      </c>
      <c r="D112" s="604">
        <v>1.3</v>
      </c>
      <c r="E112" s="604">
        <v>3</v>
      </c>
      <c r="F112" s="302">
        <f t="shared" si="20"/>
        <v>257.40000000000003</v>
      </c>
      <c r="G112" s="604">
        <v>70</v>
      </c>
      <c r="H112" s="725">
        <f t="shared" si="21"/>
        <v>840</v>
      </c>
      <c r="I112" s="318">
        <f t="shared" si="22"/>
        <v>257.40000000000003</v>
      </c>
      <c r="J112" s="526"/>
      <c r="K112" s="526"/>
      <c r="L112" s="319"/>
      <c r="M112" s="319"/>
      <c r="N112" s="319"/>
      <c r="O112" s="319"/>
      <c r="P112" s="319"/>
      <c r="Q112" s="302"/>
    </row>
    <row r="113" spans="1:17" s="71" customFormat="1" ht="24.95" customHeight="1" x14ac:dyDescent="0.2">
      <c r="A113" s="599"/>
      <c r="B113" s="627" t="s">
        <v>789</v>
      </c>
      <c r="C113" s="604"/>
      <c r="D113" s="604"/>
      <c r="E113" s="604"/>
      <c r="F113" s="606"/>
      <c r="G113" s="604"/>
      <c r="H113" s="601"/>
      <c r="I113" s="604"/>
      <c r="J113" s="526"/>
      <c r="K113" s="526"/>
      <c r="L113" s="526"/>
      <c r="M113" s="526"/>
      <c r="N113" s="526"/>
      <c r="O113" s="526"/>
      <c r="P113" s="526"/>
      <c r="Q113" s="606"/>
    </row>
    <row r="114" spans="1:17" s="71" customFormat="1" ht="24.95" customHeight="1" x14ac:dyDescent="0.2">
      <c r="A114" s="599" t="s">
        <v>231</v>
      </c>
      <c r="B114" s="628" t="s">
        <v>657</v>
      </c>
      <c r="C114" s="604">
        <v>1</v>
      </c>
      <c r="D114" s="604">
        <v>1.3</v>
      </c>
      <c r="E114" s="604">
        <v>8</v>
      </c>
      <c r="F114" s="302">
        <f t="shared" si="20"/>
        <v>132</v>
      </c>
      <c r="G114" s="604">
        <v>20</v>
      </c>
      <c r="H114" s="725">
        <f t="shared" si="21"/>
        <v>160</v>
      </c>
      <c r="I114" s="318">
        <f t="shared" si="22"/>
        <v>132</v>
      </c>
      <c r="J114" s="526"/>
      <c r="K114" s="526"/>
      <c r="L114" s="319"/>
      <c r="M114" s="319"/>
      <c r="N114" s="319"/>
      <c r="O114" s="319"/>
      <c r="P114" s="319"/>
      <c r="Q114" s="302"/>
    </row>
    <row r="115" spans="1:17" s="71" customFormat="1" ht="24.95" customHeight="1" x14ac:dyDescent="0.2">
      <c r="A115" s="599" t="s">
        <v>231</v>
      </c>
      <c r="B115" s="628" t="s">
        <v>658</v>
      </c>
      <c r="C115" s="604">
        <v>1</v>
      </c>
      <c r="D115" s="604">
        <v>1.3</v>
      </c>
      <c r="E115" s="604">
        <v>8</v>
      </c>
      <c r="F115" s="302">
        <f t="shared" si="20"/>
        <v>132</v>
      </c>
      <c r="G115" s="604">
        <v>20</v>
      </c>
      <c r="H115" s="725">
        <f t="shared" si="21"/>
        <v>160</v>
      </c>
      <c r="I115" s="318">
        <f t="shared" si="22"/>
        <v>132</v>
      </c>
      <c r="J115" s="526"/>
      <c r="K115" s="526"/>
      <c r="L115" s="319"/>
      <c r="M115" s="319"/>
      <c r="N115" s="319"/>
      <c r="O115" s="319"/>
      <c r="P115" s="319"/>
      <c r="Q115" s="302"/>
    </row>
    <row r="116" spans="1:17" s="71" customFormat="1" ht="24.95" customHeight="1" x14ac:dyDescent="0.2">
      <c r="A116" s="599" t="s">
        <v>232</v>
      </c>
      <c r="B116" s="628" t="s">
        <v>659</v>
      </c>
      <c r="C116" s="604">
        <v>1</v>
      </c>
      <c r="D116" s="604">
        <v>1.3</v>
      </c>
      <c r="E116" s="604">
        <v>7</v>
      </c>
      <c r="F116" s="302">
        <f t="shared" si="20"/>
        <v>115.5</v>
      </c>
      <c r="G116" s="604">
        <v>20</v>
      </c>
      <c r="H116" s="725">
        <f t="shared" si="21"/>
        <v>140</v>
      </c>
      <c r="I116" s="318">
        <f t="shared" si="22"/>
        <v>115.5</v>
      </c>
      <c r="J116" s="526"/>
      <c r="K116" s="526"/>
      <c r="L116" s="319"/>
      <c r="M116" s="319"/>
      <c r="N116" s="319"/>
      <c r="O116" s="319"/>
      <c r="P116" s="319"/>
      <c r="Q116" s="302"/>
    </row>
    <row r="117" spans="1:17" s="71" customFormat="1" ht="24.95" customHeight="1" x14ac:dyDescent="0.2">
      <c r="A117" s="599" t="s">
        <v>421</v>
      </c>
      <c r="B117" s="629" t="s">
        <v>399</v>
      </c>
      <c r="C117" s="601">
        <v>2</v>
      </c>
      <c r="D117" s="601">
        <v>1.3</v>
      </c>
      <c r="E117" s="601">
        <v>2</v>
      </c>
      <c r="F117" s="302">
        <f t="shared" si="20"/>
        <v>85.8</v>
      </c>
      <c r="G117" s="601">
        <v>70</v>
      </c>
      <c r="H117" s="725">
        <f>C117*E117*G117</f>
        <v>280</v>
      </c>
      <c r="I117" s="318">
        <f>IF(G117&lt;70, C117*E117*16.5*1, C117*E117*16.5*1.3)</f>
        <v>85.8</v>
      </c>
      <c r="J117" s="526"/>
      <c r="K117" s="526"/>
      <c r="L117" s="526"/>
      <c r="M117" s="526"/>
      <c r="N117" s="526"/>
      <c r="O117" s="526"/>
      <c r="P117" s="526"/>
      <c r="Q117" s="606"/>
    </row>
    <row r="118" spans="1:17" s="71" customFormat="1" ht="24.95" customHeight="1" x14ac:dyDescent="0.2">
      <c r="A118" s="599"/>
      <c r="B118" s="627" t="s">
        <v>790</v>
      </c>
      <c r="C118" s="604"/>
      <c r="D118" s="604"/>
      <c r="E118" s="604"/>
      <c r="F118" s="606"/>
      <c r="G118" s="604"/>
      <c r="H118" s="601"/>
      <c r="I118" s="604"/>
      <c r="J118" s="526"/>
      <c r="K118" s="526"/>
      <c r="L118" s="526"/>
      <c r="M118" s="526"/>
      <c r="N118" s="526"/>
      <c r="O118" s="526"/>
      <c r="P118" s="526"/>
      <c r="Q118" s="606"/>
    </row>
    <row r="119" spans="1:17" s="71" customFormat="1" ht="24.95" customHeight="1" x14ac:dyDescent="0.2">
      <c r="A119" s="599" t="s">
        <v>233</v>
      </c>
      <c r="B119" s="628" t="s">
        <v>408</v>
      </c>
      <c r="C119" s="604">
        <v>4</v>
      </c>
      <c r="D119" s="604">
        <v>1</v>
      </c>
      <c r="E119" s="604">
        <v>3</v>
      </c>
      <c r="F119" s="302">
        <f t="shared" si="20"/>
        <v>198</v>
      </c>
      <c r="G119" s="604">
        <v>60</v>
      </c>
      <c r="H119" s="725">
        <f t="shared" si="21"/>
        <v>720</v>
      </c>
      <c r="I119" s="318">
        <f t="shared" si="22"/>
        <v>198</v>
      </c>
      <c r="J119" s="526"/>
      <c r="K119" s="526"/>
      <c r="L119" s="319"/>
      <c r="M119" s="319"/>
      <c r="N119" s="319"/>
      <c r="O119" s="319"/>
      <c r="P119" s="319"/>
      <c r="Q119" s="302"/>
    </row>
    <row r="120" spans="1:17" s="71" customFormat="1" ht="24.95" customHeight="1" x14ac:dyDescent="0.2">
      <c r="A120" s="599"/>
      <c r="B120" s="627" t="s">
        <v>797</v>
      </c>
      <c r="C120" s="604"/>
      <c r="D120" s="604"/>
      <c r="E120" s="604"/>
      <c r="F120" s="606"/>
      <c r="G120" s="604"/>
      <c r="H120" s="601"/>
      <c r="I120" s="604"/>
      <c r="J120" s="526"/>
      <c r="K120" s="526"/>
      <c r="L120" s="526"/>
      <c r="M120" s="526"/>
      <c r="N120" s="526"/>
      <c r="O120" s="526"/>
      <c r="P120" s="526"/>
      <c r="Q120" s="606"/>
    </row>
    <row r="121" spans="1:17" s="71" customFormat="1" ht="24.95" customHeight="1" x14ac:dyDescent="0.2">
      <c r="A121" s="599" t="s">
        <v>285</v>
      </c>
      <c r="B121" s="628" t="s">
        <v>660</v>
      </c>
      <c r="C121" s="604">
        <v>2</v>
      </c>
      <c r="D121" s="604">
        <v>1</v>
      </c>
      <c r="E121" s="604">
        <v>3</v>
      </c>
      <c r="F121" s="302">
        <f t="shared" si="20"/>
        <v>128.70000000000002</v>
      </c>
      <c r="G121" s="604">
        <v>70</v>
      </c>
      <c r="H121" s="725">
        <f t="shared" si="21"/>
        <v>420</v>
      </c>
      <c r="I121" s="318">
        <f t="shared" si="22"/>
        <v>128.70000000000002</v>
      </c>
      <c r="J121" s="526"/>
      <c r="K121" s="526"/>
      <c r="L121" s="319"/>
      <c r="M121" s="319"/>
      <c r="N121" s="319"/>
      <c r="O121" s="319"/>
      <c r="P121" s="319"/>
      <c r="Q121" s="302"/>
    </row>
    <row r="122" spans="1:17" s="71" customFormat="1" ht="24.95" customHeight="1" x14ac:dyDescent="0.2">
      <c r="A122" s="599"/>
      <c r="B122" s="627" t="s">
        <v>793</v>
      </c>
      <c r="C122" s="604"/>
      <c r="D122" s="604"/>
      <c r="E122" s="604"/>
      <c r="F122" s="302">
        <f t="shared" si="20"/>
        <v>0</v>
      </c>
      <c r="G122" s="604"/>
      <c r="H122" s="601"/>
      <c r="I122" s="604"/>
      <c r="J122" s="526"/>
      <c r="K122" s="526"/>
      <c r="L122" s="526"/>
      <c r="M122" s="526"/>
      <c r="N122" s="526"/>
      <c r="O122" s="526"/>
      <c r="P122" s="526"/>
      <c r="Q122" s="606"/>
    </row>
    <row r="123" spans="1:17" s="71" customFormat="1" ht="24.95" customHeight="1" x14ac:dyDescent="0.2">
      <c r="A123" s="599" t="s">
        <v>293</v>
      </c>
      <c r="B123" s="628" t="s">
        <v>666</v>
      </c>
      <c r="C123" s="601">
        <v>3</v>
      </c>
      <c r="D123" s="601">
        <v>1</v>
      </c>
      <c r="E123" s="601">
        <v>2</v>
      </c>
      <c r="F123" s="302">
        <f t="shared" si="20"/>
        <v>128.70000000000002</v>
      </c>
      <c r="G123" s="601">
        <v>70</v>
      </c>
      <c r="H123" s="725">
        <f>C123*E123*G123</f>
        <v>420</v>
      </c>
      <c r="I123" s="318">
        <f>IF(G123&lt;70, C123*E123*16.5*1, C123*E123*16.5*1.3)</f>
        <v>128.70000000000002</v>
      </c>
      <c r="J123" s="526"/>
      <c r="K123" s="526"/>
      <c r="L123" s="526"/>
      <c r="M123" s="526"/>
      <c r="N123" s="526"/>
      <c r="O123" s="526"/>
      <c r="P123" s="526"/>
      <c r="Q123" s="606"/>
    </row>
    <row r="124" spans="1:17" s="71" customFormat="1" ht="24.95" customHeight="1" x14ac:dyDescent="0.2">
      <c r="A124" s="599" t="s">
        <v>294</v>
      </c>
      <c r="B124" s="628" t="s">
        <v>523</v>
      </c>
      <c r="C124" s="601">
        <v>2</v>
      </c>
      <c r="D124" s="601">
        <v>1</v>
      </c>
      <c r="E124" s="601">
        <v>1</v>
      </c>
      <c r="F124" s="302">
        <f t="shared" si="20"/>
        <v>33</v>
      </c>
      <c r="G124" s="601">
        <v>40</v>
      </c>
      <c r="H124" s="725">
        <f>C124*E124*G124</f>
        <v>80</v>
      </c>
      <c r="I124" s="318">
        <f>IF(G124&lt;70, C124*E124*16.5*1, C124*E124*16.5*1.3)</f>
        <v>33</v>
      </c>
      <c r="J124" s="526"/>
      <c r="K124" s="526"/>
      <c r="L124" s="526"/>
      <c r="M124" s="526"/>
      <c r="N124" s="526"/>
      <c r="O124" s="526"/>
      <c r="P124" s="526"/>
      <c r="Q124" s="606"/>
    </row>
    <row r="125" spans="1:17" s="71" customFormat="1" ht="24.95" customHeight="1" x14ac:dyDescent="0.2">
      <c r="A125" s="599"/>
      <c r="B125" s="627" t="s">
        <v>791</v>
      </c>
      <c r="C125" s="604"/>
      <c r="D125" s="604"/>
      <c r="E125" s="604"/>
      <c r="F125" s="606"/>
      <c r="G125" s="604"/>
      <c r="H125" s="601"/>
      <c r="I125" s="604"/>
      <c r="J125" s="526"/>
      <c r="K125" s="526"/>
      <c r="L125" s="526"/>
      <c r="M125" s="526"/>
      <c r="N125" s="526"/>
      <c r="O125" s="526"/>
      <c r="P125" s="526"/>
      <c r="Q125" s="606"/>
    </row>
    <row r="126" spans="1:17" s="71" customFormat="1" ht="24.95" customHeight="1" x14ac:dyDescent="0.2">
      <c r="A126" s="599" t="s">
        <v>286</v>
      </c>
      <c r="B126" s="628" t="s">
        <v>661</v>
      </c>
      <c r="C126" s="604">
        <v>3</v>
      </c>
      <c r="D126" s="604">
        <v>1</v>
      </c>
      <c r="E126" s="604">
        <v>2</v>
      </c>
      <c r="F126" s="302">
        <f t="shared" si="20"/>
        <v>99</v>
      </c>
      <c r="G126" s="604">
        <v>60</v>
      </c>
      <c r="H126" s="725">
        <f t="shared" si="21"/>
        <v>360</v>
      </c>
      <c r="I126" s="318">
        <f t="shared" si="22"/>
        <v>99</v>
      </c>
      <c r="J126" s="526"/>
      <c r="K126" s="526"/>
      <c r="L126" s="319"/>
      <c r="M126" s="319"/>
      <c r="N126" s="319"/>
      <c r="O126" s="319"/>
      <c r="P126" s="319"/>
      <c r="Q126" s="302"/>
    </row>
    <row r="127" spans="1:17" s="71" customFormat="1" ht="24.95" customHeight="1" x14ac:dyDescent="0.2">
      <c r="A127" s="599" t="s">
        <v>287</v>
      </c>
      <c r="B127" s="628" t="s">
        <v>662</v>
      </c>
      <c r="C127" s="604">
        <v>3</v>
      </c>
      <c r="D127" s="604">
        <v>1.1000000000000001</v>
      </c>
      <c r="E127" s="604">
        <v>3</v>
      </c>
      <c r="F127" s="302">
        <f t="shared" si="20"/>
        <v>193.05</v>
      </c>
      <c r="G127" s="604">
        <v>70</v>
      </c>
      <c r="H127" s="725">
        <f t="shared" si="21"/>
        <v>630</v>
      </c>
      <c r="I127" s="318">
        <f t="shared" si="22"/>
        <v>193.05</v>
      </c>
      <c r="J127" s="526"/>
      <c r="K127" s="526"/>
      <c r="L127" s="319"/>
      <c r="M127" s="319"/>
      <c r="N127" s="319"/>
      <c r="O127" s="319"/>
      <c r="P127" s="319"/>
      <c r="Q127" s="302"/>
    </row>
    <row r="128" spans="1:17" s="71" customFormat="1" ht="24.95" customHeight="1" x14ac:dyDescent="0.2">
      <c r="A128" s="599"/>
      <c r="B128" s="627" t="s">
        <v>792</v>
      </c>
      <c r="C128" s="604"/>
      <c r="D128" s="604"/>
      <c r="E128" s="604"/>
      <c r="F128" s="606"/>
      <c r="G128" s="604"/>
      <c r="H128" s="601"/>
      <c r="I128" s="604"/>
      <c r="J128" s="526"/>
      <c r="K128" s="526"/>
      <c r="L128" s="526"/>
      <c r="M128" s="526"/>
      <c r="N128" s="526"/>
      <c r="O128" s="526"/>
      <c r="P128" s="526"/>
      <c r="Q128" s="606"/>
    </row>
    <row r="129" spans="1:17" s="71" customFormat="1" ht="24.95" customHeight="1" x14ac:dyDescent="0.2">
      <c r="A129" s="599" t="s">
        <v>288</v>
      </c>
      <c r="B129" s="628" t="s">
        <v>663</v>
      </c>
      <c r="C129" s="601">
        <v>3</v>
      </c>
      <c r="D129" s="601">
        <v>1</v>
      </c>
      <c r="E129" s="601">
        <v>2</v>
      </c>
      <c r="F129" s="302">
        <f t="shared" si="20"/>
        <v>128.70000000000002</v>
      </c>
      <c r="G129" s="601">
        <v>70</v>
      </c>
      <c r="H129" s="725">
        <f t="shared" si="21"/>
        <v>420</v>
      </c>
      <c r="I129" s="318">
        <f t="shared" si="22"/>
        <v>128.70000000000002</v>
      </c>
      <c r="J129" s="526"/>
      <c r="K129" s="526"/>
      <c r="L129" s="319"/>
      <c r="M129" s="319"/>
      <c r="N129" s="319"/>
      <c r="O129" s="319"/>
      <c r="P129" s="319"/>
      <c r="Q129" s="302"/>
    </row>
    <row r="130" spans="1:17" s="71" customFormat="1" ht="24.95" customHeight="1" x14ac:dyDescent="0.2">
      <c r="A130" s="599" t="s">
        <v>289</v>
      </c>
      <c r="B130" s="628" t="s">
        <v>664</v>
      </c>
      <c r="C130" s="601">
        <v>4</v>
      </c>
      <c r="D130" s="601">
        <v>1</v>
      </c>
      <c r="E130" s="601">
        <v>3</v>
      </c>
      <c r="F130" s="302">
        <f t="shared" si="20"/>
        <v>257.40000000000003</v>
      </c>
      <c r="G130" s="601">
        <v>70</v>
      </c>
      <c r="H130" s="725">
        <f t="shared" si="21"/>
        <v>840</v>
      </c>
      <c r="I130" s="318">
        <f t="shared" si="22"/>
        <v>257.40000000000003</v>
      </c>
      <c r="J130" s="526"/>
      <c r="K130" s="526"/>
      <c r="L130" s="319"/>
      <c r="M130" s="319"/>
      <c r="N130" s="319"/>
      <c r="O130" s="319"/>
      <c r="P130" s="319"/>
      <c r="Q130" s="302"/>
    </row>
    <row r="131" spans="1:17" s="71" customFormat="1" ht="24.95" customHeight="1" x14ac:dyDescent="0.2">
      <c r="A131" s="599"/>
      <c r="B131" s="627" t="s">
        <v>794</v>
      </c>
      <c r="C131" s="601"/>
      <c r="D131" s="601"/>
      <c r="E131" s="601"/>
      <c r="F131" s="606"/>
      <c r="G131" s="601"/>
      <c r="H131" s="601"/>
      <c r="I131" s="604"/>
      <c r="J131" s="526"/>
      <c r="K131" s="526"/>
      <c r="L131" s="526"/>
      <c r="M131" s="526"/>
      <c r="N131" s="526"/>
      <c r="O131" s="526"/>
      <c r="P131" s="526"/>
      <c r="Q131" s="606"/>
    </row>
    <row r="132" spans="1:17" s="71" customFormat="1" ht="24.95" customHeight="1" x14ac:dyDescent="0.2">
      <c r="A132" s="599" t="s">
        <v>292</v>
      </c>
      <c r="B132" s="628" t="s">
        <v>665</v>
      </c>
      <c r="C132" s="601">
        <v>2</v>
      </c>
      <c r="D132" s="601">
        <v>1.3</v>
      </c>
      <c r="E132" s="601">
        <v>6</v>
      </c>
      <c r="F132" s="302">
        <f t="shared" si="20"/>
        <v>198</v>
      </c>
      <c r="G132" s="601">
        <v>25</v>
      </c>
      <c r="H132" s="725">
        <f t="shared" si="21"/>
        <v>300</v>
      </c>
      <c r="I132" s="318">
        <f t="shared" si="22"/>
        <v>198</v>
      </c>
      <c r="J132" s="526"/>
      <c r="K132" s="526"/>
      <c r="L132" s="319"/>
      <c r="M132" s="319"/>
      <c r="N132" s="319"/>
      <c r="O132" s="319"/>
      <c r="P132" s="319"/>
      <c r="Q132" s="302"/>
    </row>
    <row r="133" spans="1:17" s="71" customFormat="1" ht="24.95" customHeight="1" x14ac:dyDescent="0.2">
      <c r="A133" s="599" t="s">
        <v>295</v>
      </c>
      <c r="B133" s="629" t="s">
        <v>667</v>
      </c>
      <c r="C133" s="601">
        <v>4</v>
      </c>
      <c r="D133" s="601">
        <v>1</v>
      </c>
      <c r="E133" s="601">
        <v>3</v>
      </c>
      <c r="F133" s="302">
        <f t="shared" si="20"/>
        <v>257.40000000000003</v>
      </c>
      <c r="G133" s="601">
        <v>70</v>
      </c>
      <c r="H133" s="725">
        <f t="shared" si="21"/>
        <v>840</v>
      </c>
      <c r="I133" s="318">
        <f t="shared" si="22"/>
        <v>257.40000000000003</v>
      </c>
      <c r="J133" s="654">
        <v>0</v>
      </c>
      <c r="K133" s="654">
        <v>0</v>
      </c>
      <c r="L133" s="319"/>
      <c r="M133" s="319"/>
      <c r="N133" s="319"/>
      <c r="O133" s="319"/>
      <c r="P133" s="319"/>
      <c r="Q133" s="302"/>
    </row>
    <row r="134" spans="1:17" s="71" customFormat="1" ht="24.95" customHeight="1" x14ac:dyDescent="0.2">
      <c r="A134" s="599" t="s">
        <v>418</v>
      </c>
      <c r="B134" s="629" t="s">
        <v>668</v>
      </c>
      <c r="C134" s="601">
        <v>3</v>
      </c>
      <c r="D134" s="601">
        <v>1.2</v>
      </c>
      <c r="E134" s="601">
        <v>2</v>
      </c>
      <c r="F134" s="302">
        <f t="shared" si="20"/>
        <v>99</v>
      </c>
      <c r="G134" s="601">
        <v>25</v>
      </c>
      <c r="H134" s="725">
        <f t="shared" si="21"/>
        <v>150</v>
      </c>
      <c r="I134" s="318">
        <v>0</v>
      </c>
      <c r="J134" s="604">
        <f>IF(G134&lt;70, C134*E134*16.5*1, C134*E134*16.5*1.3)</f>
        <v>99</v>
      </c>
      <c r="K134" s="526"/>
      <c r="L134" s="319"/>
      <c r="M134" s="319"/>
      <c r="N134" s="319"/>
      <c r="O134" s="319"/>
      <c r="P134" s="319"/>
      <c r="Q134" s="302"/>
    </row>
    <row r="135" spans="1:17" s="71" customFormat="1" ht="24.95" customHeight="1" x14ac:dyDescent="0.2">
      <c r="A135" s="599" t="s">
        <v>419</v>
      </c>
      <c r="B135" s="629" t="s">
        <v>669</v>
      </c>
      <c r="C135" s="601">
        <v>4</v>
      </c>
      <c r="D135" s="601">
        <v>1</v>
      </c>
      <c r="E135" s="601">
        <v>3</v>
      </c>
      <c r="F135" s="302">
        <f t="shared" si="20"/>
        <v>257.40000000000003</v>
      </c>
      <c r="G135" s="601">
        <v>70</v>
      </c>
      <c r="H135" s="725">
        <f t="shared" si="21"/>
        <v>840</v>
      </c>
      <c r="I135" s="318">
        <f t="shared" si="22"/>
        <v>257.40000000000003</v>
      </c>
      <c r="J135" s="526"/>
      <c r="K135" s="526"/>
      <c r="L135" s="319"/>
      <c r="M135" s="319"/>
      <c r="N135" s="319"/>
      <c r="O135" s="319"/>
      <c r="P135" s="319"/>
      <c r="Q135" s="302"/>
    </row>
    <row r="136" spans="1:17" s="71" customFormat="1" ht="24.95" customHeight="1" x14ac:dyDescent="0.2">
      <c r="A136" s="599" t="s">
        <v>420</v>
      </c>
      <c r="B136" s="629" t="s">
        <v>670</v>
      </c>
      <c r="C136" s="601">
        <v>4</v>
      </c>
      <c r="D136" s="601">
        <v>1</v>
      </c>
      <c r="E136" s="601">
        <v>3</v>
      </c>
      <c r="F136" s="302">
        <f t="shared" si="20"/>
        <v>257.40000000000003</v>
      </c>
      <c r="G136" s="601">
        <v>70</v>
      </c>
      <c r="H136" s="725">
        <f t="shared" si="21"/>
        <v>840</v>
      </c>
      <c r="I136" s="318">
        <f t="shared" si="22"/>
        <v>257.40000000000003</v>
      </c>
      <c r="J136" s="526"/>
      <c r="K136" s="526"/>
      <c r="L136" s="319"/>
      <c r="M136" s="319"/>
      <c r="N136" s="319"/>
      <c r="O136" s="319"/>
      <c r="P136" s="319"/>
      <c r="Q136" s="302"/>
    </row>
    <row r="137" spans="1:17" s="71" customFormat="1" ht="24.95" customHeight="1" x14ac:dyDescent="0.2">
      <c r="A137" s="599" t="s">
        <v>421</v>
      </c>
      <c r="B137" s="629" t="s">
        <v>671</v>
      </c>
      <c r="C137" s="601">
        <v>4</v>
      </c>
      <c r="D137" s="601">
        <v>1.3</v>
      </c>
      <c r="E137" s="601">
        <v>3</v>
      </c>
      <c r="F137" s="302">
        <f t="shared" si="20"/>
        <v>257.40000000000003</v>
      </c>
      <c r="G137" s="601">
        <v>70</v>
      </c>
      <c r="H137" s="725">
        <f t="shared" si="21"/>
        <v>840</v>
      </c>
      <c r="I137" s="318">
        <f t="shared" si="22"/>
        <v>257.40000000000003</v>
      </c>
      <c r="J137" s="526">
        <v>0</v>
      </c>
      <c r="K137" s="526">
        <v>0</v>
      </c>
      <c r="L137" s="319"/>
      <c r="M137" s="319"/>
      <c r="N137" s="319"/>
      <c r="O137" s="319"/>
      <c r="P137" s="319"/>
      <c r="Q137" s="302"/>
    </row>
    <row r="138" spans="1:17" s="71" customFormat="1" ht="24.95" customHeight="1" x14ac:dyDescent="0.2">
      <c r="A138" s="599" t="s">
        <v>422</v>
      </c>
      <c r="B138" s="629" t="s">
        <v>672</v>
      </c>
      <c r="C138" s="601">
        <v>3</v>
      </c>
      <c r="D138" s="601">
        <v>1</v>
      </c>
      <c r="E138" s="601">
        <v>2</v>
      </c>
      <c r="F138" s="302">
        <f t="shared" si="20"/>
        <v>128.70000000000002</v>
      </c>
      <c r="G138" s="601">
        <v>70</v>
      </c>
      <c r="H138" s="725">
        <f t="shared" si="21"/>
        <v>420</v>
      </c>
      <c r="I138" s="318">
        <f t="shared" si="22"/>
        <v>128.70000000000002</v>
      </c>
      <c r="J138" s="526"/>
      <c r="K138" s="526"/>
      <c r="L138" s="319"/>
      <c r="M138" s="319"/>
      <c r="N138" s="319"/>
      <c r="O138" s="319"/>
      <c r="P138" s="319"/>
      <c r="Q138" s="302"/>
    </row>
    <row r="139" spans="1:17" s="71" customFormat="1" ht="24.95" customHeight="1" x14ac:dyDescent="0.2">
      <c r="A139" s="599" t="s">
        <v>423</v>
      </c>
      <c r="B139" s="629" t="s">
        <v>673</v>
      </c>
      <c r="C139" s="601">
        <v>2</v>
      </c>
      <c r="D139" s="601">
        <v>1.3</v>
      </c>
      <c r="E139" s="601">
        <v>2</v>
      </c>
      <c r="F139" s="302">
        <f t="shared" si="20"/>
        <v>66</v>
      </c>
      <c r="G139" s="601">
        <v>60</v>
      </c>
      <c r="H139" s="725">
        <f t="shared" si="21"/>
        <v>240</v>
      </c>
      <c r="I139" s="318">
        <f t="shared" si="22"/>
        <v>66</v>
      </c>
      <c r="J139" s="526">
        <v>0</v>
      </c>
      <c r="K139" s="526">
        <v>0</v>
      </c>
      <c r="L139" s="319"/>
      <c r="M139" s="319"/>
      <c r="N139" s="319"/>
      <c r="O139" s="319"/>
      <c r="P139" s="319"/>
      <c r="Q139" s="302"/>
    </row>
    <row r="140" spans="1:17" s="71" customFormat="1" ht="24.95" customHeight="1" x14ac:dyDescent="0.2">
      <c r="A140" s="599"/>
      <c r="B140" s="732" t="s">
        <v>795</v>
      </c>
      <c r="C140" s="601"/>
      <c r="D140" s="601"/>
      <c r="E140" s="601"/>
      <c r="F140" s="606"/>
      <c r="G140" s="601"/>
      <c r="H140" s="601"/>
      <c r="I140" s="604"/>
      <c r="J140" s="526"/>
      <c r="K140" s="526"/>
      <c r="L140" s="526"/>
      <c r="M140" s="526"/>
      <c r="N140" s="526"/>
      <c r="O140" s="526"/>
      <c r="P140" s="526"/>
      <c r="Q140" s="606"/>
    </row>
    <row r="141" spans="1:17" s="71" customFormat="1" ht="24.95" customHeight="1" x14ac:dyDescent="0.2">
      <c r="A141" s="599"/>
      <c r="B141" s="629" t="s">
        <v>674</v>
      </c>
      <c r="C141" s="601">
        <v>4</v>
      </c>
      <c r="D141" s="601">
        <v>1</v>
      </c>
      <c r="E141" s="601">
        <v>3</v>
      </c>
      <c r="F141" s="302">
        <f t="shared" si="20"/>
        <v>257.40000000000003</v>
      </c>
      <c r="G141" s="601">
        <v>70</v>
      </c>
      <c r="H141" s="725">
        <f t="shared" si="21"/>
        <v>840</v>
      </c>
      <c r="I141" s="318">
        <f t="shared" si="22"/>
        <v>257.40000000000003</v>
      </c>
      <c r="J141" s="526"/>
      <c r="K141" s="526"/>
      <c r="L141" s="319"/>
      <c r="M141" s="319"/>
      <c r="N141" s="319"/>
      <c r="O141" s="319"/>
      <c r="P141" s="319"/>
      <c r="Q141" s="302"/>
    </row>
    <row r="142" spans="1:17" s="71" customFormat="1" ht="24.95" customHeight="1" x14ac:dyDescent="0.2">
      <c r="A142" s="599"/>
      <c r="B142" s="732" t="s">
        <v>796</v>
      </c>
      <c r="C142" s="601"/>
      <c r="D142" s="601"/>
      <c r="E142" s="601"/>
      <c r="F142" s="606"/>
      <c r="G142" s="601"/>
      <c r="H142" s="601"/>
      <c r="I142" s="604"/>
      <c r="J142" s="526"/>
      <c r="K142" s="526"/>
      <c r="L142" s="526"/>
      <c r="M142" s="526"/>
      <c r="N142" s="526"/>
      <c r="O142" s="526"/>
      <c r="P142" s="526"/>
      <c r="Q142" s="606"/>
    </row>
    <row r="143" spans="1:17" s="71" customFormat="1" ht="24.95" customHeight="1" x14ac:dyDescent="0.2">
      <c r="A143" s="599" t="s">
        <v>424</v>
      </c>
      <c r="B143" s="629" t="s">
        <v>675</v>
      </c>
      <c r="C143" s="601">
        <v>4</v>
      </c>
      <c r="D143" s="601">
        <v>1.1200000000000001</v>
      </c>
      <c r="E143" s="601">
        <v>3</v>
      </c>
      <c r="F143" s="302">
        <f t="shared" si="20"/>
        <v>257.40000000000003</v>
      </c>
      <c r="G143" s="601">
        <v>70</v>
      </c>
      <c r="H143" s="725">
        <f t="shared" si="21"/>
        <v>840</v>
      </c>
      <c r="I143" s="318">
        <f t="shared" si="22"/>
        <v>257.40000000000003</v>
      </c>
      <c r="J143" s="526">
        <v>0</v>
      </c>
      <c r="K143" s="526">
        <v>0</v>
      </c>
      <c r="L143" s="319"/>
      <c r="M143" s="319"/>
      <c r="N143" s="319"/>
      <c r="O143" s="319"/>
      <c r="P143" s="319"/>
      <c r="Q143" s="302"/>
    </row>
    <row r="144" spans="1:17" s="71" customFormat="1" ht="24.95" customHeight="1" x14ac:dyDescent="0.2">
      <c r="A144" s="630" t="s">
        <v>150</v>
      </c>
      <c r="B144" s="631" t="s">
        <v>153</v>
      </c>
      <c r="C144" s="382"/>
      <c r="D144" s="382"/>
      <c r="E144" s="382"/>
      <c r="F144" s="322"/>
      <c r="G144" s="382"/>
      <c r="H144" s="725">
        <f t="shared" si="21"/>
        <v>0</v>
      </c>
      <c r="I144" s="596"/>
      <c r="J144" s="654"/>
      <c r="K144" s="654"/>
      <c r="L144" s="319"/>
      <c r="M144" s="319"/>
      <c r="N144" s="319"/>
      <c r="O144" s="319"/>
      <c r="P144" s="319"/>
      <c r="Q144" s="302"/>
    </row>
    <row r="145" spans="1:17" s="71" customFormat="1" ht="24.95" customHeight="1" x14ac:dyDescent="0.2">
      <c r="A145" s="655" t="s">
        <v>235</v>
      </c>
      <c r="B145" s="632" t="s">
        <v>156</v>
      </c>
      <c r="C145" s="382"/>
      <c r="D145" s="382"/>
      <c r="E145" s="382"/>
      <c r="F145" s="302">
        <f t="shared" si="20"/>
        <v>0</v>
      </c>
      <c r="G145" s="382">
        <v>0</v>
      </c>
      <c r="H145" s="725">
        <f t="shared" si="21"/>
        <v>0</v>
      </c>
      <c r="I145" s="318">
        <f t="shared" si="22"/>
        <v>0</v>
      </c>
      <c r="J145" s="654"/>
      <c r="K145" s="654"/>
      <c r="L145" s="319"/>
      <c r="M145" s="319"/>
      <c r="N145" s="319"/>
      <c r="O145" s="319"/>
      <c r="P145" s="319"/>
      <c r="Q145" s="302"/>
    </row>
    <row r="146" spans="1:17" s="71" customFormat="1" ht="24.95" customHeight="1" x14ac:dyDescent="0.2">
      <c r="A146" s="655" t="s">
        <v>236</v>
      </c>
      <c r="B146" s="632" t="s">
        <v>155</v>
      </c>
      <c r="C146" s="382"/>
      <c r="D146" s="382"/>
      <c r="E146" s="382"/>
      <c r="F146" s="322">
        <v>0</v>
      </c>
      <c r="G146" s="382">
        <v>0</v>
      </c>
      <c r="H146" s="725">
        <f t="shared" si="21"/>
        <v>0</v>
      </c>
      <c r="I146" s="318">
        <f t="shared" si="22"/>
        <v>0</v>
      </c>
      <c r="J146" s="654"/>
      <c r="K146" s="654"/>
      <c r="L146" s="319"/>
      <c r="M146" s="319"/>
      <c r="N146" s="319"/>
      <c r="O146" s="319"/>
      <c r="P146" s="319"/>
      <c r="Q146" s="302"/>
    </row>
    <row r="147" spans="1:17" s="71" customFormat="1" ht="24.95" customHeight="1" x14ac:dyDescent="0.2">
      <c r="A147" s="655" t="s">
        <v>237</v>
      </c>
      <c r="B147" s="632" t="s">
        <v>157</v>
      </c>
      <c r="C147" s="382"/>
      <c r="D147" s="382"/>
      <c r="E147" s="382"/>
      <c r="F147" s="656">
        <f>I147</f>
        <v>0</v>
      </c>
      <c r="G147" s="382">
        <v>0</v>
      </c>
      <c r="H147" s="725">
        <f t="shared" si="21"/>
        <v>0</v>
      </c>
      <c r="I147" s="318">
        <f t="shared" si="22"/>
        <v>0</v>
      </c>
      <c r="J147" s="654"/>
      <c r="K147" s="654"/>
      <c r="L147" s="319"/>
      <c r="M147" s="319"/>
      <c r="N147" s="319"/>
      <c r="O147" s="319"/>
      <c r="P147" s="319"/>
      <c r="Q147" s="302"/>
    </row>
    <row r="148" spans="1:17" s="71" customFormat="1" ht="24.95" customHeight="1" x14ac:dyDescent="0.2">
      <c r="A148" s="655" t="s">
        <v>238</v>
      </c>
      <c r="B148" s="632" t="s">
        <v>158</v>
      </c>
      <c r="C148" s="382">
        <v>4</v>
      </c>
      <c r="D148" s="382">
        <v>1.4</v>
      </c>
      <c r="E148" s="382">
        <v>6</v>
      </c>
      <c r="F148" s="656">
        <f>I148+J148+K148</f>
        <v>1200</v>
      </c>
      <c r="G148" s="382">
        <v>25</v>
      </c>
      <c r="H148" s="725">
        <f t="shared" si="21"/>
        <v>600</v>
      </c>
      <c r="I148" s="596">
        <f>H148*2</f>
        <v>1200</v>
      </c>
      <c r="J148" s="654"/>
      <c r="K148" s="654"/>
      <c r="L148" s="319"/>
      <c r="M148" s="319"/>
      <c r="N148" s="319"/>
      <c r="O148" s="319"/>
      <c r="P148" s="319"/>
      <c r="Q148" s="302"/>
    </row>
    <row r="149" spans="1:17" s="71" customFormat="1" ht="24.95" customHeight="1" x14ac:dyDescent="0.2">
      <c r="A149" s="655" t="s">
        <v>239</v>
      </c>
      <c r="B149" s="632" t="s">
        <v>159</v>
      </c>
      <c r="C149" s="382">
        <v>0</v>
      </c>
      <c r="D149" s="382"/>
      <c r="E149" s="382">
        <v>0</v>
      </c>
      <c r="F149" s="656">
        <f>I149+J149+K149</f>
        <v>0</v>
      </c>
      <c r="G149" s="382">
        <v>0</v>
      </c>
      <c r="H149" s="725">
        <f t="shared" si="21"/>
        <v>0</v>
      </c>
      <c r="I149" s="318">
        <f t="shared" si="22"/>
        <v>0</v>
      </c>
      <c r="J149" s="654"/>
      <c r="K149" s="654"/>
      <c r="L149" s="319"/>
      <c r="M149" s="319"/>
      <c r="N149" s="319"/>
      <c r="O149" s="319"/>
      <c r="P149" s="319"/>
      <c r="Q149" s="302"/>
    </row>
    <row r="150" spans="1:17" s="71" customFormat="1" ht="24.95" customHeight="1" x14ac:dyDescent="0.2">
      <c r="A150" s="657"/>
      <c r="B150" s="658" t="s">
        <v>403</v>
      </c>
      <c r="C150" s="622">
        <f t="shared" ref="C150:K150" si="23">SUM(C111:C149)</f>
        <v>74</v>
      </c>
      <c r="D150" s="622">
        <f t="shared" si="23"/>
        <v>28.22</v>
      </c>
      <c r="E150" s="622">
        <f t="shared" si="23"/>
        <v>86</v>
      </c>
      <c r="F150" s="622">
        <f t="shared" si="23"/>
        <v>5273.85</v>
      </c>
      <c r="G150" s="622">
        <f t="shared" si="23"/>
        <v>1395</v>
      </c>
      <c r="H150" s="622">
        <f t="shared" si="23"/>
        <v>12760</v>
      </c>
      <c r="I150" s="622">
        <f t="shared" si="23"/>
        <v>5174.8500000000004</v>
      </c>
      <c r="J150" s="622">
        <f t="shared" si="23"/>
        <v>99</v>
      </c>
      <c r="K150" s="622">
        <f t="shared" si="23"/>
        <v>0</v>
      </c>
      <c r="L150" s="319"/>
      <c r="M150" s="319"/>
      <c r="N150" s="319"/>
      <c r="O150" s="319"/>
      <c r="P150" s="319"/>
      <c r="Q150" s="302"/>
    </row>
    <row r="151" spans="1:17" s="71" customFormat="1" ht="24.95" customHeight="1" x14ac:dyDescent="0.2">
      <c r="A151" s="659">
        <v>2</v>
      </c>
      <c r="B151" s="659" t="s">
        <v>525</v>
      </c>
      <c r="C151" s="382"/>
      <c r="D151" s="382"/>
      <c r="E151" s="382"/>
      <c r="F151" s="318"/>
      <c r="G151" s="382"/>
      <c r="H151" s="725"/>
      <c r="I151" s="725"/>
      <c r="J151" s="654"/>
      <c r="K151" s="654"/>
      <c r="L151" s="319"/>
      <c r="M151" s="319"/>
      <c r="N151" s="319"/>
      <c r="O151" s="319"/>
      <c r="P151" s="319"/>
      <c r="Q151" s="1056"/>
    </row>
    <row r="152" spans="1:17" s="71" customFormat="1" ht="24.95" customHeight="1" x14ac:dyDescent="0.2">
      <c r="A152" s="545" t="s">
        <v>149</v>
      </c>
      <c r="B152" s="660" t="s">
        <v>167</v>
      </c>
      <c r="C152" s="382"/>
      <c r="D152" s="382"/>
      <c r="E152" s="382"/>
      <c r="F152" s="318"/>
      <c r="G152" s="382"/>
      <c r="H152" s="725"/>
      <c r="I152" s="725"/>
      <c r="J152" s="654"/>
      <c r="K152" s="654"/>
      <c r="L152" s="319"/>
      <c r="M152" s="319"/>
      <c r="N152" s="319"/>
      <c r="O152" s="319"/>
      <c r="P152" s="319"/>
      <c r="Q152" s="1056"/>
    </row>
    <row r="153" spans="1:17" s="71" customFormat="1" ht="24.95" customHeight="1" x14ac:dyDescent="0.2">
      <c r="A153" s="632" t="s">
        <v>229</v>
      </c>
      <c r="B153" s="381" t="s">
        <v>676</v>
      </c>
      <c r="C153" s="382">
        <v>3</v>
      </c>
      <c r="D153" s="382">
        <v>1</v>
      </c>
      <c r="E153" s="382">
        <v>1</v>
      </c>
      <c r="F153" s="302">
        <f t="shared" ref="F153:F159" si="24">I153+J153+K153</f>
        <v>74.25</v>
      </c>
      <c r="G153" s="601">
        <v>13</v>
      </c>
      <c r="H153" s="725">
        <f t="shared" si="21"/>
        <v>39</v>
      </c>
      <c r="I153" s="318">
        <f>C153*E153*16.5*1.5</f>
        <v>74.25</v>
      </c>
      <c r="J153" s="654"/>
      <c r="K153" s="654"/>
      <c r="L153" s="298"/>
      <c r="M153" s="319"/>
      <c r="N153" s="319"/>
      <c r="O153" s="319"/>
      <c r="P153" s="319"/>
      <c r="Q153" s="1056"/>
    </row>
    <row r="154" spans="1:17" s="71" customFormat="1" ht="24.95" customHeight="1" x14ac:dyDescent="0.2">
      <c r="A154" s="632" t="s">
        <v>230</v>
      </c>
      <c r="B154" s="381" t="s">
        <v>677</v>
      </c>
      <c r="C154" s="382">
        <v>3</v>
      </c>
      <c r="D154" s="382">
        <v>1</v>
      </c>
      <c r="E154" s="382">
        <v>1</v>
      </c>
      <c r="F154" s="302">
        <f t="shared" si="24"/>
        <v>74.25</v>
      </c>
      <c r="G154" s="382">
        <v>13</v>
      </c>
      <c r="H154" s="725">
        <f t="shared" si="21"/>
        <v>39</v>
      </c>
      <c r="I154" s="318">
        <f t="shared" ref="I154:I157" si="25">C154*E154*16.5*1.5</f>
        <v>74.25</v>
      </c>
      <c r="J154" s="654"/>
      <c r="K154" s="654"/>
      <c r="L154" s="298"/>
      <c r="M154" s="319"/>
      <c r="N154" s="319"/>
      <c r="O154" s="319"/>
      <c r="P154" s="319"/>
      <c r="Q154" s="1056"/>
    </row>
    <row r="155" spans="1:17" s="71" customFormat="1" ht="24.95" customHeight="1" x14ac:dyDescent="0.2">
      <c r="A155" s="632" t="s">
        <v>231</v>
      </c>
      <c r="B155" s="381" t="s">
        <v>678</v>
      </c>
      <c r="C155" s="382">
        <v>3</v>
      </c>
      <c r="D155" s="382">
        <v>1</v>
      </c>
      <c r="E155" s="382">
        <v>1</v>
      </c>
      <c r="F155" s="302">
        <f t="shared" si="24"/>
        <v>74.25</v>
      </c>
      <c r="G155" s="382">
        <v>13</v>
      </c>
      <c r="H155" s="725">
        <f t="shared" si="21"/>
        <v>39</v>
      </c>
      <c r="I155" s="318">
        <f t="shared" si="25"/>
        <v>74.25</v>
      </c>
      <c r="J155" s="654"/>
      <c r="K155" s="654"/>
      <c r="L155" s="298"/>
      <c r="M155" s="319"/>
      <c r="N155" s="319"/>
      <c r="O155" s="319"/>
      <c r="P155" s="319"/>
      <c r="Q155" s="1056"/>
    </row>
    <row r="156" spans="1:17" s="71" customFormat="1" ht="24.95" customHeight="1" x14ac:dyDescent="0.2">
      <c r="A156" s="632" t="s">
        <v>232</v>
      </c>
      <c r="B156" s="381" t="s">
        <v>679</v>
      </c>
      <c r="C156" s="382">
        <v>3</v>
      </c>
      <c r="D156" s="382">
        <v>1</v>
      </c>
      <c r="E156" s="382">
        <v>1</v>
      </c>
      <c r="F156" s="302">
        <f t="shared" si="24"/>
        <v>74.25</v>
      </c>
      <c r="G156" s="382">
        <v>13</v>
      </c>
      <c r="H156" s="725">
        <f t="shared" si="21"/>
        <v>39</v>
      </c>
      <c r="I156" s="318">
        <f t="shared" si="25"/>
        <v>74.25</v>
      </c>
      <c r="J156" s="654"/>
      <c r="K156" s="654"/>
      <c r="L156" s="298"/>
      <c r="M156" s="319"/>
      <c r="N156" s="319"/>
      <c r="O156" s="319"/>
      <c r="P156" s="319"/>
      <c r="Q156" s="1056"/>
    </row>
    <row r="157" spans="1:17" s="71" customFormat="1" ht="24.95" customHeight="1" x14ac:dyDescent="0.2">
      <c r="A157" s="632" t="s">
        <v>233</v>
      </c>
      <c r="B157" s="632" t="s">
        <v>524</v>
      </c>
      <c r="C157" s="382">
        <v>3</v>
      </c>
      <c r="D157" s="382">
        <v>1</v>
      </c>
      <c r="E157" s="382">
        <v>1</v>
      </c>
      <c r="F157" s="302">
        <f t="shared" si="24"/>
        <v>74.25</v>
      </c>
      <c r="G157" s="382">
        <v>13</v>
      </c>
      <c r="H157" s="725">
        <f t="shared" si="21"/>
        <v>39</v>
      </c>
      <c r="I157" s="318">
        <f t="shared" si="25"/>
        <v>74.25</v>
      </c>
      <c r="J157" s="654"/>
      <c r="K157" s="654"/>
      <c r="L157" s="298"/>
      <c r="M157" s="319"/>
      <c r="N157" s="319"/>
      <c r="O157" s="319"/>
      <c r="P157" s="319"/>
      <c r="Q157" s="1056"/>
    </row>
    <row r="158" spans="1:17" s="71" customFormat="1" ht="24.95" customHeight="1" x14ac:dyDescent="0.2">
      <c r="A158" s="632" t="s">
        <v>234</v>
      </c>
      <c r="B158" s="661" t="s">
        <v>680</v>
      </c>
      <c r="C158" s="382">
        <v>3</v>
      </c>
      <c r="D158" s="382">
        <v>1</v>
      </c>
      <c r="E158" s="382">
        <v>1</v>
      </c>
      <c r="F158" s="302">
        <f t="shared" si="24"/>
        <v>74.25</v>
      </c>
      <c r="G158" s="382">
        <v>13</v>
      </c>
      <c r="H158" s="725">
        <f t="shared" si="21"/>
        <v>39</v>
      </c>
      <c r="I158" s="596">
        <v>0</v>
      </c>
      <c r="J158" s="654"/>
      <c r="K158" s="318">
        <f>C158*E158*16.5*1.5</f>
        <v>74.25</v>
      </c>
      <c r="L158" s="319"/>
      <c r="M158" s="319"/>
      <c r="N158" s="319"/>
      <c r="O158" s="319"/>
      <c r="P158" s="319"/>
      <c r="Q158" s="302"/>
    </row>
    <row r="159" spans="1:17" s="71" customFormat="1" ht="24.95" customHeight="1" x14ac:dyDescent="0.2">
      <c r="A159" s="655" t="s">
        <v>285</v>
      </c>
      <c r="B159" s="661" t="s">
        <v>681</v>
      </c>
      <c r="C159" s="382">
        <v>3</v>
      </c>
      <c r="D159" s="382">
        <v>1</v>
      </c>
      <c r="E159" s="382">
        <v>1</v>
      </c>
      <c r="F159" s="302">
        <f t="shared" si="24"/>
        <v>74.25</v>
      </c>
      <c r="G159" s="382">
        <v>13</v>
      </c>
      <c r="H159" s="725">
        <f t="shared" si="21"/>
        <v>39</v>
      </c>
      <c r="I159" s="596">
        <v>0</v>
      </c>
      <c r="J159" s="654"/>
      <c r="K159" s="318">
        <f>C159*E159*16.5*1.5</f>
        <v>74.25</v>
      </c>
      <c r="L159" s="319"/>
      <c r="M159" s="319"/>
      <c r="N159" s="319"/>
      <c r="O159" s="319"/>
      <c r="P159" s="319"/>
      <c r="Q159" s="302"/>
    </row>
    <row r="160" spans="1:17" s="71" customFormat="1" ht="24.95" customHeight="1" x14ac:dyDescent="0.2">
      <c r="A160" s="630" t="s">
        <v>150</v>
      </c>
      <c r="B160" s="631" t="s">
        <v>493</v>
      </c>
      <c r="C160" s="382"/>
      <c r="D160" s="382"/>
      <c r="E160" s="382"/>
      <c r="F160" s="302"/>
      <c r="G160" s="382"/>
      <c r="H160" s="725"/>
      <c r="I160" s="318"/>
      <c r="J160" s="519"/>
      <c r="K160" s="654"/>
      <c r="L160" s="319"/>
      <c r="M160" s="319"/>
      <c r="N160" s="319"/>
      <c r="O160" s="319"/>
      <c r="P160" s="319"/>
      <c r="Q160" s="302"/>
    </row>
    <row r="161" spans="1:17" s="71" customFormat="1" ht="24.95" customHeight="1" x14ac:dyDescent="0.2">
      <c r="A161" s="630"/>
      <c r="B161" s="632" t="s">
        <v>682</v>
      </c>
      <c r="C161" s="382">
        <v>15</v>
      </c>
      <c r="D161" s="382">
        <v>1</v>
      </c>
      <c r="E161" s="382">
        <v>1</v>
      </c>
      <c r="F161" s="302">
        <f t="shared" ref="F161:F183" si="26">I161+J161+K161</f>
        <v>210</v>
      </c>
      <c r="G161" s="382">
        <v>6</v>
      </c>
      <c r="H161" s="725">
        <f>C161*E161*G161</f>
        <v>90</v>
      </c>
      <c r="I161" s="318">
        <f>6*35</f>
        <v>210</v>
      </c>
      <c r="J161" s="519"/>
      <c r="K161" s="654"/>
      <c r="L161" s="319"/>
      <c r="M161" s="319"/>
      <c r="N161" s="319"/>
      <c r="O161" s="319"/>
      <c r="P161" s="319"/>
      <c r="Q161" s="302"/>
    </row>
    <row r="162" spans="1:17" s="71" customFormat="1" ht="24.95" customHeight="1" x14ac:dyDescent="0.2">
      <c r="A162" s="620"/>
      <c r="B162" s="621" t="s">
        <v>403</v>
      </c>
      <c r="C162" s="622">
        <f t="shared" ref="C162:K162" si="27">SUM(C153:C161)</f>
        <v>36</v>
      </c>
      <c r="D162" s="622">
        <f t="shared" si="27"/>
        <v>8</v>
      </c>
      <c r="E162" s="622">
        <f t="shared" si="27"/>
        <v>8</v>
      </c>
      <c r="F162" s="622">
        <f t="shared" si="27"/>
        <v>729.75</v>
      </c>
      <c r="G162" s="622">
        <f t="shared" si="27"/>
        <v>97</v>
      </c>
      <c r="H162" s="622">
        <f t="shared" si="27"/>
        <v>363</v>
      </c>
      <c r="I162" s="622">
        <f t="shared" si="27"/>
        <v>581.25</v>
      </c>
      <c r="J162" s="622">
        <f t="shared" si="27"/>
        <v>0</v>
      </c>
      <c r="K162" s="622">
        <f t="shared" si="27"/>
        <v>148.5</v>
      </c>
      <c r="L162" s="319"/>
      <c r="M162" s="319"/>
      <c r="N162" s="319"/>
      <c r="O162" s="319"/>
      <c r="P162" s="319"/>
      <c r="Q162" s="302"/>
    </row>
    <row r="163" spans="1:17" s="71" customFormat="1" ht="24.95" customHeight="1" x14ac:dyDescent="0.2">
      <c r="A163" s="659">
        <v>1</v>
      </c>
      <c r="B163" s="660" t="s">
        <v>228</v>
      </c>
      <c r="C163" s="382"/>
      <c r="D163" s="382"/>
      <c r="E163" s="382"/>
      <c r="F163" s="302"/>
      <c r="G163" s="382"/>
      <c r="H163" s="725"/>
      <c r="I163" s="318"/>
      <c r="J163" s="526"/>
      <c r="K163" s="526"/>
      <c r="L163" s="319"/>
      <c r="M163" s="319"/>
      <c r="N163" s="319"/>
      <c r="O163" s="319"/>
      <c r="P163" s="319"/>
      <c r="Q163" s="302"/>
    </row>
    <row r="164" spans="1:17" s="71" customFormat="1" ht="24.95" customHeight="1" x14ac:dyDescent="0.2">
      <c r="A164" s="659" t="s">
        <v>404</v>
      </c>
      <c r="B164" s="660" t="s">
        <v>165</v>
      </c>
      <c r="C164" s="382"/>
      <c r="D164" s="382"/>
      <c r="E164" s="382"/>
      <c r="F164" s="302"/>
      <c r="G164" s="382"/>
      <c r="H164" s="725"/>
      <c r="I164" s="318"/>
      <c r="J164" s="526"/>
      <c r="K164" s="526"/>
      <c r="L164" s="319"/>
      <c r="M164" s="319"/>
      <c r="N164" s="319"/>
      <c r="O164" s="319"/>
      <c r="P164" s="319"/>
      <c r="Q164" s="302"/>
    </row>
    <row r="165" spans="1:17" s="71" customFormat="1" ht="24.95" customHeight="1" x14ac:dyDescent="0.2">
      <c r="A165" s="659"/>
      <c r="B165" s="660" t="s">
        <v>788</v>
      </c>
      <c r="C165" s="382"/>
      <c r="D165" s="382"/>
      <c r="E165" s="382"/>
      <c r="F165" s="606"/>
      <c r="G165" s="382"/>
      <c r="H165" s="601"/>
      <c r="I165" s="604"/>
      <c r="J165" s="526"/>
      <c r="K165" s="526"/>
      <c r="L165" s="526"/>
      <c r="M165" s="526"/>
      <c r="N165" s="526"/>
      <c r="O165" s="526"/>
      <c r="P165" s="526"/>
      <c r="Q165" s="606"/>
    </row>
    <row r="166" spans="1:17" s="71" customFormat="1" ht="24.95" customHeight="1" x14ac:dyDescent="0.2">
      <c r="A166" s="655" t="s">
        <v>231</v>
      </c>
      <c r="B166" s="634" t="s">
        <v>683</v>
      </c>
      <c r="C166" s="382">
        <v>3</v>
      </c>
      <c r="D166" s="382">
        <v>1</v>
      </c>
      <c r="E166" s="382">
        <v>7</v>
      </c>
      <c r="F166" s="302">
        <f t="shared" si="26"/>
        <v>450.45</v>
      </c>
      <c r="G166" s="382">
        <v>70</v>
      </c>
      <c r="H166" s="725">
        <f>C166*E166*G166</f>
        <v>1470</v>
      </c>
      <c r="I166" s="318">
        <f>IF(G166&lt;70, C166*E166*16.5*1, C166*E166*16.5*1.3)</f>
        <v>450.45</v>
      </c>
      <c r="J166" s="526"/>
      <c r="K166" s="526"/>
      <c r="L166" s="319"/>
      <c r="M166" s="319"/>
      <c r="N166" s="319"/>
      <c r="O166" s="319"/>
      <c r="P166" s="319"/>
      <c r="Q166" s="302"/>
    </row>
    <row r="167" spans="1:17" s="71" customFormat="1" ht="24.95" customHeight="1" x14ac:dyDescent="0.2">
      <c r="A167" s="655"/>
      <c r="B167" s="660" t="s">
        <v>790</v>
      </c>
      <c r="C167" s="382"/>
      <c r="D167" s="382"/>
      <c r="E167" s="382"/>
      <c r="F167" s="606"/>
      <c r="G167" s="382"/>
      <c r="H167" s="601"/>
      <c r="I167" s="604"/>
      <c r="J167" s="526"/>
      <c r="K167" s="526"/>
      <c r="L167" s="526"/>
      <c r="M167" s="526"/>
      <c r="N167" s="526"/>
      <c r="O167" s="526"/>
      <c r="P167" s="526"/>
      <c r="Q167" s="606"/>
    </row>
    <row r="168" spans="1:17" s="71" customFormat="1" ht="24.95" customHeight="1" x14ac:dyDescent="0.2">
      <c r="A168" s="655" t="s">
        <v>232</v>
      </c>
      <c r="B168" s="634" t="s">
        <v>684</v>
      </c>
      <c r="C168" s="382">
        <v>3</v>
      </c>
      <c r="D168" s="382">
        <v>1</v>
      </c>
      <c r="E168" s="382">
        <v>7</v>
      </c>
      <c r="F168" s="302">
        <f t="shared" si="26"/>
        <v>450.45</v>
      </c>
      <c r="G168" s="382">
        <v>70</v>
      </c>
      <c r="H168" s="725">
        <f t="shared" ref="H168:H183" si="28">C168*E168*G168</f>
        <v>1470</v>
      </c>
      <c r="I168" s="318">
        <f t="shared" ref="I168:I183" si="29">IF(G168&lt;70, C168*E168*16.5*1, C168*E168*16.5*1.3)</f>
        <v>450.45</v>
      </c>
      <c r="J168" s="526"/>
      <c r="K168" s="526"/>
      <c r="L168" s="319"/>
      <c r="M168" s="319"/>
      <c r="N168" s="319"/>
      <c r="O168" s="319"/>
      <c r="P168" s="319"/>
      <c r="Q168" s="302"/>
    </row>
    <row r="169" spans="1:17" s="71" customFormat="1" ht="24.95" customHeight="1" x14ac:dyDescent="0.2">
      <c r="A169" s="655"/>
      <c r="B169" s="660" t="s">
        <v>791</v>
      </c>
      <c r="C169" s="382"/>
      <c r="D169" s="382"/>
      <c r="E169" s="382"/>
      <c r="F169" s="606"/>
      <c r="G169" s="382"/>
      <c r="H169" s="601"/>
      <c r="I169" s="604"/>
      <c r="J169" s="526"/>
      <c r="K169" s="526"/>
      <c r="L169" s="526"/>
      <c r="M169" s="526"/>
      <c r="N169" s="526"/>
      <c r="O169" s="526"/>
      <c r="P169" s="526"/>
      <c r="Q169" s="606"/>
    </row>
    <row r="170" spans="1:17" s="71" customFormat="1" ht="24.95" customHeight="1" x14ac:dyDescent="0.2">
      <c r="A170" s="655" t="s">
        <v>233</v>
      </c>
      <c r="B170" s="634" t="s">
        <v>685</v>
      </c>
      <c r="C170" s="382">
        <v>2</v>
      </c>
      <c r="D170" s="382">
        <v>1</v>
      </c>
      <c r="E170" s="382">
        <v>10</v>
      </c>
      <c r="F170" s="302">
        <f t="shared" si="26"/>
        <v>429</v>
      </c>
      <c r="G170" s="382">
        <v>70</v>
      </c>
      <c r="H170" s="725">
        <f t="shared" si="28"/>
        <v>1400</v>
      </c>
      <c r="I170" s="318">
        <f t="shared" si="29"/>
        <v>429</v>
      </c>
      <c r="J170" s="526"/>
      <c r="K170" s="526"/>
      <c r="L170" s="319"/>
      <c r="M170" s="319"/>
      <c r="N170" s="319"/>
      <c r="O170" s="319"/>
      <c r="P170" s="319"/>
      <c r="Q170" s="302"/>
    </row>
    <row r="171" spans="1:17" s="71" customFormat="1" ht="24.95" customHeight="1" x14ac:dyDescent="0.2">
      <c r="A171" s="655"/>
      <c r="B171" s="660" t="s">
        <v>792</v>
      </c>
      <c r="C171" s="382"/>
      <c r="D171" s="382"/>
      <c r="E171" s="382"/>
      <c r="F171" s="606"/>
      <c r="G171" s="382"/>
      <c r="H171" s="601"/>
      <c r="I171" s="604"/>
      <c r="J171" s="526"/>
      <c r="K171" s="526"/>
      <c r="L171" s="526"/>
      <c r="M171" s="526"/>
      <c r="N171" s="526"/>
      <c r="O171" s="526"/>
      <c r="P171" s="526"/>
      <c r="Q171" s="606"/>
    </row>
    <row r="172" spans="1:17" s="71" customFormat="1" ht="24.95" customHeight="1" x14ac:dyDescent="0.2">
      <c r="A172" s="655" t="s">
        <v>234</v>
      </c>
      <c r="B172" s="634" t="s">
        <v>686</v>
      </c>
      <c r="C172" s="382">
        <v>3</v>
      </c>
      <c r="D172" s="382">
        <v>1</v>
      </c>
      <c r="E172" s="382">
        <v>16</v>
      </c>
      <c r="F172" s="302">
        <f t="shared" si="26"/>
        <v>1029.6000000000001</v>
      </c>
      <c r="G172" s="382">
        <v>70</v>
      </c>
      <c r="H172" s="725">
        <f t="shared" si="28"/>
        <v>3360</v>
      </c>
      <c r="I172" s="318">
        <f t="shared" si="29"/>
        <v>1029.6000000000001</v>
      </c>
      <c r="J172" s="526"/>
      <c r="K172" s="526"/>
      <c r="L172" s="319"/>
      <c r="M172" s="319"/>
      <c r="N172" s="319"/>
      <c r="O172" s="319"/>
      <c r="P172" s="319"/>
      <c r="Q172" s="302"/>
    </row>
    <row r="173" spans="1:17" s="71" customFormat="1" ht="24.95" customHeight="1" x14ac:dyDescent="0.2">
      <c r="A173" s="655"/>
      <c r="B173" s="660" t="s">
        <v>798</v>
      </c>
      <c r="C173" s="382"/>
      <c r="D173" s="382"/>
      <c r="E173" s="382"/>
      <c r="F173" s="606"/>
      <c r="G173" s="382"/>
      <c r="H173" s="601"/>
      <c r="I173" s="604"/>
      <c r="J173" s="526"/>
      <c r="K173" s="526"/>
      <c r="L173" s="526"/>
      <c r="M173" s="526"/>
      <c r="N173" s="526"/>
      <c r="O173" s="526"/>
      <c r="P173" s="526"/>
      <c r="Q173" s="606"/>
    </row>
    <row r="174" spans="1:17" s="71" customFormat="1" ht="24.95" customHeight="1" x14ac:dyDescent="0.2">
      <c r="A174" s="655" t="s">
        <v>285</v>
      </c>
      <c r="B174" s="634" t="s">
        <v>687</v>
      </c>
      <c r="C174" s="382">
        <v>2</v>
      </c>
      <c r="D174" s="382">
        <v>1</v>
      </c>
      <c r="E174" s="382">
        <v>10</v>
      </c>
      <c r="F174" s="302">
        <f t="shared" si="26"/>
        <v>429</v>
      </c>
      <c r="G174" s="382">
        <v>80</v>
      </c>
      <c r="H174" s="725">
        <f t="shared" si="28"/>
        <v>1600</v>
      </c>
      <c r="I174" s="318">
        <f t="shared" si="29"/>
        <v>429</v>
      </c>
      <c r="J174" s="526"/>
      <c r="K174" s="526"/>
      <c r="L174" s="319"/>
      <c r="M174" s="319"/>
      <c r="N174" s="319"/>
      <c r="O174" s="319"/>
      <c r="P174" s="319"/>
      <c r="Q174" s="302"/>
    </row>
    <row r="175" spans="1:17" s="71" customFormat="1" ht="24.95" customHeight="1" x14ac:dyDescent="0.2">
      <c r="A175" s="655"/>
      <c r="B175" s="660" t="s">
        <v>797</v>
      </c>
      <c r="C175" s="382"/>
      <c r="D175" s="382"/>
      <c r="E175" s="382"/>
      <c r="F175" s="606"/>
      <c r="G175" s="382"/>
      <c r="H175" s="601"/>
      <c r="I175" s="604"/>
      <c r="J175" s="526"/>
      <c r="K175" s="526"/>
      <c r="L175" s="526"/>
      <c r="M175" s="526"/>
      <c r="N175" s="526"/>
      <c r="O175" s="526"/>
      <c r="P175" s="526"/>
      <c r="Q175" s="606"/>
    </row>
    <row r="176" spans="1:17" s="71" customFormat="1" ht="24.95" customHeight="1" x14ac:dyDescent="0.2">
      <c r="A176" s="655" t="s">
        <v>287</v>
      </c>
      <c r="B176" s="661" t="s">
        <v>688</v>
      </c>
      <c r="C176" s="382">
        <v>3</v>
      </c>
      <c r="D176" s="382">
        <v>1</v>
      </c>
      <c r="E176" s="382">
        <v>10</v>
      </c>
      <c r="F176" s="302">
        <f t="shared" si="26"/>
        <v>643.5</v>
      </c>
      <c r="G176" s="382">
        <v>70</v>
      </c>
      <c r="H176" s="725">
        <f t="shared" si="28"/>
        <v>2100</v>
      </c>
      <c r="I176" s="318">
        <f t="shared" si="29"/>
        <v>643.5</v>
      </c>
      <c r="J176" s="526"/>
      <c r="K176" s="526"/>
      <c r="L176" s="319"/>
      <c r="M176" s="319"/>
      <c r="N176" s="319"/>
      <c r="O176" s="319"/>
      <c r="P176" s="319"/>
      <c r="Q176" s="302"/>
    </row>
    <row r="177" spans="1:17" s="71" customFormat="1" ht="24.95" customHeight="1" x14ac:dyDescent="0.2">
      <c r="A177" s="655"/>
      <c r="B177" s="735" t="s">
        <v>794</v>
      </c>
      <c r="C177" s="382"/>
      <c r="D177" s="382"/>
      <c r="E177" s="382"/>
      <c r="F177" s="606"/>
      <c r="G177" s="382"/>
      <c r="H177" s="601"/>
      <c r="I177" s="604"/>
      <c r="J177" s="526"/>
      <c r="K177" s="526"/>
      <c r="L177" s="526"/>
      <c r="M177" s="526"/>
      <c r="N177" s="526"/>
      <c r="O177" s="526"/>
      <c r="P177" s="526"/>
      <c r="Q177" s="606"/>
    </row>
    <row r="178" spans="1:17" s="71" customFormat="1" ht="24.95" customHeight="1" x14ac:dyDescent="0.2">
      <c r="A178" s="655" t="s">
        <v>289</v>
      </c>
      <c r="B178" s="632" t="s">
        <v>689</v>
      </c>
      <c r="C178" s="382">
        <v>3</v>
      </c>
      <c r="D178" s="382">
        <v>1</v>
      </c>
      <c r="E178" s="382">
        <v>10</v>
      </c>
      <c r="F178" s="302">
        <f t="shared" si="26"/>
        <v>643.5</v>
      </c>
      <c r="G178" s="382">
        <v>70</v>
      </c>
      <c r="H178" s="725">
        <f t="shared" si="28"/>
        <v>2100</v>
      </c>
      <c r="I178" s="318">
        <f t="shared" si="29"/>
        <v>643.5</v>
      </c>
      <c r="J178" s="526"/>
      <c r="K178" s="526"/>
      <c r="L178" s="319"/>
      <c r="M178" s="319"/>
      <c r="N178" s="319"/>
      <c r="O178" s="319"/>
      <c r="P178" s="319"/>
      <c r="Q178" s="302"/>
    </row>
    <row r="179" spans="1:17" s="71" customFormat="1" ht="24.95" customHeight="1" x14ac:dyDescent="0.2">
      <c r="A179" s="655" t="s">
        <v>292</v>
      </c>
      <c r="B179" s="632" t="s">
        <v>411</v>
      </c>
      <c r="C179" s="382">
        <v>3</v>
      </c>
      <c r="D179" s="382">
        <v>1</v>
      </c>
      <c r="E179" s="382">
        <v>16</v>
      </c>
      <c r="F179" s="302">
        <f t="shared" si="26"/>
        <v>1029.6000000000001</v>
      </c>
      <c r="G179" s="382">
        <v>70</v>
      </c>
      <c r="H179" s="725">
        <f t="shared" si="28"/>
        <v>3360</v>
      </c>
      <c r="I179" s="318">
        <f t="shared" si="29"/>
        <v>1029.6000000000001</v>
      </c>
      <c r="J179" s="526"/>
      <c r="K179" s="526"/>
      <c r="L179" s="319"/>
      <c r="M179" s="319"/>
      <c r="N179" s="319"/>
      <c r="O179" s="319"/>
      <c r="P179" s="319"/>
      <c r="Q179" s="302"/>
    </row>
    <row r="180" spans="1:17" s="71" customFormat="1" ht="24.95" customHeight="1" x14ac:dyDescent="0.2">
      <c r="A180" s="655"/>
      <c r="B180" s="631" t="s">
        <v>789</v>
      </c>
      <c r="C180" s="382"/>
      <c r="D180" s="382"/>
      <c r="E180" s="382"/>
      <c r="F180" s="606"/>
      <c r="G180" s="382"/>
      <c r="H180" s="601"/>
      <c r="I180" s="604"/>
      <c r="J180" s="526"/>
      <c r="K180" s="526"/>
      <c r="L180" s="526"/>
      <c r="M180" s="526"/>
      <c r="N180" s="526"/>
      <c r="O180" s="526"/>
      <c r="P180" s="526"/>
      <c r="Q180" s="606"/>
    </row>
    <row r="181" spans="1:17" s="71" customFormat="1" ht="24.95" customHeight="1" x14ac:dyDescent="0.2">
      <c r="A181" s="655" t="s">
        <v>293</v>
      </c>
      <c r="B181" s="632" t="s">
        <v>690</v>
      </c>
      <c r="C181" s="382">
        <v>4</v>
      </c>
      <c r="D181" s="382">
        <v>1</v>
      </c>
      <c r="E181" s="382">
        <v>10</v>
      </c>
      <c r="F181" s="302">
        <f t="shared" si="26"/>
        <v>858</v>
      </c>
      <c r="G181" s="382">
        <v>70</v>
      </c>
      <c r="H181" s="725">
        <f t="shared" si="28"/>
        <v>2800</v>
      </c>
      <c r="I181" s="318">
        <f t="shared" si="29"/>
        <v>858</v>
      </c>
      <c r="J181" s="526"/>
      <c r="K181" s="526"/>
      <c r="L181" s="319"/>
      <c r="M181" s="319"/>
      <c r="N181" s="319"/>
      <c r="O181" s="319"/>
      <c r="P181" s="319"/>
      <c r="Q181" s="302"/>
    </row>
    <row r="182" spans="1:17" s="71" customFormat="1" ht="24.95" customHeight="1" x14ac:dyDescent="0.2">
      <c r="A182" s="655" t="s">
        <v>294</v>
      </c>
      <c r="B182" s="632" t="s">
        <v>691</v>
      </c>
      <c r="C182" s="382">
        <v>4</v>
      </c>
      <c r="D182" s="382">
        <v>1</v>
      </c>
      <c r="E182" s="382">
        <v>8</v>
      </c>
      <c r="F182" s="302">
        <f t="shared" si="26"/>
        <v>686.4</v>
      </c>
      <c r="G182" s="382">
        <v>70</v>
      </c>
      <c r="H182" s="725">
        <f t="shared" si="28"/>
        <v>2240</v>
      </c>
      <c r="I182" s="318">
        <f t="shared" si="29"/>
        <v>686.4</v>
      </c>
      <c r="J182" s="526"/>
      <c r="K182" s="526"/>
      <c r="L182" s="319"/>
      <c r="M182" s="319"/>
      <c r="N182" s="319"/>
      <c r="O182" s="319"/>
      <c r="P182" s="319"/>
      <c r="Q182" s="302"/>
    </row>
    <row r="183" spans="1:17" s="71" customFormat="1" ht="24.95" customHeight="1" x14ac:dyDescent="0.2">
      <c r="A183" s="655" t="s">
        <v>295</v>
      </c>
      <c r="B183" s="632" t="s">
        <v>692</v>
      </c>
      <c r="C183" s="382">
        <v>4</v>
      </c>
      <c r="D183" s="382">
        <v>1</v>
      </c>
      <c r="E183" s="382">
        <v>8</v>
      </c>
      <c r="F183" s="302">
        <f t="shared" si="26"/>
        <v>686.4</v>
      </c>
      <c r="G183" s="382">
        <v>70</v>
      </c>
      <c r="H183" s="725">
        <f t="shared" si="28"/>
        <v>2240</v>
      </c>
      <c r="I183" s="318">
        <f t="shared" si="29"/>
        <v>686.4</v>
      </c>
      <c r="J183" s="526"/>
      <c r="K183" s="526"/>
      <c r="L183" s="319"/>
      <c r="M183" s="319"/>
      <c r="N183" s="319"/>
      <c r="O183" s="319"/>
      <c r="P183" s="319"/>
      <c r="Q183" s="302"/>
    </row>
    <row r="184" spans="1:17" s="71" customFormat="1" ht="24.95" customHeight="1" x14ac:dyDescent="0.2">
      <c r="A184" s="566"/>
      <c r="B184" s="567" t="s">
        <v>415</v>
      </c>
      <c r="C184" s="568">
        <f>SUM(C166:C183)</f>
        <v>34</v>
      </c>
      <c r="D184" s="568">
        <f t="shared" ref="D184:K184" si="30">SUM(D166:D183)</f>
        <v>11</v>
      </c>
      <c r="E184" s="568">
        <f t="shared" si="30"/>
        <v>112</v>
      </c>
      <c r="F184" s="568">
        <f t="shared" si="30"/>
        <v>7335.9</v>
      </c>
      <c r="G184" s="568">
        <f t="shared" si="30"/>
        <v>780</v>
      </c>
      <c r="H184" s="568">
        <f t="shared" si="30"/>
        <v>24140</v>
      </c>
      <c r="I184" s="568">
        <f t="shared" si="30"/>
        <v>7335.9</v>
      </c>
      <c r="J184" s="568">
        <f t="shared" si="30"/>
        <v>0</v>
      </c>
      <c r="K184" s="568">
        <f t="shared" si="30"/>
        <v>0</v>
      </c>
      <c r="L184" s="319"/>
      <c r="M184" s="319"/>
      <c r="N184" s="319"/>
      <c r="O184" s="319"/>
      <c r="P184" s="319"/>
      <c r="Q184" s="302"/>
    </row>
    <row r="185" spans="1:17" s="71" customFormat="1" ht="24.95" customHeight="1" x14ac:dyDescent="0.2">
      <c r="A185" s="324"/>
      <c r="B185" s="331" t="s">
        <v>416</v>
      </c>
      <c r="C185" s="332">
        <f>C150+C162+C184</f>
        <v>144</v>
      </c>
      <c r="D185" s="332">
        <f t="shared" ref="D185:K185" si="31">D150+D162+D184</f>
        <v>47.22</v>
      </c>
      <c r="E185" s="332">
        <f t="shared" si="31"/>
        <v>206</v>
      </c>
      <c r="F185" s="332">
        <f t="shared" si="31"/>
        <v>13339.5</v>
      </c>
      <c r="G185" s="332">
        <f t="shared" si="31"/>
        <v>2272</v>
      </c>
      <c r="H185" s="332">
        <f t="shared" si="31"/>
        <v>37263</v>
      </c>
      <c r="I185" s="332">
        <f t="shared" si="31"/>
        <v>13092</v>
      </c>
      <c r="J185" s="332">
        <f t="shared" si="31"/>
        <v>99</v>
      </c>
      <c r="K185" s="332">
        <f t="shared" si="31"/>
        <v>148.5</v>
      </c>
      <c r="L185" s="649">
        <f>'Bieu3 GDMN'!F25</f>
        <v>2700</v>
      </c>
      <c r="M185" s="649">
        <f>'Bieu3 GDMN'!N25</f>
        <v>1876.5</v>
      </c>
      <c r="N185" s="649">
        <f>I185-M185</f>
        <v>11215.5</v>
      </c>
      <c r="O185" s="649">
        <f>'Bieu3 GDMN'!O25</f>
        <v>1659.75</v>
      </c>
      <c r="P185" s="649">
        <f>'Bieu3 GDMN'!P25</f>
        <v>731</v>
      </c>
      <c r="Q185" s="542" t="s">
        <v>768</v>
      </c>
    </row>
    <row r="186" spans="1:17" s="71" customFormat="1" ht="24.95" customHeight="1" x14ac:dyDescent="0.2">
      <c r="A186" s="662" t="s">
        <v>445</v>
      </c>
      <c r="B186" s="662" t="s">
        <v>446</v>
      </c>
      <c r="C186" s="663"/>
      <c r="D186" s="663"/>
      <c r="E186" s="663"/>
      <c r="F186" s="664"/>
      <c r="G186" s="663"/>
      <c r="H186" s="322"/>
      <c r="I186" s="665"/>
      <c r="J186" s="319"/>
      <c r="K186" s="319"/>
      <c r="L186" s="319"/>
      <c r="M186" s="319"/>
      <c r="N186" s="319"/>
      <c r="O186" s="319"/>
      <c r="P186" s="319"/>
      <c r="Q186" s="302"/>
    </row>
    <row r="187" spans="1:17" s="71" customFormat="1" ht="24.95" customHeight="1" x14ac:dyDescent="0.2">
      <c r="A187" s="662" t="s">
        <v>7</v>
      </c>
      <c r="B187" s="662" t="s">
        <v>226</v>
      </c>
      <c r="C187" s="663"/>
      <c r="D187" s="663"/>
      <c r="E187" s="663"/>
      <c r="F187" s="664"/>
      <c r="G187" s="663"/>
      <c r="H187" s="322"/>
      <c r="I187" s="665"/>
      <c r="J187" s="319"/>
      <c r="K187" s="319"/>
      <c r="L187" s="319"/>
      <c r="M187" s="319"/>
      <c r="N187" s="319"/>
      <c r="O187" s="319"/>
      <c r="P187" s="319"/>
      <c r="Q187" s="302"/>
    </row>
    <row r="188" spans="1:17" s="71" customFormat="1" ht="24.95" customHeight="1" x14ac:dyDescent="0.2">
      <c r="A188" s="662">
        <v>1</v>
      </c>
      <c r="B188" s="662" t="s">
        <v>4</v>
      </c>
      <c r="C188" s="663"/>
      <c r="D188" s="663"/>
      <c r="E188" s="663"/>
      <c r="F188" s="664"/>
      <c r="G188" s="663"/>
      <c r="H188" s="322"/>
      <c r="I188" s="665"/>
      <c r="J188" s="319"/>
      <c r="K188" s="319"/>
      <c r="L188" s="319"/>
      <c r="M188" s="319"/>
      <c r="N188" s="319"/>
      <c r="O188" s="319"/>
      <c r="P188" s="319"/>
      <c r="Q188" s="302"/>
    </row>
    <row r="189" spans="1:17" s="71" customFormat="1" ht="24.95" customHeight="1" x14ac:dyDescent="0.2">
      <c r="A189" s="594" t="s">
        <v>149</v>
      </c>
      <c r="B189" s="595" t="s">
        <v>163</v>
      </c>
      <c r="C189" s="596"/>
      <c r="D189" s="596"/>
      <c r="E189" s="596"/>
      <c r="F189" s="725"/>
      <c r="G189" s="596"/>
      <c r="H189" s="322"/>
      <c r="I189" s="665"/>
      <c r="J189" s="319"/>
      <c r="K189" s="319"/>
      <c r="L189" s="319"/>
      <c r="M189" s="319"/>
      <c r="N189" s="319"/>
      <c r="O189" s="319"/>
      <c r="P189" s="319"/>
      <c r="Q189" s="302"/>
    </row>
    <row r="190" spans="1:17" s="71" customFormat="1" ht="24.95" customHeight="1" x14ac:dyDescent="0.2">
      <c r="A190" s="626"/>
      <c r="B190" s="627" t="s">
        <v>799</v>
      </c>
      <c r="C190" s="654"/>
      <c r="D190" s="654"/>
      <c r="E190" s="654"/>
      <c r="F190" s="601"/>
      <c r="G190" s="654"/>
      <c r="H190" s="382"/>
      <c r="I190" s="519"/>
      <c r="J190" s="526"/>
      <c r="K190" s="526"/>
      <c r="L190" s="526"/>
      <c r="M190" s="526"/>
      <c r="N190" s="526"/>
      <c r="O190" s="526"/>
      <c r="P190" s="526"/>
      <c r="Q190" s="606"/>
    </row>
    <row r="191" spans="1:17" s="71" customFormat="1" ht="24.95" customHeight="1" x14ac:dyDescent="0.2">
      <c r="A191" s="599" t="s">
        <v>229</v>
      </c>
      <c r="B191" s="628" t="s">
        <v>742</v>
      </c>
      <c r="C191" s="666">
        <v>4</v>
      </c>
      <c r="D191" s="602">
        <v>1</v>
      </c>
      <c r="E191" s="666">
        <v>13</v>
      </c>
      <c r="F191" s="302">
        <f t="shared" ref="F191:F206" si="32">I191+J191+K191</f>
        <v>1115.4000000000001</v>
      </c>
      <c r="G191" s="666">
        <v>70</v>
      </c>
      <c r="H191" s="725">
        <f>C191*E191*G191</f>
        <v>3640</v>
      </c>
      <c r="I191" s="318">
        <f>IF(G191&lt;70, C191*E191*16.5*1, C191*E191*16.5*1.3)</f>
        <v>1115.4000000000001</v>
      </c>
      <c r="J191" s="319"/>
      <c r="K191" s="319"/>
      <c r="L191" s="319"/>
      <c r="M191" s="319"/>
      <c r="N191" s="319"/>
      <c r="O191" s="319"/>
      <c r="P191" s="319"/>
      <c r="Q191" s="302"/>
    </row>
    <row r="192" spans="1:17" s="71" customFormat="1" ht="24.95" customHeight="1" x14ac:dyDescent="0.2">
      <c r="A192" s="599"/>
      <c r="B192" s="627" t="s">
        <v>800</v>
      </c>
      <c r="C192" s="666"/>
      <c r="D192" s="602"/>
      <c r="E192" s="666"/>
      <c r="F192" s="606"/>
      <c r="G192" s="666"/>
      <c r="H192" s="601"/>
      <c r="I192" s="604"/>
      <c r="J192" s="526"/>
      <c r="K192" s="526"/>
      <c r="L192" s="526"/>
      <c r="M192" s="526"/>
      <c r="N192" s="526"/>
      <c r="O192" s="526"/>
      <c r="P192" s="526"/>
      <c r="Q192" s="606"/>
    </row>
    <row r="193" spans="1:17" s="71" customFormat="1" ht="24.95" customHeight="1" x14ac:dyDescent="0.2">
      <c r="A193" s="599" t="s">
        <v>230</v>
      </c>
      <c r="B193" s="628" t="s">
        <v>743</v>
      </c>
      <c r="C193" s="600">
        <v>3</v>
      </c>
      <c r="D193" s="667">
        <v>1</v>
      </c>
      <c r="E193" s="600">
        <v>7</v>
      </c>
      <c r="F193" s="302">
        <f t="shared" si="32"/>
        <v>450.45</v>
      </c>
      <c r="G193" s="600">
        <v>70</v>
      </c>
      <c r="H193" s="725">
        <f t="shared" ref="H193:H206" si="33">C193*E193*G193</f>
        <v>1470</v>
      </c>
      <c r="I193" s="318">
        <f t="shared" ref="I193:I206" si="34">IF(G193&lt;70, C193*E193*16.5*1, C193*E193*16.5*1.3)</f>
        <v>450.45</v>
      </c>
      <c r="J193" s="319"/>
      <c r="K193" s="319"/>
      <c r="L193" s="319"/>
      <c r="M193" s="319"/>
      <c r="N193" s="319"/>
      <c r="O193" s="319"/>
      <c r="P193" s="319"/>
      <c r="Q193" s="302"/>
    </row>
    <row r="194" spans="1:17" s="71" customFormat="1" ht="24.95" customHeight="1" x14ac:dyDescent="0.2">
      <c r="A194" s="599"/>
      <c r="B194" s="627" t="s">
        <v>801</v>
      </c>
      <c r="C194" s="600"/>
      <c r="D194" s="667"/>
      <c r="E194" s="600"/>
      <c r="F194" s="606"/>
      <c r="G194" s="600"/>
      <c r="H194" s="601"/>
      <c r="I194" s="604"/>
      <c r="J194" s="526"/>
      <c r="K194" s="526"/>
      <c r="L194" s="526"/>
      <c r="M194" s="526"/>
      <c r="N194" s="526"/>
      <c r="O194" s="526"/>
      <c r="P194" s="526"/>
      <c r="Q194" s="606"/>
    </row>
    <row r="195" spans="1:17" s="71" customFormat="1" ht="24.95" customHeight="1" x14ac:dyDescent="0.2">
      <c r="A195" s="599" t="s">
        <v>232</v>
      </c>
      <c r="B195" s="628" t="s">
        <v>744</v>
      </c>
      <c r="C195" s="600">
        <v>5</v>
      </c>
      <c r="D195" s="667">
        <v>1</v>
      </c>
      <c r="E195" s="600">
        <v>6</v>
      </c>
      <c r="F195" s="302">
        <f t="shared" si="32"/>
        <v>643.5</v>
      </c>
      <c r="G195" s="600">
        <v>70</v>
      </c>
      <c r="H195" s="725">
        <f t="shared" si="33"/>
        <v>2100</v>
      </c>
      <c r="I195" s="318">
        <f t="shared" si="34"/>
        <v>643.5</v>
      </c>
      <c r="J195" s="319"/>
      <c r="K195" s="319"/>
      <c r="L195" s="319"/>
      <c r="M195" s="319"/>
      <c r="N195" s="319"/>
      <c r="O195" s="319"/>
      <c r="P195" s="319"/>
      <c r="Q195" s="302"/>
    </row>
    <row r="196" spans="1:17" s="71" customFormat="1" ht="24.95" customHeight="1" x14ac:dyDescent="0.2">
      <c r="A196" s="599"/>
      <c r="B196" s="627" t="s">
        <v>804</v>
      </c>
      <c r="C196" s="600"/>
      <c r="D196" s="667"/>
      <c r="E196" s="600"/>
      <c r="F196" s="606"/>
      <c r="G196" s="600"/>
      <c r="H196" s="601"/>
      <c r="I196" s="604"/>
      <c r="J196" s="526"/>
      <c r="K196" s="526"/>
      <c r="L196" s="526"/>
      <c r="M196" s="526"/>
      <c r="N196" s="526"/>
      <c r="O196" s="526"/>
      <c r="P196" s="526"/>
      <c r="Q196" s="606"/>
    </row>
    <row r="197" spans="1:17" s="71" customFormat="1" ht="24.95" customHeight="1" x14ac:dyDescent="0.2">
      <c r="A197" s="599" t="s">
        <v>233</v>
      </c>
      <c r="B197" s="628" t="s">
        <v>745</v>
      </c>
      <c r="C197" s="600">
        <v>2</v>
      </c>
      <c r="D197" s="667">
        <v>1</v>
      </c>
      <c r="E197" s="600">
        <v>1</v>
      </c>
      <c r="F197" s="302">
        <f t="shared" si="32"/>
        <v>33</v>
      </c>
      <c r="G197" s="600">
        <v>50</v>
      </c>
      <c r="H197" s="725">
        <f t="shared" si="33"/>
        <v>100</v>
      </c>
      <c r="I197" s="318">
        <f t="shared" si="34"/>
        <v>33</v>
      </c>
      <c r="J197" s="319"/>
      <c r="K197" s="319"/>
      <c r="L197" s="319"/>
      <c r="M197" s="319"/>
      <c r="N197" s="319"/>
      <c r="O197" s="319"/>
      <c r="P197" s="319"/>
      <c r="Q197" s="302"/>
    </row>
    <row r="198" spans="1:17" s="71" customFormat="1" ht="24.95" customHeight="1" x14ac:dyDescent="0.2">
      <c r="A198" s="599" t="s">
        <v>234</v>
      </c>
      <c r="B198" s="628" t="s">
        <v>434</v>
      </c>
      <c r="C198" s="600">
        <v>2</v>
      </c>
      <c r="D198" s="667">
        <v>1</v>
      </c>
      <c r="E198" s="600">
        <v>1</v>
      </c>
      <c r="F198" s="302">
        <f t="shared" si="32"/>
        <v>33</v>
      </c>
      <c r="G198" s="600">
        <v>55</v>
      </c>
      <c r="H198" s="725">
        <f t="shared" si="33"/>
        <v>110</v>
      </c>
      <c r="I198" s="318">
        <f t="shared" si="34"/>
        <v>33</v>
      </c>
      <c r="J198" s="319"/>
      <c r="K198" s="319"/>
      <c r="L198" s="319"/>
      <c r="M198" s="319"/>
      <c r="N198" s="319"/>
      <c r="O198" s="319"/>
      <c r="P198" s="319"/>
      <c r="Q198" s="302"/>
    </row>
    <row r="199" spans="1:17" s="71" customFormat="1" ht="24.95" customHeight="1" x14ac:dyDescent="0.2">
      <c r="A199" s="599"/>
      <c r="B199" s="627" t="s">
        <v>802</v>
      </c>
      <c r="C199" s="600"/>
      <c r="D199" s="667"/>
      <c r="E199" s="600"/>
      <c r="F199" s="606"/>
      <c r="G199" s="600"/>
      <c r="H199" s="601"/>
      <c r="I199" s="604"/>
      <c r="J199" s="526"/>
      <c r="K199" s="526"/>
      <c r="L199" s="526"/>
      <c r="M199" s="526"/>
      <c r="N199" s="526"/>
      <c r="O199" s="526"/>
      <c r="P199" s="526"/>
      <c r="Q199" s="606"/>
    </row>
    <row r="200" spans="1:17" s="71" customFormat="1" ht="24.95" customHeight="1" x14ac:dyDescent="0.2">
      <c r="A200" s="599" t="s">
        <v>288</v>
      </c>
      <c r="B200" s="628" t="s">
        <v>746</v>
      </c>
      <c r="C200" s="668">
        <v>3</v>
      </c>
      <c r="D200" s="667">
        <v>1</v>
      </c>
      <c r="E200" s="668">
        <v>1</v>
      </c>
      <c r="F200" s="302">
        <f t="shared" si="32"/>
        <v>49.5</v>
      </c>
      <c r="G200" s="668">
        <v>40</v>
      </c>
      <c r="H200" s="725">
        <f t="shared" si="33"/>
        <v>120</v>
      </c>
      <c r="I200" s="318">
        <f t="shared" si="34"/>
        <v>49.5</v>
      </c>
      <c r="J200" s="319"/>
      <c r="K200" s="319"/>
      <c r="L200" s="319"/>
      <c r="M200" s="319"/>
      <c r="N200" s="319"/>
      <c r="O200" s="319"/>
      <c r="P200" s="319"/>
      <c r="Q200" s="302"/>
    </row>
    <row r="201" spans="1:17" s="71" customFormat="1" ht="24.95" customHeight="1" x14ac:dyDescent="0.2">
      <c r="A201" s="599" t="s">
        <v>289</v>
      </c>
      <c r="B201" s="628" t="s">
        <v>435</v>
      </c>
      <c r="C201" s="668">
        <v>2</v>
      </c>
      <c r="D201" s="667">
        <v>1</v>
      </c>
      <c r="E201" s="668">
        <v>1</v>
      </c>
      <c r="F201" s="302">
        <f t="shared" si="32"/>
        <v>33</v>
      </c>
      <c r="G201" s="668">
        <v>40</v>
      </c>
      <c r="H201" s="725">
        <f t="shared" si="33"/>
        <v>80</v>
      </c>
      <c r="I201" s="318">
        <f t="shared" si="34"/>
        <v>33</v>
      </c>
      <c r="J201" s="319"/>
      <c r="K201" s="319"/>
      <c r="L201" s="319"/>
      <c r="M201" s="319"/>
      <c r="N201" s="319"/>
      <c r="O201" s="319"/>
      <c r="P201" s="319"/>
      <c r="Q201" s="302"/>
    </row>
    <row r="202" spans="1:17" s="71" customFormat="1" ht="24.95" customHeight="1" x14ac:dyDescent="0.2">
      <c r="A202" s="599" t="s">
        <v>292</v>
      </c>
      <c r="B202" s="628" t="s">
        <v>747</v>
      </c>
      <c r="C202" s="668">
        <v>2</v>
      </c>
      <c r="D202" s="667">
        <v>1</v>
      </c>
      <c r="E202" s="668">
        <v>1</v>
      </c>
      <c r="F202" s="302">
        <f t="shared" si="32"/>
        <v>42.9</v>
      </c>
      <c r="G202" s="668">
        <v>80</v>
      </c>
      <c r="H202" s="725">
        <f t="shared" si="33"/>
        <v>160</v>
      </c>
      <c r="I202" s="318">
        <f t="shared" si="34"/>
        <v>42.9</v>
      </c>
      <c r="J202" s="319"/>
      <c r="K202" s="319"/>
      <c r="L202" s="319"/>
      <c r="M202" s="319"/>
      <c r="N202" s="319"/>
      <c r="O202" s="319"/>
      <c r="P202" s="319"/>
      <c r="Q202" s="302"/>
    </row>
    <row r="203" spans="1:17" s="71" customFormat="1" ht="24.95" customHeight="1" x14ac:dyDescent="0.2">
      <c r="A203" s="599"/>
      <c r="B203" s="627" t="s">
        <v>803</v>
      </c>
      <c r="C203" s="668"/>
      <c r="D203" s="667"/>
      <c r="E203" s="668"/>
      <c r="F203" s="606"/>
      <c r="G203" s="668"/>
      <c r="H203" s="601"/>
      <c r="I203" s="604"/>
      <c r="J203" s="526"/>
      <c r="K203" s="526"/>
      <c r="L203" s="526"/>
      <c r="M203" s="526"/>
      <c r="N203" s="526"/>
      <c r="O203" s="526"/>
      <c r="P203" s="526"/>
      <c r="Q203" s="606"/>
    </row>
    <row r="204" spans="1:17" s="71" customFormat="1" ht="24.95" customHeight="1" x14ac:dyDescent="0.2">
      <c r="A204" s="599" t="s">
        <v>293</v>
      </c>
      <c r="B204" s="628" t="s">
        <v>748</v>
      </c>
      <c r="C204" s="668">
        <v>2</v>
      </c>
      <c r="D204" s="667">
        <v>1</v>
      </c>
      <c r="E204" s="668">
        <v>1</v>
      </c>
      <c r="F204" s="302">
        <f t="shared" si="32"/>
        <v>42.9</v>
      </c>
      <c r="G204" s="668">
        <v>80</v>
      </c>
      <c r="H204" s="725">
        <f t="shared" si="33"/>
        <v>160</v>
      </c>
      <c r="I204" s="318">
        <f t="shared" si="34"/>
        <v>42.9</v>
      </c>
      <c r="J204" s="319"/>
      <c r="K204" s="319"/>
      <c r="L204" s="319"/>
      <c r="M204" s="319"/>
      <c r="N204" s="319"/>
      <c r="O204" s="319"/>
      <c r="P204" s="319"/>
      <c r="Q204" s="302"/>
    </row>
    <row r="205" spans="1:17" s="71" customFormat="1" ht="24.95" customHeight="1" x14ac:dyDescent="0.2">
      <c r="A205" s="599" t="s">
        <v>294</v>
      </c>
      <c r="B205" s="628" t="s">
        <v>436</v>
      </c>
      <c r="C205" s="668">
        <v>1</v>
      </c>
      <c r="D205" s="601">
        <v>1.4</v>
      </c>
      <c r="E205" s="668">
        <v>6</v>
      </c>
      <c r="F205" s="302">
        <f t="shared" si="32"/>
        <v>99</v>
      </c>
      <c r="G205" s="668">
        <v>36</v>
      </c>
      <c r="H205" s="725">
        <f t="shared" si="33"/>
        <v>216</v>
      </c>
      <c r="I205" s="318">
        <f t="shared" si="34"/>
        <v>99</v>
      </c>
      <c r="J205" s="319"/>
      <c r="K205" s="319"/>
      <c r="L205" s="319"/>
      <c r="M205" s="319"/>
      <c r="N205" s="319"/>
      <c r="O205" s="319"/>
      <c r="P205" s="319"/>
      <c r="Q205" s="302"/>
    </row>
    <row r="206" spans="1:17" s="71" customFormat="1" ht="24.95" customHeight="1" x14ac:dyDescent="0.2">
      <c r="A206" s="599" t="s">
        <v>295</v>
      </c>
      <c r="B206" s="600" t="s">
        <v>437</v>
      </c>
      <c r="C206" s="668">
        <v>1</v>
      </c>
      <c r="D206" s="601">
        <v>1.4</v>
      </c>
      <c r="E206" s="668">
        <v>14</v>
      </c>
      <c r="F206" s="302">
        <f t="shared" si="32"/>
        <v>231</v>
      </c>
      <c r="G206" s="668">
        <v>20</v>
      </c>
      <c r="H206" s="725">
        <f t="shared" si="33"/>
        <v>280</v>
      </c>
      <c r="I206" s="318">
        <f t="shared" si="34"/>
        <v>231</v>
      </c>
      <c r="J206" s="319"/>
      <c r="K206" s="319"/>
      <c r="L206" s="319"/>
      <c r="M206" s="319"/>
      <c r="N206" s="319"/>
      <c r="O206" s="319"/>
      <c r="P206" s="319"/>
      <c r="Q206" s="302"/>
    </row>
    <row r="207" spans="1:17" s="71" customFormat="1" ht="24.95" customHeight="1" x14ac:dyDescent="0.2">
      <c r="A207" s="620"/>
      <c r="B207" s="621" t="s">
        <v>403</v>
      </c>
      <c r="C207" s="622">
        <f>SUM(C191:C206)</f>
        <v>27</v>
      </c>
      <c r="D207" s="622">
        <f t="shared" ref="D207:K207" si="35">SUM(D191:D206)</f>
        <v>11.8</v>
      </c>
      <c r="E207" s="622">
        <f t="shared" si="35"/>
        <v>52</v>
      </c>
      <c r="F207" s="622">
        <f t="shared" si="35"/>
        <v>2773.6500000000005</v>
      </c>
      <c r="G207" s="622">
        <f t="shared" si="35"/>
        <v>611</v>
      </c>
      <c r="H207" s="622">
        <f t="shared" si="35"/>
        <v>8436</v>
      </c>
      <c r="I207" s="622">
        <f t="shared" si="35"/>
        <v>2773.6500000000005</v>
      </c>
      <c r="J207" s="622">
        <f t="shared" si="35"/>
        <v>0</v>
      </c>
      <c r="K207" s="622">
        <f t="shared" si="35"/>
        <v>0</v>
      </c>
      <c r="L207" s="319"/>
      <c r="M207" s="319"/>
      <c r="N207" s="319"/>
      <c r="O207" s="319"/>
      <c r="P207" s="319"/>
      <c r="Q207" s="302"/>
    </row>
    <row r="208" spans="1:17" s="71" customFormat="1" ht="24.95" customHeight="1" x14ac:dyDescent="0.2">
      <c r="A208" s="669">
        <v>2</v>
      </c>
      <c r="B208" s="669" t="s">
        <v>166</v>
      </c>
      <c r="C208" s="601"/>
      <c r="D208" s="601"/>
      <c r="E208" s="601"/>
      <c r="F208" s="302"/>
      <c r="G208" s="601"/>
      <c r="H208" s="725"/>
      <c r="I208" s="318"/>
      <c r="J208" s="319"/>
      <c r="K208" s="319"/>
      <c r="L208" s="319"/>
      <c r="M208" s="319"/>
      <c r="N208" s="319"/>
      <c r="O208" s="319"/>
      <c r="P208" s="319"/>
      <c r="Q208" s="302"/>
    </row>
    <row r="209" spans="1:17" s="71" customFormat="1" ht="24.95" customHeight="1" x14ac:dyDescent="0.2">
      <c r="A209" s="626" t="s">
        <v>149</v>
      </c>
      <c r="B209" s="627" t="s">
        <v>167</v>
      </c>
      <c r="C209" s="601"/>
      <c r="D209" s="601"/>
      <c r="E209" s="601"/>
      <c r="F209" s="302"/>
      <c r="G209" s="601"/>
      <c r="H209" s="725"/>
      <c r="I209" s="318"/>
      <c r="J209" s="319"/>
      <c r="K209" s="319"/>
      <c r="L209" s="319"/>
      <c r="M209" s="319"/>
      <c r="N209" s="319"/>
      <c r="O209" s="319"/>
      <c r="P209" s="319"/>
      <c r="Q209" s="302"/>
    </row>
    <row r="210" spans="1:17" s="71" customFormat="1" ht="24.95" customHeight="1" x14ac:dyDescent="0.2">
      <c r="A210" s="599" t="s">
        <v>229</v>
      </c>
      <c r="B210" s="628" t="s">
        <v>438</v>
      </c>
      <c r="C210" s="600">
        <v>3</v>
      </c>
      <c r="D210" s="667">
        <v>1</v>
      </c>
      <c r="E210" s="668">
        <v>3</v>
      </c>
      <c r="F210" s="322">
        <f>I210+J210+K210</f>
        <v>222.75</v>
      </c>
      <c r="G210" s="600">
        <v>15</v>
      </c>
      <c r="H210" s="725">
        <f t="shared" ref="H210:H216" si="36">C210*E210*G210</f>
        <v>135</v>
      </c>
      <c r="I210" s="318">
        <f t="shared" ref="I210:I216" si="37">IF(G210&lt;70, C210*E210*16.5*1*1.5, C210*E210*16.5*1.3*1.5)</f>
        <v>222.75</v>
      </c>
      <c r="J210" s="319"/>
      <c r="K210" s="319"/>
      <c r="L210" s="319"/>
      <c r="M210" s="319"/>
      <c r="N210" s="319"/>
      <c r="O210" s="319"/>
      <c r="P210" s="319"/>
      <c r="Q210" s="302"/>
    </row>
    <row r="211" spans="1:17" s="71" customFormat="1" ht="24.95" customHeight="1" x14ac:dyDescent="0.2">
      <c r="A211" s="599" t="s">
        <v>230</v>
      </c>
      <c r="B211" s="628" t="s">
        <v>439</v>
      </c>
      <c r="C211" s="600">
        <v>3</v>
      </c>
      <c r="D211" s="667">
        <v>1</v>
      </c>
      <c r="E211" s="668">
        <v>1</v>
      </c>
      <c r="F211" s="322">
        <f t="shared" ref="F211:F216" si="38">I211+J211+K211</f>
        <v>74.25</v>
      </c>
      <c r="G211" s="600">
        <v>10</v>
      </c>
      <c r="H211" s="725">
        <f t="shared" si="36"/>
        <v>30</v>
      </c>
      <c r="I211" s="318">
        <f t="shared" si="37"/>
        <v>74.25</v>
      </c>
      <c r="J211" s="319"/>
      <c r="K211" s="319"/>
      <c r="L211" s="319"/>
      <c r="M211" s="319"/>
      <c r="N211" s="319"/>
      <c r="O211" s="319"/>
      <c r="P211" s="319"/>
      <c r="Q211" s="302"/>
    </row>
    <row r="212" spans="1:17" s="71" customFormat="1" ht="24.95" customHeight="1" x14ac:dyDescent="0.2">
      <c r="A212" s="599" t="s">
        <v>231</v>
      </c>
      <c r="B212" s="634" t="s">
        <v>440</v>
      </c>
      <c r="C212" s="600">
        <v>3</v>
      </c>
      <c r="D212" s="667">
        <v>1</v>
      </c>
      <c r="E212" s="668">
        <v>1</v>
      </c>
      <c r="F212" s="322">
        <f t="shared" si="38"/>
        <v>74.25</v>
      </c>
      <c r="G212" s="600">
        <v>10</v>
      </c>
      <c r="H212" s="725">
        <f t="shared" si="36"/>
        <v>30</v>
      </c>
      <c r="I212" s="318">
        <f t="shared" si="37"/>
        <v>74.25</v>
      </c>
      <c r="J212" s="319"/>
      <c r="K212" s="319"/>
      <c r="L212" s="319"/>
      <c r="M212" s="319"/>
      <c r="N212" s="319"/>
      <c r="O212" s="319"/>
      <c r="P212" s="319"/>
      <c r="Q212" s="302"/>
    </row>
    <row r="213" spans="1:17" s="71" customFormat="1" ht="24.95" customHeight="1" x14ac:dyDescent="0.2">
      <c r="A213" s="599" t="s">
        <v>232</v>
      </c>
      <c r="B213" s="628" t="s">
        <v>441</v>
      </c>
      <c r="C213" s="600">
        <v>3</v>
      </c>
      <c r="D213" s="667">
        <v>1</v>
      </c>
      <c r="E213" s="668">
        <v>1</v>
      </c>
      <c r="F213" s="322">
        <f t="shared" si="38"/>
        <v>74.25</v>
      </c>
      <c r="G213" s="600">
        <v>10</v>
      </c>
      <c r="H213" s="725">
        <f t="shared" si="36"/>
        <v>30</v>
      </c>
      <c r="I213" s="318">
        <f t="shared" si="37"/>
        <v>74.25</v>
      </c>
      <c r="J213" s="319"/>
      <c r="K213" s="319"/>
      <c r="L213" s="319"/>
      <c r="M213" s="319"/>
      <c r="N213" s="319"/>
      <c r="O213" s="319"/>
      <c r="P213" s="319"/>
      <c r="Q213" s="302"/>
    </row>
    <row r="214" spans="1:17" s="71" customFormat="1" ht="24.95" customHeight="1" x14ac:dyDescent="0.2">
      <c r="A214" s="599" t="s">
        <v>233</v>
      </c>
      <c r="B214" s="629" t="s">
        <v>442</v>
      </c>
      <c r="C214" s="600">
        <v>3</v>
      </c>
      <c r="D214" s="667">
        <v>1</v>
      </c>
      <c r="E214" s="668">
        <v>3</v>
      </c>
      <c r="F214" s="322">
        <f t="shared" si="38"/>
        <v>222.75</v>
      </c>
      <c r="G214" s="600">
        <v>15</v>
      </c>
      <c r="H214" s="725">
        <f t="shared" si="36"/>
        <v>135</v>
      </c>
      <c r="I214" s="318">
        <f t="shared" si="37"/>
        <v>222.75</v>
      </c>
      <c r="J214" s="319"/>
      <c r="K214" s="319"/>
      <c r="L214" s="319"/>
      <c r="M214" s="319"/>
      <c r="N214" s="319"/>
      <c r="O214" s="319"/>
      <c r="P214" s="319"/>
      <c r="Q214" s="302"/>
    </row>
    <row r="215" spans="1:17" s="71" customFormat="1" ht="24.95" customHeight="1" x14ac:dyDescent="0.2">
      <c r="A215" s="599" t="s">
        <v>234</v>
      </c>
      <c r="B215" s="629" t="s">
        <v>443</v>
      </c>
      <c r="C215" s="600">
        <v>3</v>
      </c>
      <c r="D215" s="667">
        <v>1</v>
      </c>
      <c r="E215" s="668">
        <v>1</v>
      </c>
      <c r="F215" s="322">
        <f t="shared" si="38"/>
        <v>74.25</v>
      </c>
      <c r="G215" s="600">
        <v>10</v>
      </c>
      <c r="H215" s="725">
        <f t="shared" si="36"/>
        <v>30</v>
      </c>
      <c r="I215" s="318">
        <f t="shared" si="37"/>
        <v>74.25</v>
      </c>
      <c r="J215" s="319"/>
      <c r="K215" s="319"/>
      <c r="L215" s="319"/>
      <c r="M215" s="319"/>
      <c r="N215" s="319"/>
      <c r="O215" s="319"/>
      <c r="P215" s="319"/>
      <c r="Q215" s="302"/>
    </row>
    <row r="216" spans="1:17" s="71" customFormat="1" ht="24.95" customHeight="1" x14ac:dyDescent="0.2">
      <c r="A216" s="599" t="s">
        <v>285</v>
      </c>
      <c r="B216" s="629" t="s">
        <v>444</v>
      </c>
      <c r="C216" s="600">
        <v>3</v>
      </c>
      <c r="D216" s="667">
        <v>1</v>
      </c>
      <c r="E216" s="668">
        <v>3</v>
      </c>
      <c r="F216" s="322">
        <f t="shared" si="38"/>
        <v>222.75</v>
      </c>
      <c r="G216" s="600">
        <v>15</v>
      </c>
      <c r="H216" s="725">
        <f t="shared" si="36"/>
        <v>135</v>
      </c>
      <c r="I216" s="318">
        <f t="shared" si="37"/>
        <v>222.75</v>
      </c>
      <c r="J216" s="319"/>
      <c r="K216" s="319"/>
      <c r="L216" s="319"/>
      <c r="M216" s="319"/>
      <c r="N216" s="319"/>
      <c r="O216" s="319"/>
      <c r="P216" s="319"/>
      <c r="Q216" s="302"/>
    </row>
    <row r="217" spans="1:17" s="71" customFormat="1" ht="24.95" customHeight="1" x14ac:dyDescent="0.2">
      <c r="A217" s="620"/>
      <c r="B217" s="670" t="s">
        <v>403</v>
      </c>
      <c r="C217" s="622">
        <f>SUM(C210:C216)</f>
        <v>21</v>
      </c>
      <c r="D217" s="622">
        <f t="shared" ref="D217:K217" si="39">SUM(D210:D216)</f>
        <v>7</v>
      </c>
      <c r="E217" s="622">
        <f t="shared" si="39"/>
        <v>13</v>
      </c>
      <c r="F217" s="622">
        <f t="shared" si="39"/>
        <v>965.25</v>
      </c>
      <c r="G217" s="622">
        <f t="shared" si="39"/>
        <v>85</v>
      </c>
      <c r="H217" s="622">
        <f t="shared" si="39"/>
        <v>525</v>
      </c>
      <c r="I217" s="622">
        <f t="shared" si="39"/>
        <v>965.25</v>
      </c>
      <c r="J217" s="622">
        <f t="shared" si="39"/>
        <v>0</v>
      </c>
      <c r="K217" s="622">
        <f t="shared" si="39"/>
        <v>0</v>
      </c>
      <c r="L217" s="319"/>
      <c r="M217" s="319"/>
      <c r="N217" s="319"/>
      <c r="O217" s="319"/>
      <c r="P217" s="319"/>
      <c r="Q217" s="302"/>
    </row>
    <row r="218" spans="1:17" s="71" customFormat="1" ht="24.95" customHeight="1" x14ac:dyDescent="0.2">
      <c r="A218" s="669" t="s">
        <v>8</v>
      </c>
      <c r="B218" s="669" t="s">
        <v>227</v>
      </c>
      <c r="C218" s="601"/>
      <c r="D218" s="601"/>
      <c r="E218" s="601"/>
      <c r="F218" s="302"/>
      <c r="G218" s="601"/>
      <c r="H218" s="725"/>
      <c r="I218" s="318"/>
      <c r="J218" s="319"/>
      <c r="K218" s="319"/>
      <c r="L218" s="319"/>
      <c r="M218" s="319"/>
      <c r="N218" s="319"/>
      <c r="O218" s="319"/>
      <c r="P218" s="319"/>
      <c r="Q218" s="302"/>
    </row>
    <row r="219" spans="1:17" s="71" customFormat="1" ht="24.95" customHeight="1" x14ac:dyDescent="0.2">
      <c r="A219" s="669">
        <v>1</v>
      </c>
      <c r="B219" s="627" t="s">
        <v>228</v>
      </c>
      <c r="C219" s="601"/>
      <c r="D219" s="601"/>
      <c r="E219" s="601"/>
      <c r="F219" s="302"/>
      <c r="G219" s="601"/>
      <c r="H219" s="725"/>
      <c r="I219" s="318"/>
      <c r="J219" s="319"/>
      <c r="K219" s="319"/>
      <c r="L219" s="319"/>
      <c r="M219" s="319"/>
      <c r="N219" s="319"/>
      <c r="O219" s="319"/>
      <c r="P219" s="319"/>
      <c r="Q219" s="302"/>
    </row>
    <row r="220" spans="1:17" s="71" customFormat="1" ht="24.95" customHeight="1" x14ac:dyDescent="0.2">
      <c r="A220" s="669" t="s">
        <v>149</v>
      </c>
      <c r="B220" s="627" t="s">
        <v>165</v>
      </c>
      <c r="C220" s="601"/>
      <c r="D220" s="601"/>
      <c r="E220" s="601"/>
      <c r="F220" s="322"/>
      <c r="G220" s="601"/>
      <c r="H220" s="329"/>
      <c r="I220" s="329"/>
      <c r="J220" s="319"/>
      <c r="K220" s="319"/>
      <c r="L220" s="319"/>
      <c r="M220" s="319"/>
      <c r="N220" s="319"/>
      <c r="O220" s="319"/>
      <c r="P220" s="319"/>
      <c r="Q220" s="302"/>
    </row>
    <row r="221" spans="1:17" s="71" customFormat="1" ht="24.95" customHeight="1" x14ac:dyDescent="0.2">
      <c r="A221" s="669"/>
      <c r="B221" s="627" t="s">
        <v>805</v>
      </c>
      <c r="C221" s="601"/>
      <c r="D221" s="601"/>
      <c r="E221" s="601"/>
      <c r="F221" s="382"/>
      <c r="G221" s="601"/>
      <c r="H221" s="518"/>
      <c r="I221" s="518"/>
      <c r="J221" s="526"/>
      <c r="K221" s="526"/>
      <c r="L221" s="526"/>
      <c r="M221" s="526"/>
      <c r="N221" s="526"/>
      <c r="O221" s="526"/>
      <c r="P221" s="526"/>
      <c r="Q221" s="606"/>
    </row>
    <row r="222" spans="1:17" s="71" customFormat="1" ht="24.95" customHeight="1" x14ac:dyDescent="0.2">
      <c r="A222" s="619" t="s">
        <v>229</v>
      </c>
      <c r="B222" s="628" t="s">
        <v>749</v>
      </c>
      <c r="C222" s="668">
        <v>5</v>
      </c>
      <c r="D222" s="667">
        <v>1</v>
      </c>
      <c r="E222" s="601">
        <v>25</v>
      </c>
      <c r="F222" s="322">
        <f t="shared" ref="F222:F223" si="40">I222+J222+K222</f>
        <v>3093.75</v>
      </c>
      <c r="G222" s="601">
        <v>50</v>
      </c>
      <c r="H222" s="725">
        <f t="shared" ref="H222:H223" si="41">C222*E222*G222</f>
        <v>6250</v>
      </c>
      <c r="I222" s="318">
        <f>IF(G222&lt;70, C222*E222*16.5*1.5, C222*E222*16.5*1.3*1.5)</f>
        <v>3093.75</v>
      </c>
      <c r="J222" s="319"/>
      <c r="K222" s="319"/>
      <c r="L222" s="319"/>
      <c r="M222" s="319"/>
      <c r="N222" s="319"/>
      <c r="O222" s="319"/>
      <c r="P222" s="319"/>
      <c r="Q222" s="302"/>
    </row>
    <row r="223" spans="1:17" s="71" customFormat="1" ht="24.95" customHeight="1" x14ac:dyDescent="0.2">
      <c r="A223" s="619" t="s">
        <v>230</v>
      </c>
      <c r="B223" s="628" t="s">
        <v>750</v>
      </c>
      <c r="C223" s="668">
        <v>5</v>
      </c>
      <c r="D223" s="667">
        <v>1</v>
      </c>
      <c r="E223" s="601">
        <v>26</v>
      </c>
      <c r="F223" s="322">
        <f t="shared" si="40"/>
        <v>3217.5</v>
      </c>
      <c r="G223" s="601">
        <v>50</v>
      </c>
      <c r="H223" s="725">
        <f t="shared" si="41"/>
        <v>6500</v>
      </c>
      <c r="I223" s="318">
        <f>IF(G223&lt;70, C223*E223*16.5*1.5, C223*E223*16.5*1.3*1.5)</f>
        <v>3217.5</v>
      </c>
      <c r="J223" s="319"/>
      <c r="K223" s="319"/>
      <c r="L223" s="319"/>
      <c r="M223" s="319"/>
      <c r="N223" s="319"/>
      <c r="O223" s="319"/>
      <c r="P223" s="319"/>
      <c r="Q223" s="302"/>
    </row>
    <row r="224" spans="1:17" s="71" customFormat="1" ht="24.95" customHeight="1" x14ac:dyDescent="0.2">
      <c r="A224" s="620"/>
      <c r="B224" s="621" t="s">
        <v>403</v>
      </c>
      <c r="C224" s="622">
        <f>SUM(C222:C223)</f>
        <v>10</v>
      </c>
      <c r="D224" s="622">
        <f t="shared" ref="D224:K224" si="42">SUM(D222:D223)</f>
        <v>2</v>
      </c>
      <c r="E224" s="622">
        <f t="shared" si="42"/>
        <v>51</v>
      </c>
      <c r="F224" s="622">
        <f t="shared" si="42"/>
        <v>6311.25</v>
      </c>
      <c r="G224" s="622">
        <f t="shared" si="42"/>
        <v>100</v>
      </c>
      <c r="H224" s="622">
        <f t="shared" si="42"/>
        <v>12750</v>
      </c>
      <c r="I224" s="622">
        <f t="shared" si="42"/>
        <v>6311.25</v>
      </c>
      <c r="J224" s="622">
        <f t="shared" si="42"/>
        <v>0</v>
      </c>
      <c r="K224" s="622">
        <f t="shared" si="42"/>
        <v>0</v>
      </c>
      <c r="L224" s="319"/>
      <c r="M224" s="319"/>
      <c r="N224" s="319"/>
      <c r="O224" s="319"/>
      <c r="P224" s="319"/>
      <c r="Q224" s="302"/>
    </row>
    <row r="225" spans="1:17" s="71" customFormat="1" ht="24.95" customHeight="1" x14ac:dyDescent="0.2">
      <c r="A225" s="671"/>
      <c r="B225" s="672" t="s">
        <v>447</v>
      </c>
      <c r="C225" s="539">
        <f>C207+C217+C224</f>
        <v>58</v>
      </c>
      <c r="D225" s="539">
        <f t="shared" ref="D225:K225" si="43">D207+D217+D224</f>
        <v>20.8</v>
      </c>
      <c r="E225" s="539">
        <f t="shared" si="43"/>
        <v>116</v>
      </c>
      <c r="F225" s="539">
        <f t="shared" si="43"/>
        <v>10050.150000000001</v>
      </c>
      <c r="G225" s="539">
        <f t="shared" si="43"/>
        <v>796</v>
      </c>
      <c r="H225" s="539">
        <f t="shared" si="43"/>
        <v>21711</v>
      </c>
      <c r="I225" s="539">
        <f t="shared" si="43"/>
        <v>10050.150000000001</v>
      </c>
      <c r="J225" s="539">
        <f t="shared" si="43"/>
        <v>0</v>
      </c>
      <c r="K225" s="539">
        <f t="shared" si="43"/>
        <v>0</v>
      </c>
      <c r="L225" s="648">
        <f>'Bieu3 TLH'!F22</f>
        <v>1620</v>
      </c>
      <c r="M225" s="648">
        <f>'Bieu3 TLH'!N22</f>
        <v>1498.5</v>
      </c>
      <c r="N225" s="648">
        <f>I225-M225</f>
        <v>8551.6500000000015</v>
      </c>
      <c r="O225" s="648">
        <f>'Bieu3 TLH'!O22</f>
        <v>1163.25</v>
      </c>
      <c r="P225" s="648">
        <f>'Bieu3 TLH'!P22</f>
        <v>590</v>
      </c>
      <c r="Q225" s="673" t="s">
        <v>769</v>
      </c>
    </row>
    <row r="226" spans="1:17" s="71" customFormat="1" ht="24.95" customHeight="1" x14ac:dyDescent="0.2">
      <c r="A226" s="662" t="s">
        <v>454</v>
      </c>
      <c r="B226" s="662" t="s">
        <v>455</v>
      </c>
      <c r="C226" s="663"/>
      <c r="D226" s="663"/>
      <c r="E226" s="663"/>
      <c r="F226" s="664"/>
      <c r="G226" s="663"/>
      <c r="H226" s="663"/>
      <c r="I226" s="663"/>
      <c r="J226" s="319"/>
      <c r="K226" s="319"/>
      <c r="L226" s="319"/>
      <c r="M226" s="319"/>
      <c r="N226" s="319"/>
      <c r="O226" s="319"/>
      <c r="P226" s="319"/>
      <c r="Q226" s="302"/>
    </row>
    <row r="227" spans="1:17" s="71" customFormat="1" ht="24.95" customHeight="1" x14ac:dyDescent="0.2">
      <c r="A227" s="662" t="s">
        <v>7</v>
      </c>
      <c r="B227" s="662" t="s">
        <v>226</v>
      </c>
      <c r="C227" s="663"/>
      <c r="D227" s="663"/>
      <c r="E227" s="663"/>
      <c r="F227" s="664"/>
      <c r="G227" s="663"/>
      <c r="H227" s="663"/>
      <c r="I227" s="663"/>
      <c r="J227" s="319"/>
      <c r="K227" s="319"/>
      <c r="L227" s="319"/>
      <c r="M227" s="319"/>
      <c r="N227" s="319"/>
      <c r="O227" s="319"/>
      <c r="P227" s="319"/>
      <c r="Q227" s="302"/>
    </row>
    <row r="228" spans="1:17" s="71" customFormat="1" ht="24.95" customHeight="1" x14ac:dyDescent="0.2">
      <c r="A228" s="662">
        <v>1</v>
      </c>
      <c r="B228" s="662" t="s">
        <v>4</v>
      </c>
      <c r="C228" s="663"/>
      <c r="D228" s="663"/>
      <c r="E228" s="663"/>
      <c r="F228" s="664"/>
      <c r="G228" s="663"/>
      <c r="H228" s="663"/>
      <c r="I228" s="663"/>
      <c r="J228" s="319"/>
      <c r="K228" s="319"/>
      <c r="L228" s="319"/>
      <c r="M228" s="319"/>
      <c r="N228" s="319"/>
      <c r="O228" s="319"/>
      <c r="P228" s="319"/>
      <c r="Q228" s="302"/>
    </row>
    <row r="229" spans="1:17" s="71" customFormat="1" ht="24.95" customHeight="1" x14ac:dyDescent="0.2">
      <c r="A229" s="669"/>
      <c r="B229" s="669" t="s">
        <v>806</v>
      </c>
      <c r="C229" s="736"/>
      <c r="D229" s="736"/>
      <c r="E229" s="736"/>
      <c r="F229" s="737"/>
      <c r="G229" s="736"/>
      <c r="H229" s="736"/>
      <c r="I229" s="736"/>
      <c r="J229" s="526"/>
      <c r="K229" s="526"/>
      <c r="L229" s="526"/>
      <c r="M229" s="526"/>
      <c r="N229" s="526"/>
      <c r="O229" s="526"/>
      <c r="P229" s="526"/>
      <c r="Q229" s="606"/>
    </row>
    <row r="230" spans="1:17" s="71" customFormat="1" ht="24.95" customHeight="1" x14ac:dyDescent="0.2">
      <c r="A230" s="599" t="s">
        <v>229</v>
      </c>
      <c r="B230" s="628" t="s">
        <v>751</v>
      </c>
      <c r="C230" s="604">
        <v>4</v>
      </c>
      <c r="D230" s="604">
        <v>1</v>
      </c>
      <c r="E230" s="604">
        <v>10</v>
      </c>
      <c r="F230" s="302">
        <f t="shared" ref="F230:F242" si="44">I230+J230+K230</f>
        <v>858</v>
      </c>
      <c r="G230" s="604">
        <v>70</v>
      </c>
      <c r="H230" s="725">
        <f t="shared" ref="H230:H242" si="45">C230*E230*G230</f>
        <v>2800</v>
      </c>
      <c r="I230" s="318">
        <f t="shared" ref="I230:I242" si="46">IF(G230&lt;70, C230*E230*16.5*1, C230*E230*16.5*1.3)</f>
        <v>858</v>
      </c>
      <c r="J230" s="319"/>
      <c r="K230" s="319"/>
      <c r="L230" s="319"/>
      <c r="M230" s="319"/>
      <c r="N230" s="319"/>
      <c r="O230" s="319"/>
      <c r="P230" s="319"/>
      <c r="Q230" s="302"/>
    </row>
    <row r="231" spans="1:17" s="71" customFormat="1" ht="24.95" customHeight="1" x14ac:dyDescent="0.2">
      <c r="A231" s="599"/>
      <c r="B231" s="627" t="s">
        <v>807</v>
      </c>
      <c r="C231" s="604"/>
      <c r="D231" s="604"/>
      <c r="E231" s="604"/>
      <c r="F231" s="606"/>
      <c r="G231" s="604"/>
      <c r="H231" s="601"/>
      <c r="I231" s="604"/>
      <c r="J231" s="526"/>
      <c r="K231" s="526"/>
      <c r="L231" s="526"/>
      <c r="M231" s="526"/>
      <c r="N231" s="526"/>
      <c r="O231" s="526"/>
      <c r="P231" s="526"/>
      <c r="Q231" s="606"/>
    </row>
    <row r="232" spans="1:17" s="71" customFormat="1" ht="24.95" customHeight="1" x14ac:dyDescent="0.2">
      <c r="A232" s="599" t="s">
        <v>230</v>
      </c>
      <c r="B232" s="628" t="s">
        <v>752</v>
      </c>
      <c r="C232" s="601">
        <v>3</v>
      </c>
      <c r="D232" s="601">
        <v>1</v>
      </c>
      <c r="E232" s="601">
        <v>4</v>
      </c>
      <c r="F232" s="302">
        <f t="shared" si="44"/>
        <v>257.40000000000003</v>
      </c>
      <c r="G232" s="601">
        <v>70</v>
      </c>
      <c r="H232" s="725">
        <f t="shared" si="45"/>
        <v>840</v>
      </c>
      <c r="I232" s="318">
        <f t="shared" si="46"/>
        <v>257.40000000000003</v>
      </c>
      <c r="J232" s="319"/>
      <c r="K232" s="319"/>
      <c r="L232" s="319"/>
      <c r="M232" s="319"/>
      <c r="N232" s="319"/>
      <c r="O232" s="319"/>
      <c r="P232" s="319"/>
      <c r="Q232" s="302"/>
    </row>
    <row r="233" spans="1:17" s="71" customFormat="1" ht="24.95" customHeight="1" x14ac:dyDescent="0.2">
      <c r="A233" s="599"/>
      <c r="B233" s="627" t="s">
        <v>808</v>
      </c>
      <c r="C233" s="601"/>
      <c r="D233" s="601"/>
      <c r="E233" s="601"/>
      <c r="F233" s="606"/>
      <c r="G233" s="601"/>
      <c r="H233" s="601"/>
      <c r="I233" s="604"/>
      <c r="J233" s="526"/>
      <c r="K233" s="526"/>
      <c r="L233" s="526"/>
      <c r="M233" s="526"/>
      <c r="N233" s="526"/>
      <c r="O233" s="526"/>
      <c r="P233" s="526"/>
      <c r="Q233" s="606"/>
    </row>
    <row r="234" spans="1:17" s="71" customFormat="1" ht="24.95" customHeight="1" x14ac:dyDescent="0.2">
      <c r="A234" s="599" t="s">
        <v>231</v>
      </c>
      <c r="B234" s="634" t="s">
        <v>449</v>
      </c>
      <c r="C234" s="601">
        <v>3</v>
      </c>
      <c r="D234" s="601">
        <v>1</v>
      </c>
      <c r="E234" s="601">
        <v>3</v>
      </c>
      <c r="F234" s="302">
        <f t="shared" si="44"/>
        <v>193.05</v>
      </c>
      <c r="G234" s="601">
        <v>70</v>
      </c>
      <c r="H234" s="725">
        <f t="shared" si="45"/>
        <v>630</v>
      </c>
      <c r="I234" s="318">
        <f t="shared" si="46"/>
        <v>193.05</v>
      </c>
      <c r="J234" s="319"/>
      <c r="K234" s="319"/>
      <c r="L234" s="319"/>
      <c r="M234" s="319"/>
      <c r="N234" s="319"/>
      <c r="O234" s="319"/>
      <c r="P234" s="319"/>
      <c r="Q234" s="302"/>
    </row>
    <row r="235" spans="1:17" s="71" customFormat="1" ht="24.95" customHeight="1" x14ac:dyDescent="0.2">
      <c r="A235" s="599" t="s">
        <v>232</v>
      </c>
      <c r="B235" s="634" t="s">
        <v>450</v>
      </c>
      <c r="C235" s="601">
        <v>4</v>
      </c>
      <c r="D235" s="601">
        <v>1</v>
      </c>
      <c r="E235" s="601">
        <v>3</v>
      </c>
      <c r="F235" s="302">
        <f t="shared" si="44"/>
        <v>257.40000000000003</v>
      </c>
      <c r="G235" s="601">
        <v>70</v>
      </c>
      <c r="H235" s="725">
        <f t="shared" si="45"/>
        <v>840</v>
      </c>
      <c r="I235" s="318">
        <f t="shared" si="46"/>
        <v>257.40000000000003</v>
      </c>
      <c r="J235" s="319"/>
      <c r="K235" s="319"/>
      <c r="L235" s="319"/>
      <c r="M235" s="319"/>
      <c r="N235" s="319"/>
      <c r="O235" s="319"/>
      <c r="P235" s="319"/>
      <c r="Q235" s="302"/>
    </row>
    <row r="236" spans="1:17" s="71" customFormat="1" ht="24.95" customHeight="1" x14ac:dyDescent="0.2">
      <c r="A236" s="599"/>
      <c r="B236" s="660" t="s">
        <v>809</v>
      </c>
      <c r="C236" s="601"/>
      <c r="D236" s="601"/>
      <c r="E236" s="601"/>
      <c r="F236" s="606"/>
      <c r="G236" s="601"/>
      <c r="H236" s="601"/>
      <c r="I236" s="604"/>
      <c r="J236" s="526"/>
      <c r="K236" s="526"/>
      <c r="L236" s="526"/>
      <c r="M236" s="526"/>
      <c r="N236" s="526"/>
      <c r="O236" s="526"/>
      <c r="P236" s="526"/>
      <c r="Q236" s="606"/>
    </row>
    <row r="237" spans="1:17" s="71" customFormat="1" ht="24.95" customHeight="1" x14ac:dyDescent="0.2">
      <c r="A237" s="599" t="s">
        <v>233</v>
      </c>
      <c r="B237" s="634" t="s">
        <v>451</v>
      </c>
      <c r="C237" s="601">
        <v>4</v>
      </c>
      <c r="D237" s="601">
        <v>1</v>
      </c>
      <c r="E237" s="601">
        <v>4</v>
      </c>
      <c r="F237" s="302">
        <f t="shared" si="44"/>
        <v>343.2</v>
      </c>
      <c r="G237" s="601">
        <v>70</v>
      </c>
      <c r="H237" s="725">
        <f t="shared" si="45"/>
        <v>1120</v>
      </c>
      <c r="I237" s="318">
        <f t="shared" si="46"/>
        <v>343.2</v>
      </c>
      <c r="J237" s="319"/>
      <c r="K237" s="319"/>
      <c r="L237" s="319"/>
      <c r="M237" s="319"/>
      <c r="N237" s="319"/>
      <c r="O237" s="319"/>
      <c r="P237" s="319"/>
      <c r="Q237" s="302"/>
    </row>
    <row r="238" spans="1:17" s="71" customFormat="1" ht="24.95" customHeight="1" x14ac:dyDescent="0.2">
      <c r="A238" s="599" t="s">
        <v>234</v>
      </c>
      <c r="B238" s="629" t="s">
        <v>452</v>
      </c>
      <c r="C238" s="601">
        <v>4</v>
      </c>
      <c r="D238" s="601">
        <v>1</v>
      </c>
      <c r="E238" s="601">
        <v>1</v>
      </c>
      <c r="F238" s="302">
        <f t="shared" si="44"/>
        <v>85.8</v>
      </c>
      <c r="G238" s="601">
        <v>70</v>
      </c>
      <c r="H238" s="725">
        <f t="shared" si="45"/>
        <v>280</v>
      </c>
      <c r="I238" s="318">
        <f t="shared" si="46"/>
        <v>85.8</v>
      </c>
      <c r="J238" s="319"/>
      <c r="K238" s="319"/>
      <c r="L238" s="319"/>
      <c r="M238" s="319"/>
      <c r="N238" s="319"/>
      <c r="O238" s="319"/>
      <c r="P238" s="319"/>
      <c r="Q238" s="302"/>
    </row>
    <row r="239" spans="1:17" s="71" customFormat="1" ht="24.95" customHeight="1" x14ac:dyDescent="0.2">
      <c r="A239" s="599" t="s">
        <v>753</v>
      </c>
      <c r="B239" s="629" t="s">
        <v>754</v>
      </c>
      <c r="C239" s="601">
        <v>2</v>
      </c>
      <c r="D239" s="601">
        <v>1</v>
      </c>
      <c r="E239" s="601">
        <v>4</v>
      </c>
      <c r="F239" s="302">
        <f t="shared" si="44"/>
        <v>171.6</v>
      </c>
      <c r="G239" s="601">
        <v>70</v>
      </c>
      <c r="H239" s="725">
        <f t="shared" si="45"/>
        <v>560</v>
      </c>
      <c r="I239" s="318">
        <f t="shared" si="46"/>
        <v>171.6</v>
      </c>
      <c r="J239" s="319"/>
      <c r="K239" s="319"/>
      <c r="L239" s="319"/>
      <c r="M239" s="319"/>
      <c r="N239" s="319"/>
      <c r="O239" s="319"/>
      <c r="P239" s="319"/>
      <c r="Q239" s="302"/>
    </row>
    <row r="240" spans="1:17" s="71" customFormat="1" ht="24.95" customHeight="1" x14ac:dyDescent="0.2">
      <c r="A240" s="599"/>
      <c r="B240" s="732" t="s">
        <v>810</v>
      </c>
      <c r="C240" s="601"/>
      <c r="D240" s="601"/>
      <c r="E240" s="601"/>
      <c r="F240" s="606"/>
      <c r="G240" s="601"/>
      <c r="H240" s="601"/>
      <c r="I240" s="604"/>
      <c r="J240" s="526"/>
      <c r="K240" s="526"/>
      <c r="L240" s="526"/>
      <c r="M240" s="526"/>
      <c r="N240" s="526"/>
      <c r="O240" s="526"/>
      <c r="P240" s="526"/>
      <c r="Q240" s="606"/>
    </row>
    <row r="241" spans="1:17" s="71" customFormat="1" ht="24.95" customHeight="1" x14ac:dyDescent="0.2">
      <c r="A241" s="599" t="s">
        <v>755</v>
      </c>
      <c r="B241" s="629" t="s">
        <v>756</v>
      </c>
      <c r="C241" s="601">
        <v>2</v>
      </c>
      <c r="D241" s="601">
        <v>1</v>
      </c>
      <c r="E241" s="601">
        <v>10</v>
      </c>
      <c r="F241" s="302">
        <f t="shared" si="44"/>
        <v>429</v>
      </c>
      <c r="G241" s="601">
        <v>70</v>
      </c>
      <c r="H241" s="725">
        <f t="shared" si="45"/>
        <v>1400</v>
      </c>
      <c r="I241" s="318">
        <f t="shared" si="46"/>
        <v>429</v>
      </c>
      <c r="J241" s="319"/>
      <c r="K241" s="319"/>
      <c r="L241" s="319"/>
      <c r="M241" s="319"/>
      <c r="N241" s="319"/>
      <c r="O241" s="319"/>
      <c r="P241" s="319"/>
      <c r="Q241" s="302"/>
    </row>
    <row r="242" spans="1:17" s="71" customFormat="1" ht="24.95" customHeight="1" x14ac:dyDescent="0.2">
      <c r="A242" s="599" t="s">
        <v>285</v>
      </c>
      <c r="B242" s="629" t="s">
        <v>453</v>
      </c>
      <c r="C242" s="601">
        <v>3</v>
      </c>
      <c r="D242" s="601">
        <v>1</v>
      </c>
      <c r="E242" s="601">
        <v>4</v>
      </c>
      <c r="F242" s="302">
        <f t="shared" si="44"/>
        <v>257.40000000000003</v>
      </c>
      <c r="G242" s="601">
        <v>70</v>
      </c>
      <c r="H242" s="725">
        <f t="shared" si="45"/>
        <v>840</v>
      </c>
      <c r="I242" s="318">
        <f t="shared" si="46"/>
        <v>257.40000000000003</v>
      </c>
      <c r="J242" s="319"/>
      <c r="K242" s="319"/>
      <c r="L242" s="319"/>
      <c r="M242" s="319"/>
      <c r="N242" s="319"/>
      <c r="O242" s="319"/>
      <c r="P242" s="319"/>
      <c r="Q242" s="302"/>
    </row>
    <row r="243" spans="1:17" s="71" customFormat="1" ht="24.95" customHeight="1" x14ac:dyDescent="0.2">
      <c r="A243" s="620"/>
      <c r="B243" s="621" t="s">
        <v>403</v>
      </c>
      <c r="C243" s="622">
        <f t="shared" ref="C243:K243" si="47">SUM(C230:C242)</f>
        <v>29</v>
      </c>
      <c r="D243" s="622">
        <f t="shared" si="47"/>
        <v>9</v>
      </c>
      <c r="E243" s="622">
        <f t="shared" si="47"/>
        <v>43</v>
      </c>
      <c r="F243" s="622">
        <f t="shared" si="47"/>
        <v>2852.8500000000004</v>
      </c>
      <c r="G243" s="622">
        <f t="shared" si="47"/>
        <v>630</v>
      </c>
      <c r="H243" s="622">
        <f t="shared" si="47"/>
        <v>9310</v>
      </c>
      <c r="I243" s="622">
        <f t="shared" si="47"/>
        <v>2852.8500000000004</v>
      </c>
      <c r="J243" s="622">
        <f t="shared" si="47"/>
        <v>0</v>
      </c>
      <c r="K243" s="622">
        <f t="shared" si="47"/>
        <v>0</v>
      </c>
      <c r="L243" s="319"/>
      <c r="M243" s="319"/>
      <c r="N243" s="319"/>
      <c r="O243" s="319"/>
      <c r="P243" s="319"/>
      <c r="Q243" s="302"/>
    </row>
    <row r="244" spans="1:17" s="71" customFormat="1" ht="24.95" customHeight="1" x14ac:dyDescent="0.2">
      <c r="A244" s="617" t="s">
        <v>150</v>
      </c>
      <c r="B244" s="618" t="s">
        <v>153</v>
      </c>
      <c r="C244" s="601"/>
      <c r="D244" s="601"/>
      <c r="E244" s="601"/>
      <c r="F244" s="725"/>
      <c r="G244" s="601"/>
      <c r="H244" s="725"/>
      <c r="I244" s="319"/>
      <c r="J244" s="319"/>
      <c r="K244" s="319"/>
      <c r="L244" s="319"/>
      <c r="M244" s="319"/>
      <c r="N244" s="319"/>
      <c r="O244" s="319"/>
      <c r="P244" s="319"/>
      <c r="Q244" s="302"/>
    </row>
    <row r="245" spans="1:17" s="71" customFormat="1" ht="24.95" customHeight="1" x14ac:dyDescent="0.2">
      <c r="A245" s="619" t="s">
        <v>235</v>
      </c>
      <c r="B245" s="599" t="s">
        <v>156</v>
      </c>
      <c r="C245" s="601"/>
      <c r="D245" s="601"/>
      <c r="E245" s="601"/>
      <c r="F245" s="725"/>
      <c r="G245" s="601"/>
      <c r="H245" s="725"/>
      <c r="I245" s="319"/>
      <c r="J245" s="319"/>
      <c r="K245" s="319"/>
      <c r="L245" s="319"/>
      <c r="M245" s="319"/>
      <c r="N245" s="319"/>
      <c r="O245" s="319"/>
      <c r="P245" s="319"/>
      <c r="Q245" s="302"/>
    </row>
    <row r="246" spans="1:17" s="71" customFormat="1" ht="24.95" customHeight="1" x14ac:dyDescent="0.2">
      <c r="A246" s="619" t="s">
        <v>236</v>
      </c>
      <c r="B246" s="599" t="s">
        <v>155</v>
      </c>
      <c r="C246" s="601"/>
      <c r="D246" s="601"/>
      <c r="E246" s="601"/>
      <c r="F246" s="725"/>
      <c r="G246" s="601"/>
      <c r="H246" s="725"/>
      <c r="I246" s="319"/>
      <c r="J246" s="319"/>
      <c r="K246" s="319"/>
      <c r="L246" s="319"/>
      <c r="M246" s="319"/>
      <c r="N246" s="319"/>
      <c r="O246" s="319"/>
      <c r="P246" s="319"/>
      <c r="Q246" s="302"/>
    </row>
    <row r="247" spans="1:17" s="71" customFormat="1" ht="24.95" customHeight="1" x14ac:dyDescent="0.2">
      <c r="A247" s="619" t="s">
        <v>237</v>
      </c>
      <c r="B247" s="599" t="s">
        <v>157</v>
      </c>
      <c r="C247" s="601"/>
      <c r="D247" s="601"/>
      <c r="E247" s="601"/>
      <c r="F247" s="725"/>
      <c r="G247" s="601"/>
      <c r="H247" s="725"/>
      <c r="I247" s="319"/>
      <c r="J247" s="319"/>
      <c r="K247" s="319"/>
      <c r="L247" s="319"/>
      <c r="M247" s="319"/>
      <c r="N247" s="319"/>
      <c r="O247" s="319"/>
      <c r="P247" s="319"/>
      <c r="Q247" s="302"/>
    </row>
    <row r="248" spans="1:17" s="71" customFormat="1" ht="24.95" customHeight="1" x14ac:dyDescent="0.2">
      <c r="A248" s="619" t="s">
        <v>238</v>
      </c>
      <c r="B248" s="599" t="s">
        <v>158</v>
      </c>
      <c r="C248" s="601"/>
      <c r="D248" s="601"/>
      <c r="E248" s="601"/>
      <c r="F248" s="725"/>
      <c r="G248" s="601"/>
      <c r="H248" s="725"/>
      <c r="I248" s="319"/>
      <c r="J248" s="319"/>
      <c r="K248" s="319"/>
      <c r="L248" s="319"/>
      <c r="M248" s="319"/>
      <c r="N248" s="319"/>
      <c r="O248" s="319"/>
      <c r="P248" s="319"/>
      <c r="Q248" s="302"/>
    </row>
    <row r="249" spans="1:17" s="71" customFormat="1" ht="24.95" customHeight="1" x14ac:dyDescent="0.2">
      <c r="A249" s="619" t="s">
        <v>239</v>
      </c>
      <c r="B249" s="599" t="s">
        <v>159</v>
      </c>
      <c r="C249" s="601"/>
      <c r="D249" s="601"/>
      <c r="E249" s="601"/>
      <c r="F249" s="725"/>
      <c r="G249" s="601"/>
      <c r="H249" s="725"/>
      <c r="I249" s="319"/>
      <c r="J249" s="319"/>
      <c r="K249" s="319"/>
      <c r="L249" s="319"/>
      <c r="M249" s="319"/>
      <c r="N249" s="319"/>
      <c r="O249" s="319"/>
      <c r="P249" s="319"/>
      <c r="Q249" s="302"/>
    </row>
    <row r="250" spans="1:17" s="71" customFormat="1" ht="24.95" customHeight="1" x14ac:dyDescent="0.2">
      <c r="A250" s="669">
        <v>2</v>
      </c>
      <c r="B250" s="669" t="s">
        <v>166</v>
      </c>
      <c r="C250" s="601"/>
      <c r="D250" s="601"/>
      <c r="E250" s="601"/>
      <c r="F250" s="725"/>
      <c r="G250" s="601"/>
      <c r="H250" s="725"/>
      <c r="I250" s="319"/>
      <c r="J250" s="319"/>
      <c r="K250" s="319"/>
      <c r="L250" s="319"/>
      <c r="M250" s="319"/>
      <c r="N250" s="319"/>
      <c r="O250" s="319"/>
      <c r="P250" s="319"/>
      <c r="Q250" s="302"/>
    </row>
    <row r="251" spans="1:17" s="71" customFormat="1" ht="24.95" customHeight="1" x14ac:dyDescent="0.2">
      <c r="A251" s="626" t="s">
        <v>149</v>
      </c>
      <c r="B251" s="627" t="s">
        <v>167</v>
      </c>
      <c r="C251" s="601"/>
      <c r="D251" s="601"/>
      <c r="E251" s="601"/>
      <c r="F251" s="302"/>
      <c r="G251" s="601"/>
      <c r="H251" s="725"/>
      <c r="I251" s="318"/>
      <c r="J251" s="319"/>
      <c r="K251" s="319"/>
      <c r="L251" s="319"/>
      <c r="M251" s="319"/>
      <c r="N251" s="319"/>
      <c r="O251" s="319"/>
      <c r="P251" s="319"/>
      <c r="Q251" s="302"/>
    </row>
    <row r="252" spans="1:17" s="71" customFormat="1" ht="24.95" customHeight="1" x14ac:dyDescent="0.2">
      <c r="A252" s="626"/>
      <c r="B252" s="627" t="s">
        <v>806</v>
      </c>
      <c r="C252" s="601"/>
      <c r="D252" s="601"/>
      <c r="E252" s="601"/>
      <c r="F252" s="606"/>
      <c r="G252" s="601"/>
      <c r="H252" s="601"/>
      <c r="I252" s="604"/>
      <c r="J252" s="526"/>
      <c r="K252" s="526"/>
      <c r="L252" s="526"/>
      <c r="M252" s="526"/>
      <c r="N252" s="526"/>
      <c r="O252" s="526"/>
      <c r="P252" s="526"/>
      <c r="Q252" s="606"/>
    </row>
    <row r="253" spans="1:17" s="71" customFormat="1" ht="24.95" customHeight="1" x14ac:dyDescent="0.2">
      <c r="A253" s="599" t="s">
        <v>229</v>
      </c>
      <c r="B253" s="634" t="s">
        <v>456</v>
      </c>
      <c r="C253" s="601">
        <v>3</v>
      </c>
      <c r="D253" s="601">
        <v>1</v>
      </c>
      <c r="E253" s="601">
        <v>3</v>
      </c>
      <c r="F253" s="302">
        <f t="shared" ref="F253:F256" si="48">I253+J253+K253</f>
        <v>222.75</v>
      </c>
      <c r="G253" s="601">
        <v>25</v>
      </c>
      <c r="H253" s="725">
        <f>C253*E253*G253</f>
        <v>225</v>
      </c>
      <c r="I253" s="318">
        <f t="shared" ref="I253:I256" si="49">IF(G253&lt;70, C253*E253*16.5*1.5, C253*E253*16.5*1.5)</f>
        <v>222.75</v>
      </c>
      <c r="J253" s="319"/>
      <c r="K253" s="319"/>
      <c r="L253" s="319"/>
      <c r="M253" s="319"/>
      <c r="N253" s="319"/>
      <c r="O253" s="319"/>
      <c r="P253" s="319"/>
      <c r="Q253" s="302"/>
    </row>
    <row r="254" spans="1:17" s="71" customFormat="1" ht="24.95" customHeight="1" x14ac:dyDescent="0.2">
      <c r="A254" s="599" t="s">
        <v>230</v>
      </c>
      <c r="B254" s="634" t="s">
        <v>457</v>
      </c>
      <c r="C254" s="601">
        <v>3</v>
      </c>
      <c r="D254" s="601">
        <v>1</v>
      </c>
      <c r="E254" s="601">
        <v>1</v>
      </c>
      <c r="F254" s="302">
        <f t="shared" si="48"/>
        <v>74.25</v>
      </c>
      <c r="G254" s="601">
        <v>15</v>
      </c>
      <c r="H254" s="725">
        <f t="shared" ref="H254:H256" si="50">C254*E254*G254</f>
        <v>45</v>
      </c>
      <c r="I254" s="318">
        <f t="shared" si="49"/>
        <v>74.25</v>
      </c>
      <c r="J254" s="319"/>
      <c r="K254" s="319"/>
      <c r="L254" s="319"/>
      <c r="M254" s="319"/>
      <c r="N254" s="319"/>
      <c r="O254" s="319"/>
      <c r="P254" s="319"/>
      <c r="Q254" s="302"/>
    </row>
    <row r="255" spans="1:17" s="71" customFormat="1" ht="24.95" customHeight="1" x14ac:dyDescent="0.2">
      <c r="A255" s="599"/>
      <c r="B255" s="634" t="s">
        <v>757</v>
      </c>
      <c r="C255" s="601">
        <v>3</v>
      </c>
      <c r="D255" s="601">
        <v>1</v>
      </c>
      <c r="E255" s="601">
        <v>1</v>
      </c>
      <c r="F255" s="302">
        <f t="shared" si="48"/>
        <v>74.25</v>
      </c>
      <c r="G255" s="601">
        <v>15</v>
      </c>
      <c r="H255" s="725">
        <f t="shared" si="50"/>
        <v>45</v>
      </c>
      <c r="I255" s="318">
        <f t="shared" si="49"/>
        <v>74.25</v>
      </c>
      <c r="J255" s="319"/>
      <c r="K255" s="319"/>
      <c r="L255" s="319"/>
      <c r="M255" s="319"/>
      <c r="N255" s="319"/>
      <c r="O255" s="319"/>
      <c r="P255" s="319"/>
      <c r="Q255" s="302"/>
    </row>
    <row r="256" spans="1:17" s="71" customFormat="1" ht="24.95" customHeight="1" x14ac:dyDescent="0.2">
      <c r="A256" s="599" t="s">
        <v>231</v>
      </c>
      <c r="B256" s="628" t="s">
        <v>458</v>
      </c>
      <c r="C256" s="601">
        <v>3</v>
      </c>
      <c r="D256" s="601">
        <v>1</v>
      </c>
      <c r="E256" s="601">
        <v>3</v>
      </c>
      <c r="F256" s="302">
        <f t="shared" si="48"/>
        <v>222.75</v>
      </c>
      <c r="G256" s="601">
        <v>25</v>
      </c>
      <c r="H256" s="725">
        <f t="shared" si="50"/>
        <v>225</v>
      </c>
      <c r="I256" s="318">
        <f t="shared" si="49"/>
        <v>222.75</v>
      </c>
      <c r="J256" s="319"/>
      <c r="K256" s="319"/>
      <c r="L256" s="319"/>
      <c r="M256" s="319"/>
      <c r="N256" s="319"/>
      <c r="O256" s="319"/>
      <c r="P256" s="319"/>
      <c r="Q256" s="302"/>
    </row>
    <row r="257" spans="1:17" s="71" customFormat="1" ht="24.95" customHeight="1" x14ac:dyDescent="0.2">
      <c r="A257" s="617" t="s">
        <v>150</v>
      </c>
      <c r="B257" s="618" t="s">
        <v>758</v>
      </c>
      <c r="C257" s="601"/>
      <c r="D257" s="601"/>
      <c r="E257" s="601"/>
      <c r="F257" s="725"/>
      <c r="G257" s="601"/>
      <c r="H257" s="725"/>
      <c r="I257" s="319"/>
      <c r="J257" s="319"/>
      <c r="K257" s="319"/>
      <c r="L257" s="319"/>
      <c r="M257" s="319"/>
      <c r="N257" s="319"/>
      <c r="O257" s="319"/>
      <c r="P257" s="319"/>
      <c r="Q257" s="302"/>
    </row>
    <row r="258" spans="1:17" s="71" customFormat="1" ht="24.95" customHeight="1" x14ac:dyDescent="0.2">
      <c r="A258" s="669">
        <v>3</v>
      </c>
      <c r="B258" s="669" t="s">
        <v>168</v>
      </c>
      <c r="C258" s="601"/>
      <c r="D258" s="601"/>
      <c r="E258" s="601"/>
      <c r="F258" s="725"/>
      <c r="G258" s="601"/>
      <c r="H258" s="725"/>
      <c r="I258" s="319"/>
      <c r="J258" s="319"/>
      <c r="K258" s="319"/>
      <c r="L258" s="319"/>
      <c r="M258" s="319"/>
      <c r="N258" s="319"/>
      <c r="O258" s="319"/>
      <c r="P258" s="319"/>
      <c r="Q258" s="302"/>
    </row>
    <row r="259" spans="1:17" s="71" customFormat="1" ht="24.95" customHeight="1" x14ac:dyDescent="0.2">
      <c r="A259" s="626" t="s">
        <v>149</v>
      </c>
      <c r="B259" s="627" t="s">
        <v>169</v>
      </c>
      <c r="C259" s="601"/>
      <c r="D259" s="601"/>
      <c r="E259" s="601"/>
      <c r="F259" s="725"/>
      <c r="G259" s="601"/>
      <c r="H259" s="725"/>
      <c r="I259" s="319"/>
      <c r="J259" s="319"/>
      <c r="K259" s="319"/>
      <c r="L259" s="319"/>
      <c r="M259" s="319"/>
      <c r="N259" s="319"/>
      <c r="O259" s="319"/>
      <c r="P259" s="319"/>
      <c r="Q259" s="302"/>
    </row>
    <row r="260" spans="1:17" s="71" customFormat="1" ht="24.95" customHeight="1" x14ac:dyDescent="0.2">
      <c r="A260" s="617" t="s">
        <v>150</v>
      </c>
      <c r="B260" s="618" t="s">
        <v>170</v>
      </c>
      <c r="C260" s="601"/>
      <c r="D260" s="601"/>
      <c r="E260" s="601"/>
      <c r="F260" s="725"/>
      <c r="G260" s="601"/>
      <c r="H260" s="596"/>
      <c r="I260" s="596"/>
      <c r="J260" s="319"/>
      <c r="K260" s="319"/>
      <c r="L260" s="319"/>
      <c r="M260" s="319"/>
      <c r="N260" s="319"/>
      <c r="O260" s="319"/>
      <c r="P260" s="319"/>
      <c r="Q260" s="302"/>
    </row>
    <row r="261" spans="1:17" s="71" customFormat="1" ht="24.95" customHeight="1" x14ac:dyDescent="0.2">
      <c r="A261" s="617" t="s">
        <v>171</v>
      </c>
      <c r="B261" s="618" t="s">
        <v>172</v>
      </c>
      <c r="C261" s="601"/>
      <c r="D261" s="601"/>
      <c r="E261" s="601"/>
      <c r="F261" s="725"/>
      <c r="G261" s="601"/>
      <c r="H261" s="725"/>
      <c r="I261" s="319"/>
      <c r="J261" s="319"/>
      <c r="K261" s="319"/>
      <c r="L261" s="319"/>
      <c r="M261" s="319"/>
      <c r="N261" s="319"/>
      <c r="O261" s="319"/>
      <c r="P261" s="319"/>
      <c r="Q261" s="302"/>
    </row>
    <row r="262" spans="1:17" s="71" customFormat="1" ht="24.95" customHeight="1" x14ac:dyDescent="0.2">
      <c r="A262" s="620"/>
      <c r="B262" s="621" t="s">
        <v>461</v>
      </c>
      <c r="C262" s="622">
        <f>SUM(C253:C261)</f>
        <v>12</v>
      </c>
      <c r="D262" s="622">
        <f t="shared" ref="D262:K262" si="51">SUM(D253:D261)</f>
        <v>4</v>
      </c>
      <c r="E262" s="622">
        <f t="shared" si="51"/>
        <v>8</v>
      </c>
      <c r="F262" s="622">
        <f t="shared" si="51"/>
        <v>594</v>
      </c>
      <c r="G262" s="622">
        <f t="shared" si="51"/>
        <v>80</v>
      </c>
      <c r="H262" s="622">
        <f t="shared" si="51"/>
        <v>540</v>
      </c>
      <c r="I262" s="622">
        <f t="shared" si="51"/>
        <v>594</v>
      </c>
      <c r="J262" s="622">
        <f t="shared" si="51"/>
        <v>0</v>
      </c>
      <c r="K262" s="622">
        <f t="shared" si="51"/>
        <v>0</v>
      </c>
      <c r="L262" s="319"/>
      <c r="M262" s="319"/>
      <c r="N262" s="319"/>
      <c r="O262" s="319"/>
      <c r="P262" s="319"/>
      <c r="Q262" s="302"/>
    </row>
    <row r="263" spans="1:17" s="71" customFormat="1" ht="24.95" customHeight="1" x14ac:dyDescent="0.2">
      <c r="A263" s="669" t="s">
        <v>8</v>
      </c>
      <c r="B263" s="669" t="s">
        <v>227</v>
      </c>
      <c r="C263" s="601"/>
      <c r="D263" s="601"/>
      <c r="E263" s="601"/>
      <c r="F263" s="725"/>
      <c r="G263" s="601"/>
      <c r="H263" s="725"/>
      <c r="I263" s="319"/>
      <c r="J263" s="319"/>
      <c r="K263" s="319"/>
      <c r="L263" s="319"/>
      <c r="M263" s="319"/>
      <c r="N263" s="319"/>
      <c r="O263" s="319"/>
      <c r="P263" s="319"/>
      <c r="Q263" s="302"/>
    </row>
    <row r="264" spans="1:17" s="71" customFormat="1" ht="24.95" customHeight="1" x14ac:dyDescent="0.2">
      <c r="A264" s="669">
        <v>1</v>
      </c>
      <c r="B264" s="627" t="s">
        <v>228</v>
      </c>
      <c r="C264" s="601"/>
      <c r="D264" s="601"/>
      <c r="E264" s="601"/>
      <c r="F264" s="302"/>
      <c r="G264" s="601"/>
      <c r="H264" s="725"/>
      <c r="I264" s="318"/>
      <c r="J264" s="319"/>
      <c r="K264" s="319"/>
      <c r="L264" s="319"/>
      <c r="M264" s="319"/>
      <c r="N264" s="319"/>
      <c r="O264" s="319"/>
      <c r="P264" s="319"/>
      <c r="Q264" s="302"/>
    </row>
    <row r="265" spans="1:17" s="71" customFormat="1" ht="24.95" customHeight="1" x14ac:dyDescent="0.2">
      <c r="A265" s="669" t="s">
        <v>149</v>
      </c>
      <c r="B265" s="627" t="s">
        <v>165</v>
      </c>
      <c r="C265" s="601"/>
      <c r="D265" s="601"/>
      <c r="E265" s="601"/>
      <c r="F265" s="302"/>
      <c r="G265" s="601"/>
      <c r="H265" s="725"/>
      <c r="I265" s="318"/>
      <c r="J265" s="319"/>
      <c r="K265" s="319"/>
      <c r="L265" s="319"/>
      <c r="M265" s="319"/>
      <c r="N265" s="319"/>
      <c r="O265" s="319"/>
      <c r="P265" s="319"/>
      <c r="Q265" s="302"/>
    </row>
    <row r="266" spans="1:17" s="71" customFormat="1" ht="24.95" customHeight="1" x14ac:dyDescent="0.2">
      <c r="A266" s="669"/>
      <c r="B266" s="627" t="s">
        <v>807</v>
      </c>
      <c r="C266" s="601"/>
      <c r="D266" s="601"/>
      <c r="E266" s="601"/>
      <c r="F266" s="606"/>
      <c r="G266" s="601"/>
      <c r="H266" s="601"/>
      <c r="I266" s="604"/>
      <c r="J266" s="526"/>
      <c r="K266" s="526"/>
      <c r="L266" s="526"/>
      <c r="M266" s="526"/>
      <c r="N266" s="526"/>
      <c r="O266" s="526"/>
      <c r="P266" s="526"/>
      <c r="Q266" s="606"/>
    </row>
    <row r="267" spans="1:17" s="71" customFormat="1" ht="24.95" customHeight="1" x14ac:dyDescent="0.2">
      <c r="A267" s="619" t="s">
        <v>229</v>
      </c>
      <c r="B267" s="634" t="s">
        <v>759</v>
      </c>
      <c r="C267" s="601">
        <v>5</v>
      </c>
      <c r="D267" s="601">
        <v>1</v>
      </c>
      <c r="E267" s="601">
        <v>16</v>
      </c>
      <c r="F267" s="302">
        <f t="shared" ref="F267:F276" si="52">I267+J267+K267</f>
        <v>1320</v>
      </c>
      <c r="G267" s="601">
        <v>60</v>
      </c>
      <c r="H267" s="725">
        <f>C267*E267*G267</f>
        <v>4800</v>
      </c>
      <c r="I267" s="318">
        <f t="shared" ref="I267:I276" si="53">IF(G267&lt;70, C267*E267*16.5*1, C267*E267*16.5*1.3)</f>
        <v>1320</v>
      </c>
      <c r="J267" s="319"/>
      <c r="K267" s="319"/>
      <c r="L267" s="319"/>
      <c r="M267" s="319"/>
      <c r="N267" s="319"/>
      <c r="O267" s="319"/>
      <c r="P267" s="319"/>
      <c r="Q267" s="302"/>
    </row>
    <row r="268" spans="1:17" s="71" customFormat="1" ht="24.95" customHeight="1" x14ac:dyDescent="0.2">
      <c r="A268" s="619"/>
      <c r="B268" s="660" t="s">
        <v>809</v>
      </c>
      <c r="C268" s="601"/>
      <c r="D268" s="601"/>
      <c r="E268" s="601"/>
      <c r="F268" s="606"/>
      <c r="G268" s="601"/>
      <c r="H268" s="601"/>
      <c r="I268" s="604"/>
      <c r="J268" s="526"/>
      <c r="K268" s="526"/>
      <c r="L268" s="526"/>
      <c r="M268" s="526"/>
      <c r="N268" s="526"/>
      <c r="O268" s="526"/>
      <c r="P268" s="526"/>
      <c r="Q268" s="606"/>
    </row>
    <row r="269" spans="1:17" s="71" customFormat="1" ht="24.95" customHeight="1" x14ac:dyDescent="0.2">
      <c r="A269" s="619" t="s">
        <v>230</v>
      </c>
      <c r="B269" s="634" t="s">
        <v>459</v>
      </c>
      <c r="C269" s="601">
        <v>5</v>
      </c>
      <c r="D269" s="601">
        <v>1</v>
      </c>
      <c r="E269" s="601">
        <v>7</v>
      </c>
      <c r="F269" s="302">
        <f t="shared" si="52"/>
        <v>577.5</v>
      </c>
      <c r="G269" s="601">
        <v>60</v>
      </c>
      <c r="H269" s="725">
        <f t="shared" ref="H269:H276" si="54">C269*E269*G269</f>
        <v>2100</v>
      </c>
      <c r="I269" s="318">
        <f t="shared" si="53"/>
        <v>577.5</v>
      </c>
      <c r="J269" s="319"/>
      <c r="K269" s="319"/>
      <c r="L269" s="319"/>
      <c r="M269" s="319"/>
      <c r="N269" s="319"/>
      <c r="O269" s="319"/>
      <c r="P269" s="319"/>
      <c r="Q269" s="302"/>
    </row>
    <row r="270" spans="1:17" s="71" customFormat="1" ht="24.95" customHeight="1" x14ac:dyDescent="0.2">
      <c r="A270" s="619" t="s">
        <v>231</v>
      </c>
      <c r="B270" s="634" t="s">
        <v>448</v>
      </c>
      <c r="C270" s="601">
        <v>3</v>
      </c>
      <c r="D270" s="601">
        <v>1</v>
      </c>
      <c r="E270" s="601">
        <v>16</v>
      </c>
      <c r="F270" s="302">
        <f t="shared" si="52"/>
        <v>792</v>
      </c>
      <c r="G270" s="601">
        <v>60</v>
      </c>
      <c r="H270" s="725">
        <f t="shared" si="54"/>
        <v>2880</v>
      </c>
      <c r="I270" s="318">
        <f t="shared" si="53"/>
        <v>792</v>
      </c>
      <c r="J270" s="319"/>
      <c r="K270" s="319"/>
      <c r="L270" s="319"/>
      <c r="M270" s="319"/>
      <c r="N270" s="319"/>
      <c r="O270" s="319"/>
      <c r="P270" s="319"/>
      <c r="Q270" s="302"/>
    </row>
    <row r="271" spans="1:17" s="71" customFormat="1" ht="24.95" customHeight="1" x14ac:dyDescent="0.2">
      <c r="A271" s="619"/>
      <c r="B271" s="660" t="s">
        <v>808</v>
      </c>
      <c r="C271" s="601"/>
      <c r="D271" s="601"/>
      <c r="E271" s="601"/>
      <c r="F271" s="606"/>
      <c r="G271" s="601"/>
      <c r="H271" s="601"/>
      <c r="I271" s="604"/>
      <c r="J271" s="526"/>
      <c r="K271" s="526"/>
      <c r="L271" s="526"/>
      <c r="M271" s="526"/>
      <c r="N271" s="526"/>
      <c r="O271" s="526"/>
      <c r="P271" s="526"/>
      <c r="Q271" s="606"/>
    </row>
    <row r="272" spans="1:17" s="71" customFormat="1" ht="24.95" customHeight="1" x14ac:dyDescent="0.2">
      <c r="A272" s="619" t="s">
        <v>232</v>
      </c>
      <c r="B272" s="634" t="s">
        <v>460</v>
      </c>
      <c r="C272" s="601">
        <v>3</v>
      </c>
      <c r="D272" s="601">
        <v>1</v>
      </c>
      <c r="E272" s="601">
        <v>7</v>
      </c>
      <c r="F272" s="302">
        <f t="shared" si="52"/>
        <v>346.5</v>
      </c>
      <c r="G272" s="601">
        <v>60</v>
      </c>
      <c r="H272" s="725">
        <f t="shared" si="54"/>
        <v>1260</v>
      </c>
      <c r="I272" s="318">
        <f t="shared" si="53"/>
        <v>346.5</v>
      </c>
      <c r="J272" s="319"/>
      <c r="K272" s="319"/>
      <c r="L272" s="319"/>
      <c r="M272" s="319"/>
      <c r="N272" s="319"/>
      <c r="O272" s="319"/>
      <c r="P272" s="319"/>
      <c r="Q272" s="302"/>
    </row>
    <row r="273" spans="1:17" s="71" customFormat="1" ht="24.95" customHeight="1" x14ac:dyDescent="0.2">
      <c r="A273" s="619"/>
      <c r="B273" s="660" t="s">
        <v>810</v>
      </c>
      <c r="C273" s="601"/>
      <c r="D273" s="601"/>
      <c r="E273" s="601"/>
      <c r="F273" s="606"/>
      <c r="G273" s="601"/>
      <c r="H273" s="601"/>
      <c r="I273" s="604"/>
      <c r="J273" s="526"/>
      <c r="K273" s="526"/>
      <c r="L273" s="526"/>
      <c r="M273" s="526"/>
      <c r="N273" s="526"/>
      <c r="O273" s="526"/>
      <c r="P273" s="526"/>
      <c r="Q273" s="606"/>
    </row>
    <row r="274" spans="1:17" s="71" customFormat="1" ht="24.95" customHeight="1" x14ac:dyDescent="0.2">
      <c r="A274" s="619" t="s">
        <v>233</v>
      </c>
      <c r="B274" s="634" t="s">
        <v>531</v>
      </c>
      <c r="C274" s="382">
        <v>5</v>
      </c>
      <c r="D274" s="382">
        <v>1</v>
      </c>
      <c r="E274" s="382">
        <v>7</v>
      </c>
      <c r="F274" s="302">
        <f t="shared" si="52"/>
        <v>577.5</v>
      </c>
      <c r="G274" s="382">
        <v>50</v>
      </c>
      <c r="H274" s="725">
        <f t="shared" si="54"/>
        <v>1750</v>
      </c>
      <c r="I274" s="318">
        <f t="shared" si="53"/>
        <v>577.5</v>
      </c>
      <c r="J274" s="319"/>
      <c r="K274" s="319"/>
      <c r="L274" s="319"/>
      <c r="M274" s="319"/>
      <c r="N274" s="319"/>
      <c r="O274" s="319"/>
      <c r="P274" s="319"/>
      <c r="Q274" s="302"/>
    </row>
    <row r="275" spans="1:17" s="71" customFormat="1" ht="24.95" customHeight="1" x14ac:dyDescent="0.2">
      <c r="A275" s="619"/>
      <c r="B275" s="660" t="s">
        <v>806</v>
      </c>
      <c r="C275" s="382"/>
      <c r="D275" s="382"/>
      <c r="E275" s="382"/>
      <c r="F275" s="606"/>
      <c r="G275" s="382"/>
      <c r="H275" s="601"/>
      <c r="I275" s="604"/>
      <c r="J275" s="526"/>
      <c r="K275" s="526"/>
      <c r="L275" s="526"/>
      <c r="M275" s="526"/>
      <c r="N275" s="526"/>
      <c r="O275" s="526"/>
      <c r="P275" s="526"/>
      <c r="Q275" s="606"/>
    </row>
    <row r="276" spans="1:17" s="563" customFormat="1" ht="24.95" customHeight="1" x14ac:dyDescent="0.2">
      <c r="A276" s="635" t="s">
        <v>234</v>
      </c>
      <c r="B276" s="636" t="s">
        <v>532</v>
      </c>
      <c r="C276" s="637">
        <v>5</v>
      </c>
      <c r="D276" s="637">
        <v>1</v>
      </c>
      <c r="E276" s="637">
        <v>16</v>
      </c>
      <c r="F276" s="638">
        <f t="shared" si="52"/>
        <v>1320</v>
      </c>
      <c r="G276" s="637">
        <v>50</v>
      </c>
      <c r="H276" s="674">
        <f t="shared" si="54"/>
        <v>4000</v>
      </c>
      <c r="I276" s="675">
        <f t="shared" si="53"/>
        <v>1320</v>
      </c>
      <c r="J276" s="569"/>
      <c r="K276" s="570"/>
      <c r="L276" s="570"/>
      <c r="M276" s="570"/>
      <c r="N276" s="676"/>
      <c r="O276" s="570"/>
      <c r="P276" s="570"/>
      <c r="Q276" s="638"/>
    </row>
    <row r="277" spans="1:17" s="563" customFormat="1" ht="24.95" customHeight="1" x14ac:dyDescent="0.2">
      <c r="A277" s="620"/>
      <c r="B277" s="621" t="s">
        <v>403</v>
      </c>
      <c r="C277" s="622">
        <f t="shared" ref="C277:D277" si="55">SUM(C267:C276)</f>
        <v>26</v>
      </c>
      <c r="D277" s="622">
        <f t="shared" si="55"/>
        <v>6</v>
      </c>
      <c r="E277" s="622">
        <f>SUM(E267:E276)</f>
        <v>69</v>
      </c>
      <c r="F277" s="622">
        <f t="shared" ref="F277:K277" si="56">SUM(F267:F276)</f>
        <v>4933.5</v>
      </c>
      <c r="G277" s="622">
        <f t="shared" si="56"/>
        <v>340</v>
      </c>
      <c r="H277" s="622">
        <f t="shared" si="56"/>
        <v>16790</v>
      </c>
      <c r="I277" s="622">
        <f t="shared" si="56"/>
        <v>4933.5</v>
      </c>
      <c r="J277" s="622">
        <f t="shared" si="56"/>
        <v>0</v>
      </c>
      <c r="K277" s="622">
        <f t="shared" si="56"/>
        <v>0</v>
      </c>
      <c r="L277" s="642"/>
      <c r="M277" s="642"/>
      <c r="N277" s="646"/>
      <c r="O277" s="642"/>
      <c r="P277" s="642"/>
      <c r="Q277" s="643"/>
    </row>
    <row r="278" spans="1:17" s="71" customFormat="1" ht="24.95" customHeight="1" x14ac:dyDescent="0.2">
      <c r="A278" s="671"/>
      <c r="B278" s="677" t="s">
        <v>462</v>
      </c>
      <c r="C278" s="539">
        <f>C243+C262+C277</f>
        <v>67</v>
      </c>
      <c r="D278" s="539">
        <f t="shared" ref="D278:K278" si="57">D243+D262+D277</f>
        <v>19</v>
      </c>
      <c r="E278" s="539">
        <f t="shared" si="57"/>
        <v>120</v>
      </c>
      <c r="F278" s="539">
        <f t="shared" si="57"/>
        <v>8380.35</v>
      </c>
      <c r="G278" s="539">
        <f t="shared" si="57"/>
        <v>1050</v>
      </c>
      <c r="H278" s="539">
        <f t="shared" si="57"/>
        <v>26640</v>
      </c>
      <c r="I278" s="539">
        <f t="shared" si="57"/>
        <v>8380.35</v>
      </c>
      <c r="J278" s="539">
        <f t="shared" si="57"/>
        <v>0</v>
      </c>
      <c r="K278" s="539">
        <f t="shared" si="57"/>
        <v>0</v>
      </c>
      <c r="L278" s="542">
        <f>'Bieu3 GDH'!F21</f>
        <v>1350</v>
      </c>
      <c r="M278" s="542">
        <f>'Bieu3 GDH'!N21</f>
        <v>1120.5</v>
      </c>
      <c r="N278" s="539">
        <f>I278-M278</f>
        <v>7259.85</v>
      </c>
      <c r="O278" s="542">
        <f>'Bieu3 GDH'!O21</f>
        <v>1065.25</v>
      </c>
      <c r="P278" s="542">
        <f>'Bieu3 GDH'!P21</f>
        <v>427</v>
      </c>
      <c r="Q278" s="678" t="s">
        <v>770</v>
      </c>
    </row>
    <row r="279" spans="1:17" s="71" customFormat="1" ht="24.95" customHeight="1" x14ac:dyDescent="0.2">
      <c r="A279" s="591" t="s">
        <v>6</v>
      </c>
      <c r="B279" s="591" t="s">
        <v>506</v>
      </c>
      <c r="C279" s="592"/>
      <c r="D279" s="592"/>
      <c r="E279" s="592"/>
      <c r="F279" s="593"/>
      <c r="G279" s="592"/>
      <c r="H279" s="592"/>
      <c r="I279" s="592"/>
      <c r="J279" s="592"/>
      <c r="K279" s="324"/>
      <c r="L279" s="321"/>
      <c r="M279" s="322"/>
      <c r="N279" s="322"/>
      <c r="O279" s="322"/>
      <c r="P279" s="322"/>
      <c r="Q279" s="322"/>
    </row>
    <row r="280" spans="1:17" s="71" customFormat="1" ht="24.95" customHeight="1" x14ac:dyDescent="0.2">
      <c r="A280" s="591" t="s">
        <v>7</v>
      </c>
      <c r="B280" s="591" t="s">
        <v>226</v>
      </c>
      <c r="C280" s="592"/>
      <c r="D280" s="592"/>
      <c r="E280" s="592"/>
      <c r="F280" s="593"/>
      <c r="G280" s="592"/>
      <c r="H280" s="592"/>
      <c r="I280" s="592"/>
      <c r="J280" s="592"/>
      <c r="K280" s="324"/>
      <c r="L280" s="321"/>
      <c r="M280" s="322"/>
      <c r="N280" s="322"/>
      <c r="O280" s="322"/>
      <c r="P280" s="322"/>
      <c r="Q280" s="322"/>
    </row>
    <row r="281" spans="1:17" s="71" customFormat="1" ht="24.95" customHeight="1" x14ac:dyDescent="0.2">
      <c r="A281" s="591">
        <v>1</v>
      </c>
      <c r="B281" s="591" t="s">
        <v>4</v>
      </c>
      <c r="C281" s="592"/>
      <c r="D281" s="592"/>
      <c r="E281" s="592"/>
      <c r="F281" s="593"/>
      <c r="G281" s="592"/>
      <c r="H281" s="592"/>
      <c r="I281" s="592"/>
      <c r="J281" s="592"/>
      <c r="K281" s="324"/>
      <c r="L281" s="321"/>
      <c r="M281" s="322"/>
      <c r="N281" s="322"/>
      <c r="O281" s="322"/>
      <c r="P281" s="322"/>
      <c r="Q281" s="322"/>
    </row>
    <row r="282" spans="1:17" s="71" customFormat="1" ht="24.95" customHeight="1" x14ac:dyDescent="0.2">
      <c r="A282" s="594" t="s">
        <v>149</v>
      </c>
      <c r="B282" s="595" t="s">
        <v>163</v>
      </c>
      <c r="C282" s="596"/>
      <c r="D282" s="596"/>
      <c r="E282" s="596"/>
      <c r="F282" s="725"/>
      <c r="G282" s="596"/>
      <c r="H282" s="596"/>
      <c r="I282" s="597"/>
      <c r="J282" s="597"/>
      <c r="K282" s="324"/>
      <c r="L282" s="321"/>
      <c r="M282" s="322"/>
      <c r="N282" s="322"/>
      <c r="O282" s="322"/>
      <c r="P282" s="322"/>
      <c r="Q282" s="322"/>
    </row>
    <row r="283" spans="1:17" s="71" customFormat="1" ht="24.95" customHeight="1" x14ac:dyDescent="0.2">
      <c r="A283" s="626"/>
      <c r="B283" s="627" t="s">
        <v>811</v>
      </c>
      <c r="C283" s="654"/>
      <c r="D283" s="654"/>
      <c r="E283" s="654"/>
      <c r="F283" s="601"/>
      <c r="G283" s="654"/>
      <c r="H283" s="654"/>
      <c r="I283" s="679"/>
      <c r="J283" s="679"/>
      <c r="K283" s="655"/>
      <c r="L283" s="632"/>
      <c r="M283" s="382"/>
      <c r="N283" s="382"/>
      <c r="O283" s="382"/>
      <c r="P283" s="382"/>
      <c r="Q283" s="382"/>
    </row>
    <row r="284" spans="1:17" s="71" customFormat="1" ht="24.95" customHeight="1" x14ac:dyDescent="0.2">
      <c r="A284" s="525" t="s">
        <v>229</v>
      </c>
      <c r="B284" s="600" t="s">
        <v>463</v>
      </c>
      <c r="C284" s="601">
        <v>2</v>
      </c>
      <c r="D284" s="602">
        <v>1</v>
      </c>
      <c r="E284" s="601">
        <v>1</v>
      </c>
      <c r="F284" s="302">
        <f t="shared" ref="F284:F314" si="58">I284+J284+K284</f>
        <v>33</v>
      </c>
      <c r="G284" s="601">
        <v>40</v>
      </c>
      <c r="H284" s="725">
        <f>C284*E284*G284</f>
        <v>80</v>
      </c>
      <c r="I284" s="318">
        <f t="shared" ref="I284:I314" si="59">IF(G284&lt;70, C284*E284*16.5*1, C284*E284*16.5*1.3)</f>
        <v>33</v>
      </c>
      <c r="J284" s="679"/>
      <c r="K284" s="655"/>
      <c r="L284" s="321"/>
      <c r="M284" s="322"/>
      <c r="N284" s="322"/>
      <c r="O284" s="322"/>
      <c r="P284" s="322"/>
      <c r="Q284" s="322"/>
    </row>
    <row r="285" spans="1:17" s="71" customFormat="1" ht="24.95" customHeight="1" x14ac:dyDescent="0.2">
      <c r="A285" s="525" t="s">
        <v>230</v>
      </c>
      <c r="B285" s="680" t="s">
        <v>464</v>
      </c>
      <c r="C285" s="601">
        <v>3</v>
      </c>
      <c r="D285" s="601">
        <v>1</v>
      </c>
      <c r="E285" s="601">
        <v>1</v>
      </c>
      <c r="F285" s="302">
        <f t="shared" si="58"/>
        <v>49.5</v>
      </c>
      <c r="G285" s="601">
        <v>20</v>
      </c>
      <c r="H285" s="725">
        <f t="shared" ref="H285:H314" si="60">C285*E285*G285</f>
        <v>60</v>
      </c>
      <c r="I285" s="318">
        <f t="shared" si="59"/>
        <v>49.5</v>
      </c>
      <c r="J285" s="679"/>
      <c r="K285" s="655"/>
      <c r="L285" s="321"/>
      <c r="M285" s="322"/>
      <c r="N285" s="322"/>
      <c r="O285" s="322"/>
      <c r="P285" s="322"/>
      <c r="Q285" s="322"/>
    </row>
    <row r="286" spans="1:17" s="71" customFormat="1" ht="24.95" customHeight="1" x14ac:dyDescent="0.2">
      <c r="A286" s="525" t="s">
        <v>231</v>
      </c>
      <c r="B286" s="628" t="s">
        <v>465</v>
      </c>
      <c r="C286" s="601">
        <v>2</v>
      </c>
      <c r="D286" s="601">
        <v>1</v>
      </c>
      <c r="E286" s="601">
        <v>3</v>
      </c>
      <c r="F286" s="302">
        <f t="shared" si="58"/>
        <v>128.70000000000002</v>
      </c>
      <c r="G286" s="601">
        <v>80</v>
      </c>
      <c r="H286" s="725">
        <f t="shared" si="60"/>
        <v>480</v>
      </c>
      <c r="I286" s="318">
        <f t="shared" si="59"/>
        <v>128.70000000000002</v>
      </c>
      <c r="J286" s="526"/>
      <c r="K286" s="655"/>
      <c r="L286" s="321"/>
      <c r="M286" s="322"/>
      <c r="N286" s="322"/>
      <c r="O286" s="322"/>
      <c r="P286" s="322"/>
      <c r="Q286" s="322"/>
    </row>
    <row r="287" spans="1:17" s="71" customFormat="1" ht="24.95" customHeight="1" x14ac:dyDescent="0.2">
      <c r="A287" s="525"/>
      <c r="B287" s="627" t="s">
        <v>812</v>
      </c>
      <c r="C287" s="601"/>
      <c r="D287" s="601"/>
      <c r="E287" s="601"/>
      <c r="F287" s="606"/>
      <c r="G287" s="601"/>
      <c r="H287" s="601"/>
      <c r="I287" s="604"/>
      <c r="J287" s="526"/>
      <c r="K287" s="655"/>
      <c r="L287" s="632"/>
      <c r="M287" s="382"/>
      <c r="N287" s="382"/>
      <c r="O287" s="382"/>
      <c r="P287" s="382"/>
      <c r="Q287" s="382"/>
    </row>
    <row r="288" spans="1:17" s="71" customFormat="1" ht="24.95" customHeight="1" x14ac:dyDescent="0.2">
      <c r="A288" s="525" t="s">
        <v>232</v>
      </c>
      <c r="B288" s="600" t="s">
        <v>466</v>
      </c>
      <c r="C288" s="601">
        <v>3</v>
      </c>
      <c r="D288" s="601">
        <v>1</v>
      </c>
      <c r="E288" s="601">
        <v>1</v>
      </c>
      <c r="F288" s="302">
        <f t="shared" si="58"/>
        <v>64.350000000000009</v>
      </c>
      <c r="G288" s="601">
        <v>80</v>
      </c>
      <c r="H288" s="725">
        <f t="shared" si="60"/>
        <v>240</v>
      </c>
      <c r="I288" s="318">
        <f t="shared" si="59"/>
        <v>64.350000000000009</v>
      </c>
      <c r="J288" s="679"/>
      <c r="K288" s="655"/>
      <c r="L288" s="321"/>
      <c r="M288" s="322"/>
      <c r="N288" s="322"/>
      <c r="O288" s="322"/>
      <c r="P288" s="322"/>
      <c r="Q288" s="322"/>
    </row>
    <row r="289" spans="1:17" s="71" customFormat="1" ht="24.95" customHeight="1" x14ac:dyDescent="0.2">
      <c r="A289" s="525" t="s">
        <v>233</v>
      </c>
      <c r="B289" s="628" t="s">
        <v>465</v>
      </c>
      <c r="C289" s="601">
        <v>2</v>
      </c>
      <c r="D289" s="601">
        <v>1</v>
      </c>
      <c r="E289" s="601">
        <v>2</v>
      </c>
      <c r="F289" s="302">
        <f t="shared" si="58"/>
        <v>85.8</v>
      </c>
      <c r="G289" s="601">
        <v>80</v>
      </c>
      <c r="H289" s="725">
        <f t="shared" si="60"/>
        <v>320</v>
      </c>
      <c r="I289" s="318">
        <f t="shared" si="59"/>
        <v>85.8</v>
      </c>
      <c r="J289" s="679"/>
      <c r="K289" s="655"/>
      <c r="L289" s="321"/>
      <c r="M289" s="322"/>
      <c r="N289" s="322"/>
      <c r="O289" s="322"/>
      <c r="P289" s="322"/>
      <c r="Q289" s="322"/>
    </row>
    <row r="290" spans="1:17" s="71" customFormat="1" ht="24.95" customHeight="1" x14ac:dyDescent="0.2">
      <c r="A290" s="525"/>
      <c r="B290" s="627" t="s">
        <v>723</v>
      </c>
      <c r="C290" s="601"/>
      <c r="D290" s="601"/>
      <c r="E290" s="601"/>
      <c r="F290" s="606"/>
      <c r="G290" s="601"/>
      <c r="H290" s="601"/>
      <c r="I290" s="604"/>
      <c r="J290" s="679"/>
      <c r="K290" s="655"/>
      <c r="L290" s="632"/>
      <c r="M290" s="382"/>
      <c r="N290" s="382"/>
      <c r="O290" s="382"/>
      <c r="P290" s="382"/>
      <c r="Q290" s="382"/>
    </row>
    <row r="291" spans="1:17" s="71" customFormat="1" ht="24.95" customHeight="1" x14ac:dyDescent="0.2">
      <c r="A291" s="525" t="s">
        <v>234</v>
      </c>
      <c r="B291" s="600" t="s">
        <v>463</v>
      </c>
      <c r="C291" s="601">
        <v>2</v>
      </c>
      <c r="D291" s="601">
        <v>1</v>
      </c>
      <c r="E291" s="601">
        <v>1</v>
      </c>
      <c r="F291" s="302">
        <f t="shared" si="58"/>
        <v>42.9</v>
      </c>
      <c r="G291" s="601">
        <v>80</v>
      </c>
      <c r="H291" s="725">
        <f t="shared" si="60"/>
        <v>160</v>
      </c>
      <c r="I291" s="318">
        <f t="shared" si="59"/>
        <v>42.9</v>
      </c>
      <c r="J291" s="679"/>
      <c r="K291" s="655"/>
      <c r="L291" s="321"/>
      <c r="M291" s="322"/>
      <c r="N291" s="322"/>
      <c r="O291" s="322"/>
      <c r="P291" s="322"/>
      <c r="Q291" s="322"/>
    </row>
    <row r="292" spans="1:17" s="71" customFormat="1" ht="24.95" customHeight="1" x14ac:dyDescent="0.2">
      <c r="A292" s="525" t="s">
        <v>285</v>
      </c>
      <c r="B292" s="634" t="s">
        <v>467</v>
      </c>
      <c r="C292" s="604">
        <v>3</v>
      </c>
      <c r="D292" s="602">
        <v>1</v>
      </c>
      <c r="E292" s="604">
        <v>1</v>
      </c>
      <c r="F292" s="302">
        <f t="shared" si="58"/>
        <v>49.5</v>
      </c>
      <c r="G292" s="604">
        <v>40</v>
      </c>
      <c r="H292" s="725">
        <f t="shared" si="60"/>
        <v>120</v>
      </c>
      <c r="I292" s="318">
        <f t="shared" si="59"/>
        <v>49.5</v>
      </c>
      <c r="J292" s="679"/>
      <c r="K292" s="655"/>
      <c r="L292" s="321"/>
      <c r="M292" s="322"/>
      <c r="N292" s="322"/>
      <c r="O292" s="322"/>
      <c r="P292" s="322"/>
      <c r="Q292" s="322"/>
    </row>
    <row r="293" spans="1:17" s="71" customFormat="1" ht="24.95" customHeight="1" x14ac:dyDescent="0.2">
      <c r="A293" s="525" t="s">
        <v>286</v>
      </c>
      <c r="B293" s="634" t="s">
        <v>468</v>
      </c>
      <c r="C293" s="604">
        <v>2</v>
      </c>
      <c r="D293" s="602">
        <v>1</v>
      </c>
      <c r="E293" s="604">
        <v>1</v>
      </c>
      <c r="F293" s="302">
        <f t="shared" si="58"/>
        <v>33</v>
      </c>
      <c r="G293" s="604">
        <v>40</v>
      </c>
      <c r="H293" s="725">
        <f t="shared" si="60"/>
        <v>80</v>
      </c>
      <c r="I293" s="318">
        <f t="shared" si="59"/>
        <v>33</v>
      </c>
      <c r="J293" s="679"/>
      <c r="K293" s="655"/>
      <c r="L293" s="321"/>
      <c r="M293" s="322"/>
      <c r="N293" s="322"/>
      <c r="O293" s="322"/>
      <c r="P293" s="322"/>
      <c r="Q293" s="322"/>
    </row>
    <row r="294" spans="1:17" s="71" customFormat="1" ht="24.95" customHeight="1" x14ac:dyDescent="0.2">
      <c r="A294" s="525" t="s">
        <v>287</v>
      </c>
      <c r="B294" s="634" t="s">
        <v>469</v>
      </c>
      <c r="C294" s="604">
        <v>3</v>
      </c>
      <c r="D294" s="602">
        <v>1</v>
      </c>
      <c r="E294" s="604">
        <v>1</v>
      </c>
      <c r="F294" s="302">
        <f t="shared" si="58"/>
        <v>49.5</v>
      </c>
      <c r="G294" s="604">
        <v>30</v>
      </c>
      <c r="H294" s="725">
        <f t="shared" si="60"/>
        <v>90</v>
      </c>
      <c r="I294" s="318">
        <f t="shared" si="59"/>
        <v>49.5</v>
      </c>
      <c r="J294" s="679"/>
      <c r="K294" s="655"/>
      <c r="L294" s="321"/>
      <c r="M294" s="322"/>
      <c r="N294" s="322"/>
      <c r="O294" s="322"/>
      <c r="P294" s="322"/>
      <c r="Q294" s="322"/>
    </row>
    <row r="295" spans="1:17" s="71" customFormat="1" ht="24.95" customHeight="1" x14ac:dyDescent="0.2">
      <c r="A295" s="525"/>
      <c r="B295" s="660" t="s">
        <v>724</v>
      </c>
      <c r="C295" s="604"/>
      <c r="D295" s="602"/>
      <c r="E295" s="604"/>
      <c r="F295" s="606"/>
      <c r="G295" s="604"/>
      <c r="H295" s="601"/>
      <c r="I295" s="604"/>
      <c r="J295" s="679"/>
      <c r="K295" s="655"/>
      <c r="L295" s="632"/>
      <c r="M295" s="382"/>
      <c r="N295" s="382"/>
      <c r="O295" s="382"/>
      <c r="P295" s="382"/>
      <c r="Q295" s="382"/>
    </row>
    <row r="296" spans="1:17" s="71" customFormat="1" ht="24.95" customHeight="1" x14ac:dyDescent="0.2">
      <c r="A296" s="525" t="s">
        <v>288</v>
      </c>
      <c r="B296" s="634" t="s">
        <v>470</v>
      </c>
      <c r="C296" s="604">
        <v>4</v>
      </c>
      <c r="D296" s="602">
        <v>1</v>
      </c>
      <c r="E296" s="604">
        <v>1</v>
      </c>
      <c r="F296" s="302">
        <f t="shared" si="58"/>
        <v>66</v>
      </c>
      <c r="G296" s="604">
        <v>30</v>
      </c>
      <c r="H296" s="725">
        <f t="shared" si="60"/>
        <v>120</v>
      </c>
      <c r="I296" s="318">
        <f t="shared" si="59"/>
        <v>66</v>
      </c>
      <c r="J296" s="679"/>
      <c r="K296" s="655"/>
      <c r="L296" s="321"/>
      <c r="M296" s="322"/>
      <c r="N296" s="322"/>
      <c r="O296" s="322"/>
      <c r="P296" s="322"/>
      <c r="Q296" s="322"/>
    </row>
    <row r="297" spans="1:17" s="71" customFormat="1" ht="24.95" customHeight="1" x14ac:dyDescent="0.2">
      <c r="A297" s="525" t="s">
        <v>289</v>
      </c>
      <c r="B297" s="600" t="s">
        <v>463</v>
      </c>
      <c r="C297" s="604">
        <v>2</v>
      </c>
      <c r="D297" s="602">
        <v>1</v>
      </c>
      <c r="E297" s="604">
        <v>1</v>
      </c>
      <c r="F297" s="302">
        <f t="shared" si="58"/>
        <v>42.9</v>
      </c>
      <c r="G297" s="604">
        <v>80</v>
      </c>
      <c r="H297" s="725">
        <f t="shared" si="60"/>
        <v>160</v>
      </c>
      <c r="I297" s="318">
        <f t="shared" si="59"/>
        <v>42.9</v>
      </c>
      <c r="J297" s="679"/>
      <c r="K297" s="655"/>
      <c r="L297" s="321"/>
      <c r="M297" s="322"/>
      <c r="N297" s="322"/>
      <c r="O297" s="322"/>
      <c r="P297" s="322"/>
      <c r="Q297" s="322"/>
    </row>
    <row r="298" spans="1:17" s="71" customFormat="1" ht="24.95" customHeight="1" x14ac:dyDescent="0.2">
      <c r="A298" s="525" t="s">
        <v>292</v>
      </c>
      <c r="B298" s="628" t="s">
        <v>465</v>
      </c>
      <c r="C298" s="601">
        <v>2</v>
      </c>
      <c r="D298" s="601">
        <v>1</v>
      </c>
      <c r="E298" s="604">
        <v>1</v>
      </c>
      <c r="F298" s="302">
        <f t="shared" si="58"/>
        <v>42.9</v>
      </c>
      <c r="G298" s="601">
        <v>80</v>
      </c>
      <c r="H298" s="725">
        <f t="shared" si="60"/>
        <v>160</v>
      </c>
      <c r="I298" s="318">
        <f t="shared" si="59"/>
        <v>42.9</v>
      </c>
      <c r="J298" s="679"/>
      <c r="K298" s="655"/>
      <c r="L298" s="321"/>
      <c r="M298" s="322"/>
      <c r="N298" s="322"/>
      <c r="O298" s="322"/>
      <c r="P298" s="322"/>
      <c r="Q298" s="322"/>
    </row>
    <row r="299" spans="1:17" s="71" customFormat="1" ht="24.95" customHeight="1" x14ac:dyDescent="0.2">
      <c r="A299" s="525" t="s">
        <v>293</v>
      </c>
      <c r="B299" s="634" t="s">
        <v>471</v>
      </c>
      <c r="C299" s="601">
        <v>4</v>
      </c>
      <c r="D299" s="601">
        <v>1</v>
      </c>
      <c r="E299" s="601">
        <v>1</v>
      </c>
      <c r="F299" s="302">
        <f t="shared" si="58"/>
        <v>66</v>
      </c>
      <c r="G299" s="601">
        <v>30</v>
      </c>
      <c r="H299" s="725">
        <f t="shared" si="60"/>
        <v>120</v>
      </c>
      <c r="I299" s="318">
        <f t="shared" si="59"/>
        <v>66</v>
      </c>
      <c r="J299" s="679"/>
      <c r="K299" s="655"/>
      <c r="L299" s="321"/>
      <c r="M299" s="322"/>
      <c r="N299" s="322"/>
      <c r="O299" s="322"/>
      <c r="P299" s="322"/>
      <c r="Q299" s="322"/>
    </row>
    <row r="300" spans="1:17" s="71" customFormat="1" ht="24.95" customHeight="1" x14ac:dyDescent="0.2">
      <c r="A300" s="525" t="s">
        <v>294</v>
      </c>
      <c r="B300" s="634" t="s">
        <v>472</v>
      </c>
      <c r="C300" s="681">
        <v>4</v>
      </c>
      <c r="D300" s="607">
        <v>1</v>
      </c>
      <c r="E300" s="607">
        <v>1</v>
      </c>
      <c r="F300" s="302">
        <f t="shared" si="58"/>
        <v>66</v>
      </c>
      <c r="G300" s="607">
        <v>40</v>
      </c>
      <c r="H300" s="725">
        <f t="shared" si="60"/>
        <v>160</v>
      </c>
      <c r="I300" s="318">
        <f t="shared" si="59"/>
        <v>66</v>
      </c>
      <c r="J300" s="679"/>
      <c r="K300" s="655"/>
      <c r="L300" s="321"/>
      <c r="M300" s="322"/>
      <c r="N300" s="322"/>
      <c r="O300" s="322"/>
      <c r="P300" s="322"/>
      <c r="Q300" s="322"/>
    </row>
    <row r="301" spans="1:17" s="71" customFormat="1" ht="24.95" customHeight="1" x14ac:dyDescent="0.2">
      <c r="A301" s="525"/>
      <c r="B301" s="660" t="s">
        <v>813</v>
      </c>
      <c r="C301" s="681"/>
      <c r="D301" s="607"/>
      <c r="E301" s="607"/>
      <c r="F301" s="606"/>
      <c r="G301" s="607"/>
      <c r="H301" s="601"/>
      <c r="I301" s="604"/>
      <c r="J301" s="679"/>
      <c r="K301" s="655"/>
      <c r="L301" s="632"/>
      <c r="M301" s="382"/>
      <c r="N301" s="382"/>
      <c r="O301" s="382"/>
      <c r="P301" s="382"/>
      <c r="Q301" s="382"/>
    </row>
    <row r="302" spans="1:17" s="71" customFormat="1" ht="24.95" customHeight="1" x14ac:dyDescent="0.2">
      <c r="A302" s="525" t="s">
        <v>295</v>
      </c>
      <c r="B302" s="600" t="s">
        <v>463</v>
      </c>
      <c r="C302" s="681">
        <v>2</v>
      </c>
      <c r="D302" s="607">
        <v>1</v>
      </c>
      <c r="E302" s="607">
        <v>1</v>
      </c>
      <c r="F302" s="302">
        <f t="shared" si="58"/>
        <v>42.9</v>
      </c>
      <c r="G302" s="607">
        <v>89</v>
      </c>
      <c r="H302" s="725">
        <f t="shared" si="60"/>
        <v>178</v>
      </c>
      <c r="I302" s="318">
        <f t="shared" si="59"/>
        <v>42.9</v>
      </c>
      <c r="J302" s="679"/>
      <c r="K302" s="655"/>
      <c r="L302" s="321"/>
      <c r="M302" s="322"/>
      <c r="N302" s="322"/>
      <c r="O302" s="322"/>
      <c r="P302" s="322"/>
      <c r="Q302" s="322"/>
    </row>
    <row r="303" spans="1:17" s="71" customFormat="1" ht="24.95" customHeight="1" x14ac:dyDescent="0.2">
      <c r="A303" s="525" t="s">
        <v>417</v>
      </c>
      <c r="B303" s="634" t="s">
        <v>473</v>
      </c>
      <c r="C303" s="681">
        <v>3</v>
      </c>
      <c r="D303" s="607">
        <v>1</v>
      </c>
      <c r="E303" s="607">
        <v>1</v>
      </c>
      <c r="F303" s="302">
        <f t="shared" si="58"/>
        <v>49.5</v>
      </c>
      <c r="G303" s="607">
        <v>40</v>
      </c>
      <c r="H303" s="725">
        <f t="shared" si="60"/>
        <v>120</v>
      </c>
      <c r="I303" s="318">
        <f t="shared" si="59"/>
        <v>49.5</v>
      </c>
      <c r="J303" s="526"/>
      <c r="K303" s="655"/>
      <c r="L303" s="321"/>
      <c r="M303" s="322"/>
      <c r="N303" s="322"/>
      <c r="O303" s="322"/>
      <c r="P303" s="322"/>
      <c r="Q303" s="322"/>
    </row>
    <row r="304" spans="1:17" s="71" customFormat="1" ht="24.95" customHeight="1" x14ac:dyDescent="0.2">
      <c r="A304" s="525" t="s">
        <v>418</v>
      </c>
      <c r="B304" s="628" t="s">
        <v>465</v>
      </c>
      <c r="C304" s="601">
        <v>2</v>
      </c>
      <c r="D304" s="601">
        <v>1</v>
      </c>
      <c r="E304" s="601">
        <v>1</v>
      </c>
      <c r="F304" s="302">
        <f t="shared" si="58"/>
        <v>42.9</v>
      </c>
      <c r="G304" s="601">
        <v>80</v>
      </c>
      <c r="H304" s="725">
        <f t="shared" si="60"/>
        <v>160</v>
      </c>
      <c r="I304" s="318">
        <f t="shared" si="59"/>
        <v>42.9</v>
      </c>
      <c r="J304" s="526"/>
      <c r="K304" s="655"/>
      <c r="L304" s="321"/>
      <c r="M304" s="322"/>
      <c r="N304" s="322"/>
      <c r="O304" s="322"/>
      <c r="P304" s="322"/>
      <c r="Q304" s="322"/>
    </row>
    <row r="305" spans="1:17" s="71" customFormat="1" ht="24.95" customHeight="1" x14ac:dyDescent="0.2">
      <c r="A305" s="525" t="s">
        <v>419</v>
      </c>
      <c r="B305" s="682" t="s">
        <v>474</v>
      </c>
      <c r="C305" s="601">
        <v>2</v>
      </c>
      <c r="D305" s="601">
        <v>1</v>
      </c>
      <c r="E305" s="601">
        <v>1</v>
      </c>
      <c r="F305" s="302">
        <f t="shared" si="58"/>
        <v>33</v>
      </c>
      <c r="G305" s="601">
        <v>40</v>
      </c>
      <c r="H305" s="725">
        <f t="shared" si="60"/>
        <v>80</v>
      </c>
      <c r="I305" s="318">
        <f t="shared" si="59"/>
        <v>33</v>
      </c>
      <c r="J305" s="526"/>
      <c r="K305" s="655"/>
      <c r="L305" s="321"/>
      <c r="M305" s="322"/>
      <c r="N305" s="322"/>
      <c r="O305" s="322"/>
      <c r="P305" s="322"/>
      <c r="Q305" s="322"/>
    </row>
    <row r="306" spans="1:17" s="71" customFormat="1" ht="24.95" customHeight="1" x14ac:dyDescent="0.2">
      <c r="A306" s="525" t="s">
        <v>420</v>
      </c>
      <c r="B306" s="634" t="s">
        <v>475</v>
      </c>
      <c r="C306" s="601">
        <v>3</v>
      </c>
      <c r="D306" s="601">
        <v>1</v>
      </c>
      <c r="E306" s="601">
        <v>1</v>
      </c>
      <c r="F306" s="302">
        <f t="shared" si="58"/>
        <v>49.5</v>
      </c>
      <c r="G306" s="601">
        <v>40</v>
      </c>
      <c r="H306" s="725">
        <f t="shared" si="60"/>
        <v>120</v>
      </c>
      <c r="I306" s="318">
        <f t="shared" si="59"/>
        <v>49.5</v>
      </c>
      <c r="J306" s="526"/>
      <c r="K306" s="655"/>
      <c r="L306" s="321"/>
      <c r="M306" s="322"/>
      <c r="N306" s="322"/>
      <c r="O306" s="322"/>
      <c r="P306" s="322"/>
      <c r="Q306" s="322"/>
    </row>
    <row r="307" spans="1:17" s="71" customFormat="1" ht="24.95" customHeight="1" x14ac:dyDescent="0.2">
      <c r="A307" s="525" t="s">
        <v>421</v>
      </c>
      <c r="B307" s="634" t="s">
        <v>476</v>
      </c>
      <c r="C307" s="601">
        <v>2</v>
      </c>
      <c r="D307" s="601">
        <v>1</v>
      </c>
      <c r="E307" s="601">
        <v>1</v>
      </c>
      <c r="F307" s="302">
        <f t="shared" si="58"/>
        <v>42.9</v>
      </c>
      <c r="G307" s="601">
        <v>80</v>
      </c>
      <c r="H307" s="725">
        <f t="shared" si="60"/>
        <v>160</v>
      </c>
      <c r="I307" s="318">
        <f t="shared" si="59"/>
        <v>42.9</v>
      </c>
      <c r="J307" s="526"/>
      <c r="K307" s="655"/>
      <c r="L307" s="321"/>
      <c r="M307" s="322"/>
      <c r="N307" s="322"/>
      <c r="O307" s="322"/>
      <c r="P307" s="322"/>
      <c r="Q307" s="322"/>
    </row>
    <row r="308" spans="1:17" s="71" customFormat="1" ht="24.95" customHeight="1" x14ac:dyDescent="0.2">
      <c r="A308" s="525" t="s">
        <v>422</v>
      </c>
      <c r="B308" s="634" t="s">
        <v>468</v>
      </c>
      <c r="C308" s="604">
        <v>2</v>
      </c>
      <c r="D308" s="608">
        <v>1</v>
      </c>
      <c r="E308" s="608">
        <v>1</v>
      </c>
      <c r="F308" s="302">
        <f t="shared" si="58"/>
        <v>33</v>
      </c>
      <c r="G308" s="608">
        <v>40</v>
      </c>
      <c r="H308" s="725">
        <f t="shared" si="60"/>
        <v>80</v>
      </c>
      <c r="I308" s="318">
        <f t="shared" si="59"/>
        <v>33</v>
      </c>
      <c r="J308" s="526"/>
      <c r="K308" s="655"/>
      <c r="L308" s="321"/>
      <c r="M308" s="322"/>
      <c r="N308" s="322"/>
      <c r="O308" s="322"/>
      <c r="P308" s="322"/>
      <c r="Q308" s="322"/>
    </row>
    <row r="309" spans="1:17" s="71" customFormat="1" ht="24.95" customHeight="1" x14ac:dyDescent="0.2">
      <c r="A309" s="525" t="s">
        <v>423</v>
      </c>
      <c r="B309" s="634" t="s">
        <v>476</v>
      </c>
      <c r="C309" s="601">
        <v>2</v>
      </c>
      <c r="D309" s="601">
        <v>1.3</v>
      </c>
      <c r="E309" s="601">
        <v>1</v>
      </c>
      <c r="F309" s="302">
        <f t="shared" si="58"/>
        <v>33</v>
      </c>
      <c r="G309" s="601">
        <v>40</v>
      </c>
      <c r="H309" s="725">
        <f t="shared" si="60"/>
        <v>80</v>
      </c>
      <c r="I309" s="318">
        <f t="shared" si="59"/>
        <v>33</v>
      </c>
      <c r="J309" s="526"/>
      <c r="K309" s="655"/>
      <c r="L309" s="321"/>
      <c r="M309" s="322"/>
      <c r="N309" s="322"/>
      <c r="O309" s="322"/>
      <c r="P309" s="322"/>
      <c r="Q309" s="322"/>
    </row>
    <row r="310" spans="1:17" s="71" customFormat="1" ht="24.95" customHeight="1" x14ac:dyDescent="0.2">
      <c r="A310" s="525"/>
      <c r="B310" s="660" t="s">
        <v>814</v>
      </c>
      <c r="C310" s="601"/>
      <c r="D310" s="601"/>
      <c r="E310" s="601"/>
      <c r="F310" s="606"/>
      <c r="G310" s="601"/>
      <c r="H310" s="601"/>
      <c r="I310" s="604"/>
      <c r="J310" s="526"/>
      <c r="K310" s="655"/>
      <c r="L310" s="632"/>
      <c r="M310" s="382"/>
      <c r="N310" s="382"/>
      <c r="O310" s="382"/>
      <c r="P310" s="382"/>
      <c r="Q310" s="382"/>
    </row>
    <row r="311" spans="1:17" s="71" customFormat="1" ht="24.95" customHeight="1" x14ac:dyDescent="0.2">
      <c r="A311" s="525" t="s">
        <v>424</v>
      </c>
      <c r="B311" s="634" t="s">
        <v>477</v>
      </c>
      <c r="C311" s="601">
        <v>4</v>
      </c>
      <c r="D311" s="601">
        <v>1</v>
      </c>
      <c r="E311" s="601">
        <v>1</v>
      </c>
      <c r="F311" s="302">
        <f t="shared" si="58"/>
        <v>66</v>
      </c>
      <c r="G311" s="601">
        <v>40</v>
      </c>
      <c r="H311" s="725">
        <f t="shared" si="60"/>
        <v>160</v>
      </c>
      <c r="I311" s="318">
        <f t="shared" si="59"/>
        <v>66</v>
      </c>
      <c r="J311" s="526"/>
      <c r="K311" s="655"/>
      <c r="L311" s="321"/>
      <c r="M311" s="322"/>
      <c r="N311" s="322"/>
      <c r="O311" s="322"/>
      <c r="P311" s="322"/>
      <c r="Q311" s="322"/>
    </row>
    <row r="312" spans="1:17" s="71" customFormat="1" ht="24.95" customHeight="1" x14ac:dyDescent="0.2">
      <c r="A312" s="525" t="s">
        <v>425</v>
      </c>
      <c r="B312" s="634" t="s">
        <v>478</v>
      </c>
      <c r="C312" s="601">
        <v>4</v>
      </c>
      <c r="D312" s="601">
        <v>1</v>
      </c>
      <c r="E312" s="601">
        <v>1</v>
      </c>
      <c r="F312" s="302">
        <f t="shared" si="58"/>
        <v>66</v>
      </c>
      <c r="G312" s="601">
        <v>40</v>
      </c>
      <c r="H312" s="725">
        <f t="shared" si="60"/>
        <v>160</v>
      </c>
      <c r="I312" s="318">
        <f t="shared" si="59"/>
        <v>66</v>
      </c>
      <c r="J312" s="526"/>
      <c r="K312" s="655"/>
      <c r="L312" s="321"/>
      <c r="M312" s="322"/>
      <c r="N312" s="322"/>
      <c r="O312" s="322"/>
      <c r="P312" s="322"/>
      <c r="Q312" s="322"/>
    </row>
    <row r="313" spans="1:17" s="71" customFormat="1" ht="24.95" customHeight="1" x14ac:dyDescent="0.2">
      <c r="A313" s="525" t="s">
        <v>426</v>
      </c>
      <c r="B313" s="634" t="s">
        <v>479</v>
      </c>
      <c r="C313" s="601">
        <v>3</v>
      </c>
      <c r="D313" s="601">
        <v>1</v>
      </c>
      <c r="E313" s="601">
        <v>1</v>
      </c>
      <c r="F313" s="302">
        <f t="shared" si="58"/>
        <v>49.5</v>
      </c>
      <c r="G313" s="601">
        <v>40</v>
      </c>
      <c r="H313" s="725">
        <f t="shared" si="60"/>
        <v>120</v>
      </c>
      <c r="I313" s="318">
        <f t="shared" si="59"/>
        <v>49.5</v>
      </c>
      <c r="J313" s="526"/>
      <c r="K313" s="655"/>
      <c r="L313" s="321"/>
      <c r="M313" s="322"/>
      <c r="N313" s="322"/>
      <c r="O313" s="322"/>
      <c r="P313" s="322"/>
      <c r="Q313" s="322"/>
    </row>
    <row r="314" spans="1:17" s="71" customFormat="1" ht="24.95" customHeight="1" x14ac:dyDescent="0.2">
      <c r="A314" s="525" t="s">
        <v>427</v>
      </c>
      <c r="B314" s="634" t="s">
        <v>480</v>
      </c>
      <c r="C314" s="601">
        <v>1</v>
      </c>
      <c r="D314" s="601">
        <v>1.3</v>
      </c>
      <c r="E314" s="601">
        <v>1</v>
      </c>
      <c r="F314" s="302">
        <f t="shared" si="58"/>
        <v>16.5</v>
      </c>
      <c r="G314" s="601">
        <v>40</v>
      </c>
      <c r="H314" s="725">
        <f t="shared" si="60"/>
        <v>40</v>
      </c>
      <c r="I314" s="318">
        <f t="shared" si="59"/>
        <v>16.5</v>
      </c>
      <c r="J314" s="526"/>
      <c r="K314" s="655"/>
      <c r="L314" s="321"/>
      <c r="M314" s="322"/>
      <c r="N314" s="322"/>
      <c r="O314" s="322"/>
      <c r="P314" s="322"/>
      <c r="Q314" s="322"/>
    </row>
    <row r="315" spans="1:17" s="71" customFormat="1" ht="24.95" customHeight="1" x14ac:dyDescent="0.2">
      <c r="A315" s="617" t="s">
        <v>150</v>
      </c>
      <c r="B315" s="618" t="s">
        <v>153</v>
      </c>
      <c r="C315" s="601"/>
      <c r="D315" s="601"/>
      <c r="E315" s="601"/>
      <c r="F315" s="725"/>
      <c r="G315" s="601"/>
      <c r="H315" s="725"/>
      <c r="I315" s="319"/>
      <c r="J315" s="526"/>
      <c r="K315" s="655"/>
      <c r="L315" s="321"/>
      <c r="M315" s="322"/>
      <c r="N315" s="322"/>
      <c r="O315" s="322"/>
      <c r="P315" s="322"/>
      <c r="Q315" s="322"/>
    </row>
    <row r="316" spans="1:17" s="71" customFormat="1" ht="24.95" customHeight="1" x14ac:dyDescent="0.2">
      <c r="A316" s="619" t="s">
        <v>235</v>
      </c>
      <c r="B316" s="599" t="s">
        <v>156</v>
      </c>
      <c r="C316" s="601"/>
      <c r="D316" s="601"/>
      <c r="E316" s="601"/>
      <c r="F316" s="725"/>
      <c r="G316" s="601"/>
      <c r="H316" s="725"/>
      <c r="I316" s="319"/>
      <c r="J316" s="526"/>
      <c r="K316" s="655"/>
      <c r="L316" s="321"/>
      <c r="M316" s="322"/>
      <c r="N316" s="322"/>
      <c r="O316" s="322"/>
      <c r="P316" s="322"/>
      <c r="Q316" s="322"/>
    </row>
    <row r="317" spans="1:17" s="71" customFormat="1" ht="24.95" customHeight="1" x14ac:dyDescent="0.2">
      <c r="A317" s="619" t="s">
        <v>236</v>
      </c>
      <c r="B317" s="599" t="s">
        <v>155</v>
      </c>
      <c r="C317" s="601"/>
      <c r="D317" s="601"/>
      <c r="E317" s="601"/>
      <c r="F317" s="725"/>
      <c r="G317" s="601"/>
      <c r="H317" s="725"/>
      <c r="I317" s="319"/>
      <c r="J317" s="526"/>
      <c r="K317" s="655"/>
      <c r="L317" s="321"/>
      <c r="M317" s="322"/>
      <c r="N317" s="322"/>
      <c r="O317" s="322"/>
      <c r="P317" s="322"/>
      <c r="Q317" s="322"/>
    </row>
    <row r="318" spans="1:17" s="71" customFormat="1" ht="24.95" customHeight="1" x14ac:dyDescent="0.2">
      <c r="A318" s="635" t="s">
        <v>237</v>
      </c>
      <c r="B318" s="683" t="s">
        <v>771</v>
      </c>
      <c r="C318" s="637">
        <v>5</v>
      </c>
      <c r="D318" s="637" t="s">
        <v>727</v>
      </c>
      <c r="E318" s="637">
        <v>1</v>
      </c>
      <c r="F318" s="684">
        <f>I318+J318+K318</f>
        <v>42</v>
      </c>
      <c r="G318" s="637">
        <v>21</v>
      </c>
      <c r="H318" s="674">
        <f t="shared" ref="H318:H319" si="61">C318*E318*G318</f>
        <v>105</v>
      </c>
      <c r="I318" s="685">
        <f>21*2</f>
        <v>42</v>
      </c>
      <c r="J318" s="639"/>
      <c r="K318" s="635"/>
      <c r="L318" s="321"/>
      <c r="M318" s="322"/>
      <c r="N318" s="322"/>
      <c r="O318" s="322"/>
      <c r="P318" s="322"/>
      <c r="Q318" s="322"/>
    </row>
    <row r="319" spans="1:17" s="71" customFormat="1" ht="24.95" customHeight="1" x14ac:dyDescent="0.2">
      <c r="A319" s="635" t="s">
        <v>238</v>
      </c>
      <c r="B319" s="683" t="s">
        <v>158</v>
      </c>
      <c r="C319" s="637">
        <v>5</v>
      </c>
      <c r="D319" s="637" t="s">
        <v>727</v>
      </c>
      <c r="E319" s="637">
        <v>1</v>
      </c>
      <c r="F319" s="684">
        <f>I319+J319+K319</f>
        <v>42</v>
      </c>
      <c r="G319" s="637">
        <v>21</v>
      </c>
      <c r="H319" s="674">
        <f t="shared" si="61"/>
        <v>105</v>
      </c>
      <c r="I319" s="685">
        <f>21*2</f>
        <v>42</v>
      </c>
      <c r="J319" s="639"/>
      <c r="K319" s="635"/>
      <c r="L319" s="321"/>
      <c r="M319" s="322"/>
      <c r="N319" s="322"/>
      <c r="O319" s="322"/>
      <c r="P319" s="322"/>
      <c r="Q319" s="322"/>
    </row>
    <row r="320" spans="1:17" s="71" customFormat="1" ht="24.95" customHeight="1" x14ac:dyDescent="0.2">
      <c r="A320" s="619" t="s">
        <v>239</v>
      </c>
      <c r="B320" s="599" t="s">
        <v>159</v>
      </c>
      <c r="C320" s="601"/>
      <c r="D320" s="601"/>
      <c r="E320" s="601"/>
      <c r="F320" s="725"/>
      <c r="G320" s="601"/>
      <c r="H320" s="725"/>
      <c r="I320" s="319"/>
      <c r="J320" s="526"/>
      <c r="K320" s="655"/>
      <c r="L320" s="321"/>
      <c r="M320" s="322"/>
      <c r="N320" s="322"/>
      <c r="O320" s="322"/>
      <c r="P320" s="322"/>
      <c r="Q320" s="322"/>
    </row>
    <row r="321" spans="1:17" s="71" customFormat="1" ht="24.95" customHeight="1" x14ac:dyDescent="0.2">
      <c r="A321" s="633"/>
      <c r="B321" s="686" t="s">
        <v>403</v>
      </c>
      <c r="C321" s="687">
        <f t="shared" ref="C321:K321" si="62">SUM(C284:C320)</f>
        <v>78</v>
      </c>
      <c r="D321" s="687">
        <f t="shared" si="62"/>
        <v>26.6</v>
      </c>
      <c r="E321" s="687">
        <f t="shared" si="62"/>
        <v>31</v>
      </c>
      <c r="F321" s="687">
        <f t="shared" si="62"/>
        <v>1428.75</v>
      </c>
      <c r="G321" s="687">
        <f t="shared" si="62"/>
        <v>1401</v>
      </c>
      <c r="H321" s="687">
        <f t="shared" si="62"/>
        <v>4018</v>
      </c>
      <c r="I321" s="687">
        <f t="shared" si="62"/>
        <v>1428.75</v>
      </c>
      <c r="J321" s="687">
        <f t="shared" si="62"/>
        <v>0</v>
      </c>
      <c r="K321" s="687">
        <f t="shared" si="62"/>
        <v>0</v>
      </c>
      <c r="L321" s="632"/>
      <c r="M321" s="382"/>
      <c r="N321" s="382"/>
      <c r="O321" s="382"/>
      <c r="P321" s="382"/>
      <c r="Q321" s="382"/>
    </row>
    <row r="322" spans="1:17" s="71" customFormat="1" ht="24.95" customHeight="1" x14ac:dyDescent="0.2">
      <c r="A322" s="625">
        <v>2</v>
      </c>
      <c r="B322" s="625" t="s">
        <v>166</v>
      </c>
      <c r="C322" s="601"/>
      <c r="D322" s="601"/>
      <c r="E322" s="601"/>
      <c r="F322" s="725"/>
      <c r="G322" s="601"/>
      <c r="H322" s="725"/>
      <c r="I322" s="319"/>
      <c r="J322" s="526"/>
      <c r="K322" s="655"/>
      <c r="L322" s="321"/>
      <c r="M322" s="322"/>
      <c r="N322" s="322"/>
      <c r="O322" s="322"/>
      <c r="P322" s="322"/>
      <c r="Q322" s="322"/>
    </row>
    <row r="323" spans="1:17" s="71" customFormat="1" ht="24.95" customHeight="1" x14ac:dyDescent="0.2">
      <c r="A323" s="626" t="s">
        <v>149</v>
      </c>
      <c r="B323" s="627" t="s">
        <v>167</v>
      </c>
      <c r="C323" s="601"/>
      <c r="D323" s="601"/>
      <c r="E323" s="601"/>
      <c r="F323" s="725"/>
      <c r="G323" s="601"/>
      <c r="H323" s="725"/>
      <c r="I323" s="319"/>
      <c r="J323" s="526"/>
      <c r="K323" s="655"/>
      <c r="L323" s="321"/>
      <c r="M323" s="322"/>
      <c r="N323" s="322"/>
      <c r="O323" s="322"/>
      <c r="P323" s="322"/>
      <c r="Q323" s="322"/>
    </row>
    <row r="324" spans="1:17" s="71" customFormat="1" ht="24.95" customHeight="1" x14ac:dyDescent="0.2">
      <c r="A324" s="599" t="s">
        <v>229</v>
      </c>
      <c r="B324" s="628" t="s">
        <v>481</v>
      </c>
      <c r="C324" s="601">
        <v>3</v>
      </c>
      <c r="D324" s="601">
        <v>1</v>
      </c>
      <c r="E324" s="601">
        <v>6</v>
      </c>
      <c r="F324" s="302">
        <f t="shared" ref="F324:F336" si="63">I324+J324+K324</f>
        <v>445.5</v>
      </c>
      <c r="G324" s="601">
        <v>30</v>
      </c>
      <c r="H324" s="725">
        <f>C324*E324*G324</f>
        <v>540</v>
      </c>
      <c r="I324" s="318">
        <f>IF(G324&lt;70, C324*E324*16.5*1.5, C324*E324*16.5*1.5)</f>
        <v>445.5</v>
      </c>
      <c r="J324" s="526"/>
      <c r="K324" s="655"/>
      <c r="L324" s="321"/>
      <c r="M324" s="322"/>
      <c r="N324" s="322"/>
      <c r="O324" s="322"/>
      <c r="P324" s="322"/>
      <c r="Q324" s="322"/>
    </row>
    <row r="325" spans="1:17" s="71" customFormat="1" ht="24.95" customHeight="1" x14ac:dyDescent="0.2">
      <c r="A325" s="599" t="s">
        <v>230</v>
      </c>
      <c r="B325" s="628" t="s">
        <v>482</v>
      </c>
      <c r="C325" s="601">
        <v>3</v>
      </c>
      <c r="D325" s="601">
        <v>1</v>
      </c>
      <c r="E325" s="601">
        <v>6</v>
      </c>
      <c r="F325" s="302">
        <f t="shared" si="63"/>
        <v>445.5</v>
      </c>
      <c r="G325" s="601">
        <v>30</v>
      </c>
      <c r="H325" s="725">
        <f t="shared" ref="H325:H336" si="64">C325*E325*G325</f>
        <v>540</v>
      </c>
      <c r="I325" s="318">
        <f t="shared" ref="I325:I331" si="65">IF(G325&lt;70, C325*E325*16.5*1.5, C325*E325*16.5*1.5)</f>
        <v>445.5</v>
      </c>
      <c r="J325" s="526"/>
      <c r="K325" s="655"/>
      <c r="L325" s="321"/>
      <c r="M325" s="322"/>
      <c r="N325" s="322"/>
      <c r="O325" s="322"/>
      <c r="P325" s="322"/>
      <c r="Q325" s="322"/>
    </row>
    <row r="326" spans="1:17" s="71" customFormat="1" ht="24.95" customHeight="1" x14ac:dyDescent="0.2">
      <c r="A326" s="599" t="s">
        <v>231</v>
      </c>
      <c r="B326" s="628" t="s">
        <v>483</v>
      </c>
      <c r="C326" s="601">
        <v>3</v>
      </c>
      <c r="D326" s="601">
        <v>1</v>
      </c>
      <c r="E326" s="601">
        <v>1</v>
      </c>
      <c r="F326" s="302">
        <f t="shared" si="63"/>
        <v>74.25</v>
      </c>
      <c r="G326" s="601">
        <v>30</v>
      </c>
      <c r="H326" s="725">
        <f t="shared" si="64"/>
        <v>90</v>
      </c>
      <c r="I326" s="318">
        <f t="shared" si="65"/>
        <v>74.25</v>
      </c>
      <c r="J326" s="526"/>
      <c r="K326" s="655"/>
      <c r="L326" s="321"/>
      <c r="M326" s="322"/>
      <c r="N326" s="322"/>
      <c r="O326" s="322"/>
      <c r="P326" s="322"/>
      <c r="Q326" s="322"/>
    </row>
    <row r="327" spans="1:17" s="71" customFormat="1" ht="24.95" customHeight="1" x14ac:dyDescent="0.2">
      <c r="A327" s="599" t="s">
        <v>232</v>
      </c>
      <c r="B327" s="628" t="s">
        <v>484</v>
      </c>
      <c r="C327" s="601">
        <v>3</v>
      </c>
      <c r="D327" s="601">
        <v>1</v>
      </c>
      <c r="E327" s="601">
        <v>1</v>
      </c>
      <c r="F327" s="302">
        <f t="shared" si="63"/>
        <v>74.25</v>
      </c>
      <c r="G327" s="601">
        <v>30</v>
      </c>
      <c r="H327" s="725">
        <f t="shared" si="64"/>
        <v>90</v>
      </c>
      <c r="I327" s="318">
        <f t="shared" si="65"/>
        <v>74.25</v>
      </c>
      <c r="J327" s="526"/>
      <c r="K327" s="655"/>
      <c r="L327" s="321"/>
      <c r="M327" s="322"/>
      <c r="N327" s="322"/>
      <c r="O327" s="322"/>
      <c r="P327" s="322"/>
      <c r="Q327" s="322"/>
    </row>
    <row r="328" spans="1:17" s="71" customFormat="1" ht="24.95" customHeight="1" x14ac:dyDescent="0.2">
      <c r="A328" s="599" t="s">
        <v>233</v>
      </c>
      <c r="B328" s="629" t="s">
        <v>485</v>
      </c>
      <c r="C328" s="601">
        <v>3</v>
      </c>
      <c r="D328" s="601">
        <v>1</v>
      </c>
      <c r="E328" s="601">
        <v>6</v>
      </c>
      <c r="F328" s="302">
        <f t="shared" si="63"/>
        <v>445.5</v>
      </c>
      <c r="G328" s="601">
        <v>30</v>
      </c>
      <c r="H328" s="725">
        <f t="shared" si="64"/>
        <v>540</v>
      </c>
      <c r="I328" s="318">
        <f t="shared" si="65"/>
        <v>445.5</v>
      </c>
      <c r="J328" s="526"/>
      <c r="K328" s="655"/>
      <c r="L328" s="321"/>
      <c r="M328" s="322"/>
      <c r="N328" s="322"/>
      <c r="O328" s="322"/>
      <c r="P328" s="322"/>
      <c r="Q328" s="322"/>
    </row>
    <row r="329" spans="1:17" s="71" customFormat="1" ht="24.95" customHeight="1" x14ac:dyDescent="0.2">
      <c r="A329" s="599" t="s">
        <v>234</v>
      </c>
      <c r="B329" s="629" t="s">
        <v>486</v>
      </c>
      <c r="C329" s="601">
        <v>3</v>
      </c>
      <c r="D329" s="601">
        <v>1</v>
      </c>
      <c r="E329" s="601">
        <v>6</v>
      </c>
      <c r="F329" s="302">
        <f t="shared" si="63"/>
        <v>445.5</v>
      </c>
      <c r="G329" s="601">
        <v>30</v>
      </c>
      <c r="H329" s="725">
        <f t="shared" si="64"/>
        <v>540</v>
      </c>
      <c r="I329" s="318">
        <f t="shared" si="65"/>
        <v>445.5</v>
      </c>
      <c r="J329" s="526"/>
      <c r="K329" s="617"/>
      <c r="L329" s="595"/>
      <c r="M329" s="688"/>
      <c r="N329" s="688"/>
      <c r="O329" s="688"/>
      <c r="P329" s="688"/>
      <c r="Q329" s="688"/>
    </row>
    <row r="330" spans="1:17" s="71" customFormat="1" ht="24.95" customHeight="1" x14ac:dyDescent="0.2">
      <c r="A330" s="599" t="s">
        <v>285</v>
      </c>
      <c r="B330" s="629" t="s">
        <v>487</v>
      </c>
      <c r="C330" s="601">
        <v>3</v>
      </c>
      <c r="D330" s="601">
        <v>1</v>
      </c>
      <c r="E330" s="601">
        <v>1</v>
      </c>
      <c r="F330" s="302">
        <f t="shared" si="63"/>
        <v>74.25</v>
      </c>
      <c r="G330" s="601">
        <v>30</v>
      </c>
      <c r="H330" s="725">
        <f t="shared" si="64"/>
        <v>90</v>
      </c>
      <c r="I330" s="318">
        <f t="shared" si="65"/>
        <v>74.25</v>
      </c>
      <c r="J330" s="526"/>
      <c r="K330" s="625"/>
      <c r="L330" s="591"/>
      <c r="M330" s="688"/>
      <c r="N330" s="688"/>
      <c r="O330" s="688"/>
      <c r="P330" s="688"/>
      <c r="Q330" s="688"/>
    </row>
    <row r="331" spans="1:17" s="71" customFormat="1" ht="24.95" customHeight="1" x14ac:dyDescent="0.2">
      <c r="A331" s="599" t="s">
        <v>286</v>
      </c>
      <c r="B331" s="629" t="s">
        <v>488</v>
      </c>
      <c r="C331" s="601">
        <v>3</v>
      </c>
      <c r="D331" s="601">
        <v>1</v>
      </c>
      <c r="E331" s="601">
        <v>1</v>
      </c>
      <c r="F331" s="302">
        <f t="shared" si="63"/>
        <v>74.25</v>
      </c>
      <c r="G331" s="601">
        <v>30</v>
      </c>
      <c r="H331" s="725">
        <f t="shared" si="64"/>
        <v>90</v>
      </c>
      <c r="I331" s="318">
        <f t="shared" si="65"/>
        <v>74.25</v>
      </c>
      <c r="J331" s="526"/>
      <c r="K331" s="617"/>
      <c r="L331" s="591"/>
      <c r="M331" s="688"/>
      <c r="N331" s="688"/>
      <c r="O331" s="688"/>
      <c r="P331" s="688"/>
      <c r="Q331" s="688"/>
    </row>
    <row r="332" spans="1:17" s="71" customFormat="1" ht="24.95" customHeight="1" x14ac:dyDescent="0.2">
      <c r="A332" s="599" t="s">
        <v>287</v>
      </c>
      <c r="B332" s="629" t="s">
        <v>489</v>
      </c>
      <c r="C332" s="601">
        <v>3</v>
      </c>
      <c r="D332" s="601">
        <v>1</v>
      </c>
      <c r="E332" s="601">
        <v>6</v>
      </c>
      <c r="F332" s="302">
        <f t="shared" si="63"/>
        <v>445.5</v>
      </c>
      <c r="G332" s="601">
        <v>30</v>
      </c>
      <c r="H332" s="725">
        <f t="shared" si="64"/>
        <v>540</v>
      </c>
      <c r="I332" s="351"/>
      <c r="J332" s="604">
        <f>IF(G332&lt;70, C332*E332*16.5*1.5, C332*E332*16.5*1.5)</f>
        <v>445.5</v>
      </c>
      <c r="K332" s="625"/>
      <c r="L332" s="591"/>
      <c r="M332" s="688"/>
      <c r="N332" s="688"/>
      <c r="O332" s="688"/>
      <c r="P332" s="688"/>
      <c r="Q332" s="688"/>
    </row>
    <row r="333" spans="1:17" s="71" customFormat="1" ht="24.95" customHeight="1" x14ac:dyDescent="0.2">
      <c r="A333" s="599" t="s">
        <v>288</v>
      </c>
      <c r="B333" s="629" t="s">
        <v>490</v>
      </c>
      <c r="C333" s="601">
        <v>3</v>
      </c>
      <c r="D333" s="601">
        <v>1</v>
      </c>
      <c r="E333" s="601">
        <v>6</v>
      </c>
      <c r="F333" s="302">
        <f t="shared" si="63"/>
        <v>445.5</v>
      </c>
      <c r="G333" s="601">
        <v>30</v>
      </c>
      <c r="H333" s="725">
        <f t="shared" si="64"/>
        <v>540</v>
      </c>
      <c r="I333" s="351"/>
      <c r="J333" s="604">
        <f t="shared" ref="J333:J336" si="66">IF(G333&lt;70, C333*E333*16.5*1.5, C333*E333*16.5*1.5)</f>
        <v>445.5</v>
      </c>
      <c r="K333" s="625"/>
      <c r="L333" s="591"/>
      <c r="M333" s="688"/>
      <c r="N333" s="688"/>
      <c r="O333" s="688"/>
      <c r="P333" s="688"/>
      <c r="Q333" s="688"/>
    </row>
    <row r="334" spans="1:17" s="656" customFormat="1" ht="24.95" customHeight="1" x14ac:dyDescent="0.2">
      <c r="A334" s="599" t="s">
        <v>289</v>
      </c>
      <c r="B334" s="629" t="s">
        <v>491</v>
      </c>
      <c r="C334" s="601">
        <v>3</v>
      </c>
      <c r="D334" s="601">
        <v>1</v>
      </c>
      <c r="E334" s="601">
        <v>1</v>
      </c>
      <c r="F334" s="302">
        <f t="shared" si="63"/>
        <v>74.25</v>
      </c>
      <c r="G334" s="601">
        <v>30</v>
      </c>
      <c r="H334" s="725">
        <f t="shared" si="64"/>
        <v>90</v>
      </c>
      <c r="I334" s="689"/>
      <c r="J334" s="604">
        <f t="shared" si="66"/>
        <v>74.25</v>
      </c>
      <c r="K334" s="619"/>
      <c r="L334" s="690"/>
      <c r="M334" s="688"/>
      <c r="N334" s="688"/>
      <c r="O334" s="688"/>
      <c r="P334" s="688"/>
      <c r="Q334" s="688"/>
    </row>
    <row r="335" spans="1:17" s="656" customFormat="1" ht="24.95" customHeight="1" x14ac:dyDescent="0.2">
      <c r="A335" s="599" t="s">
        <v>292</v>
      </c>
      <c r="B335" s="629" t="s">
        <v>492</v>
      </c>
      <c r="C335" s="601">
        <v>3</v>
      </c>
      <c r="D335" s="601">
        <v>1</v>
      </c>
      <c r="E335" s="601">
        <v>1</v>
      </c>
      <c r="F335" s="302">
        <f t="shared" si="63"/>
        <v>74.25</v>
      </c>
      <c r="G335" s="601">
        <v>30</v>
      </c>
      <c r="H335" s="725">
        <f t="shared" si="64"/>
        <v>90</v>
      </c>
      <c r="I335" s="689"/>
      <c r="J335" s="604">
        <f t="shared" si="66"/>
        <v>74.25</v>
      </c>
      <c r="K335" s="619"/>
      <c r="L335" s="690"/>
      <c r="M335" s="688"/>
      <c r="N335" s="688"/>
      <c r="O335" s="688"/>
      <c r="P335" s="688"/>
      <c r="Q335" s="688"/>
    </row>
    <row r="336" spans="1:17" s="656" customFormat="1" ht="24.95" customHeight="1" x14ac:dyDescent="0.2">
      <c r="A336" s="599" t="s">
        <v>293</v>
      </c>
      <c r="B336" s="629" t="s">
        <v>486</v>
      </c>
      <c r="C336" s="601">
        <v>3</v>
      </c>
      <c r="D336" s="601">
        <v>1</v>
      </c>
      <c r="E336" s="601">
        <v>1</v>
      </c>
      <c r="F336" s="302">
        <f t="shared" si="63"/>
        <v>74.25</v>
      </c>
      <c r="G336" s="601">
        <v>30</v>
      </c>
      <c r="H336" s="725">
        <f t="shared" si="64"/>
        <v>90</v>
      </c>
      <c r="I336" s="319"/>
      <c r="J336" s="604">
        <f t="shared" si="66"/>
        <v>74.25</v>
      </c>
      <c r="K336" s="691"/>
      <c r="L336" s="692"/>
      <c r="M336" s="693"/>
      <c r="N336" s="693"/>
      <c r="O336" s="693"/>
      <c r="P336" s="693"/>
      <c r="Q336" s="693"/>
    </row>
    <row r="337" spans="1:17" s="656" customFormat="1" ht="24.95" customHeight="1" x14ac:dyDescent="0.2">
      <c r="A337" s="617" t="s">
        <v>150</v>
      </c>
      <c r="B337" s="618" t="s">
        <v>533</v>
      </c>
      <c r="C337" s="601"/>
      <c r="D337" s="601"/>
      <c r="E337" s="601"/>
      <c r="F337" s="725"/>
      <c r="G337" s="601"/>
      <c r="H337" s="725"/>
      <c r="I337" s="319"/>
      <c r="J337" s="526"/>
      <c r="K337" s="691"/>
      <c r="L337" s="692"/>
      <c r="M337" s="693"/>
      <c r="N337" s="693"/>
      <c r="O337" s="693"/>
      <c r="P337" s="693"/>
      <c r="Q337" s="693"/>
    </row>
    <row r="338" spans="1:17" s="656" customFormat="1" ht="24.95" customHeight="1" x14ac:dyDescent="0.2">
      <c r="A338" s="619" t="s">
        <v>538</v>
      </c>
      <c r="B338" s="599" t="s">
        <v>494</v>
      </c>
      <c r="C338" s="601">
        <v>15</v>
      </c>
      <c r="D338" s="601">
        <v>1</v>
      </c>
      <c r="E338" s="601">
        <v>1</v>
      </c>
      <c r="F338" s="302">
        <f>I338+J338+K338</f>
        <v>175</v>
      </c>
      <c r="G338" s="601">
        <v>5</v>
      </c>
      <c r="H338" s="725">
        <f>C338*G338</f>
        <v>75</v>
      </c>
      <c r="I338" s="318">
        <f>G338*35</f>
        <v>175</v>
      </c>
      <c r="J338" s="526"/>
      <c r="K338" s="691"/>
      <c r="L338" s="694"/>
      <c r="M338" s="694"/>
      <c r="N338" s="694"/>
      <c r="O338" s="694"/>
      <c r="P338" s="694"/>
      <c r="Q338" s="694"/>
    </row>
    <row r="339" spans="1:17" s="656" customFormat="1" ht="24.95" customHeight="1" x14ac:dyDescent="0.2">
      <c r="A339" s="619" t="s">
        <v>539</v>
      </c>
      <c r="B339" s="599" t="s">
        <v>728</v>
      </c>
      <c r="C339" s="601">
        <v>15</v>
      </c>
      <c r="D339" s="601">
        <v>1</v>
      </c>
      <c r="E339" s="601">
        <v>1</v>
      </c>
      <c r="F339" s="302">
        <f t="shared" ref="F339:F351" si="67">I339+J339+K339</f>
        <v>245</v>
      </c>
      <c r="G339" s="601">
        <v>7</v>
      </c>
      <c r="H339" s="725">
        <f t="shared" ref="H339:H350" si="68">C339*G339</f>
        <v>105</v>
      </c>
      <c r="I339" s="318"/>
      <c r="J339" s="604">
        <v>245</v>
      </c>
      <c r="K339" s="691"/>
      <c r="L339" s="693"/>
      <c r="M339" s="693"/>
      <c r="N339" s="693"/>
      <c r="O339" s="693"/>
      <c r="P339" s="693"/>
      <c r="Q339" s="693"/>
    </row>
    <row r="340" spans="1:17" s="656" customFormat="1" ht="24.95" customHeight="1" x14ac:dyDescent="0.2">
      <c r="A340" s="619" t="s">
        <v>540</v>
      </c>
      <c r="B340" s="599" t="s">
        <v>495</v>
      </c>
      <c r="C340" s="601">
        <v>15</v>
      </c>
      <c r="D340" s="601">
        <v>1</v>
      </c>
      <c r="E340" s="601">
        <v>1</v>
      </c>
      <c r="F340" s="302">
        <f t="shared" si="67"/>
        <v>175</v>
      </c>
      <c r="G340" s="601">
        <v>5</v>
      </c>
      <c r="H340" s="725">
        <f t="shared" si="68"/>
        <v>75</v>
      </c>
      <c r="I340" s="318">
        <f>G340*35</f>
        <v>175</v>
      </c>
      <c r="J340" s="604"/>
      <c r="K340" s="691"/>
      <c r="L340" s="695"/>
      <c r="M340" s="695"/>
      <c r="N340" s="695"/>
      <c r="O340" s="695"/>
      <c r="P340" s="695"/>
      <c r="Q340" s="695"/>
    </row>
    <row r="341" spans="1:17" s="656" customFormat="1" ht="24.95" customHeight="1" x14ac:dyDescent="0.2">
      <c r="A341" s="619" t="s">
        <v>541</v>
      </c>
      <c r="B341" s="599" t="s">
        <v>496</v>
      </c>
      <c r="C341" s="601">
        <v>15</v>
      </c>
      <c r="D341" s="601">
        <v>1</v>
      </c>
      <c r="E341" s="601">
        <v>1</v>
      </c>
      <c r="F341" s="302">
        <f t="shared" si="67"/>
        <v>175</v>
      </c>
      <c r="G341" s="601">
        <v>5</v>
      </c>
      <c r="H341" s="725">
        <f t="shared" si="68"/>
        <v>75</v>
      </c>
      <c r="I341" s="319"/>
      <c r="J341" s="604">
        <f>G341*35</f>
        <v>175</v>
      </c>
      <c r="K341" s="691"/>
      <c r="L341" s="692"/>
      <c r="M341" s="1059"/>
      <c r="N341" s="1059"/>
      <c r="O341" s="1059"/>
      <c r="P341" s="1059"/>
      <c r="Q341" s="1059"/>
    </row>
    <row r="342" spans="1:17" s="656" customFormat="1" ht="24.95" customHeight="1" x14ac:dyDescent="0.2">
      <c r="A342" s="619" t="s">
        <v>542</v>
      </c>
      <c r="B342" s="599" t="s">
        <v>497</v>
      </c>
      <c r="C342" s="601">
        <v>15</v>
      </c>
      <c r="D342" s="601">
        <v>1</v>
      </c>
      <c r="E342" s="601">
        <v>1</v>
      </c>
      <c r="F342" s="302">
        <f t="shared" si="67"/>
        <v>175</v>
      </c>
      <c r="G342" s="601">
        <v>5</v>
      </c>
      <c r="H342" s="725">
        <f t="shared" si="68"/>
        <v>75</v>
      </c>
      <c r="I342" s="319"/>
      <c r="J342" s="604">
        <f>G342*35</f>
        <v>175</v>
      </c>
      <c r="K342" s="691"/>
      <c r="L342" s="692"/>
      <c r="M342" s="693"/>
      <c r="N342" s="693"/>
      <c r="O342" s="693"/>
      <c r="P342" s="693"/>
      <c r="Q342" s="693"/>
    </row>
    <row r="343" spans="1:17" ht="24.95" customHeight="1" x14ac:dyDescent="0.2">
      <c r="A343" s="619" t="s">
        <v>543</v>
      </c>
      <c r="B343" s="599" t="s">
        <v>534</v>
      </c>
      <c r="C343" s="601">
        <v>15</v>
      </c>
      <c r="D343" s="601">
        <v>1</v>
      </c>
      <c r="E343" s="601">
        <v>1</v>
      </c>
      <c r="F343" s="302">
        <f t="shared" si="67"/>
        <v>175</v>
      </c>
      <c r="G343" s="601">
        <v>5</v>
      </c>
      <c r="H343" s="725">
        <f t="shared" si="68"/>
        <v>75</v>
      </c>
      <c r="I343" s="318">
        <f>G343*35</f>
        <v>175</v>
      </c>
      <c r="J343" s="696"/>
      <c r="K343" s="691"/>
      <c r="L343" s="692"/>
      <c r="M343" s="693"/>
      <c r="N343" s="693"/>
      <c r="O343" s="693"/>
      <c r="P343" s="693"/>
      <c r="Q343" s="693"/>
    </row>
    <row r="344" spans="1:17" ht="24.95" customHeight="1" x14ac:dyDescent="0.2">
      <c r="A344" s="619" t="s">
        <v>544</v>
      </c>
      <c r="B344" s="599" t="s">
        <v>535</v>
      </c>
      <c r="C344" s="601">
        <v>15</v>
      </c>
      <c r="D344" s="601">
        <v>1</v>
      </c>
      <c r="E344" s="601">
        <v>1</v>
      </c>
      <c r="F344" s="302">
        <f t="shared" si="67"/>
        <v>175</v>
      </c>
      <c r="G344" s="601">
        <v>5</v>
      </c>
      <c r="H344" s="725">
        <f t="shared" si="68"/>
        <v>75</v>
      </c>
      <c r="I344" s="318">
        <f t="shared" ref="I344:I346" si="69">G344*35</f>
        <v>175</v>
      </c>
      <c r="J344" s="696"/>
      <c r="K344" s="691"/>
      <c r="L344" s="692"/>
      <c r="M344" s="697"/>
      <c r="N344" s="697"/>
      <c r="O344" s="697"/>
      <c r="P344" s="697"/>
      <c r="Q344" s="697"/>
    </row>
    <row r="345" spans="1:17" ht="24.95" customHeight="1" x14ac:dyDescent="0.2">
      <c r="A345" s="619" t="s">
        <v>545</v>
      </c>
      <c r="B345" s="632" t="s">
        <v>536</v>
      </c>
      <c r="C345" s="601">
        <v>15</v>
      </c>
      <c r="D345" s="601">
        <v>1</v>
      </c>
      <c r="E345" s="601">
        <v>1</v>
      </c>
      <c r="F345" s="302">
        <f t="shared" si="67"/>
        <v>175</v>
      </c>
      <c r="G345" s="601">
        <v>5</v>
      </c>
      <c r="H345" s="725">
        <f t="shared" si="68"/>
        <v>75</v>
      </c>
      <c r="I345" s="318">
        <f t="shared" si="69"/>
        <v>175</v>
      </c>
      <c r="J345" s="698"/>
      <c r="K345" s="691"/>
      <c r="L345" s="692"/>
      <c r="M345" s="697"/>
      <c r="N345" s="697"/>
      <c r="O345" s="697"/>
      <c r="P345" s="697"/>
      <c r="Q345" s="697"/>
    </row>
    <row r="346" spans="1:17" ht="24.95" customHeight="1" x14ac:dyDescent="0.2">
      <c r="A346" s="619" t="s">
        <v>546</v>
      </c>
      <c r="B346" s="632" t="s">
        <v>537</v>
      </c>
      <c r="C346" s="601">
        <v>15</v>
      </c>
      <c r="D346" s="601">
        <v>1</v>
      </c>
      <c r="E346" s="601">
        <v>1</v>
      </c>
      <c r="F346" s="302">
        <f t="shared" si="67"/>
        <v>175</v>
      </c>
      <c r="G346" s="601">
        <v>5</v>
      </c>
      <c r="H346" s="725">
        <f t="shared" si="68"/>
        <v>75</v>
      </c>
      <c r="I346" s="318">
        <f t="shared" si="69"/>
        <v>175</v>
      </c>
      <c r="J346" s="604"/>
      <c r="K346" s="691"/>
      <c r="L346" s="692"/>
      <c r="M346" s="697"/>
      <c r="N346" s="697"/>
      <c r="O346" s="697"/>
      <c r="P346" s="697"/>
      <c r="Q346" s="697"/>
    </row>
    <row r="347" spans="1:17" ht="24.95" customHeight="1" x14ac:dyDescent="0.2">
      <c r="A347" s="619" t="s">
        <v>547</v>
      </c>
      <c r="B347" s="632" t="s">
        <v>598</v>
      </c>
      <c r="C347" s="601">
        <v>15</v>
      </c>
      <c r="D347" s="601">
        <v>1</v>
      </c>
      <c r="E347" s="601">
        <v>1</v>
      </c>
      <c r="F347" s="302">
        <f t="shared" si="67"/>
        <v>175</v>
      </c>
      <c r="G347" s="601">
        <v>5</v>
      </c>
      <c r="H347" s="725">
        <f t="shared" si="68"/>
        <v>75</v>
      </c>
      <c r="I347" s="318">
        <f>G347*35</f>
        <v>175</v>
      </c>
      <c r="J347" s="604"/>
      <c r="K347" s="691"/>
      <c r="L347" s="692"/>
      <c r="M347" s="697"/>
      <c r="N347" s="697"/>
      <c r="O347" s="697"/>
      <c r="P347" s="697"/>
      <c r="Q347" s="697"/>
    </row>
    <row r="348" spans="1:17" ht="24.95" customHeight="1" x14ac:dyDescent="0.2">
      <c r="A348" s="619" t="s">
        <v>729</v>
      </c>
      <c r="B348" s="632" t="s">
        <v>730</v>
      </c>
      <c r="C348" s="601">
        <v>15</v>
      </c>
      <c r="D348" s="601">
        <v>1</v>
      </c>
      <c r="E348" s="601">
        <v>1</v>
      </c>
      <c r="F348" s="302">
        <f t="shared" si="67"/>
        <v>175</v>
      </c>
      <c r="G348" s="601">
        <v>5</v>
      </c>
      <c r="H348" s="725">
        <f t="shared" si="68"/>
        <v>75</v>
      </c>
      <c r="I348" s="318">
        <f t="shared" ref="I348:I350" si="70">G348*35</f>
        <v>175</v>
      </c>
      <c r="J348" s="604"/>
      <c r="K348" s="691"/>
      <c r="L348" s="692"/>
      <c r="M348" s="697"/>
      <c r="N348" s="697"/>
      <c r="O348" s="697"/>
      <c r="P348" s="697"/>
      <c r="Q348" s="697"/>
    </row>
    <row r="349" spans="1:17" ht="24.95" customHeight="1" x14ac:dyDescent="0.2">
      <c r="A349" s="619" t="s">
        <v>731</v>
      </c>
      <c r="B349" s="632" t="s">
        <v>732</v>
      </c>
      <c r="C349" s="601">
        <v>15</v>
      </c>
      <c r="D349" s="601">
        <v>1</v>
      </c>
      <c r="E349" s="601">
        <v>1</v>
      </c>
      <c r="F349" s="302">
        <f t="shared" si="67"/>
        <v>140</v>
      </c>
      <c r="G349" s="601">
        <v>2</v>
      </c>
      <c r="H349" s="725">
        <f>C349*G349</f>
        <v>30</v>
      </c>
      <c r="I349" s="318">
        <f t="shared" si="70"/>
        <v>70</v>
      </c>
      <c r="J349" s="604">
        <f>G349*35</f>
        <v>70</v>
      </c>
      <c r="K349" s="691"/>
      <c r="L349" s="692"/>
      <c r="M349" s="697"/>
      <c r="N349" s="697"/>
      <c r="O349" s="697"/>
      <c r="P349" s="697"/>
      <c r="Q349" s="697"/>
    </row>
    <row r="350" spans="1:17" ht="24.95" customHeight="1" x14ac:dyDescent="0.2">
      <c r="A350" s="619" t="s">
        <v>733</v>
      </c>
      <c r="B350" s="632" t="s">
        <v>734</v>
      </c>
      <c r="C350" s="601">
        <v>15</v>
      </c>
      <c r="D350" s="601">
        <v>1</v>
      </c>
      <c r="E350" s="601">
        <v>1</v>
      </c>
      <c r="F350" s="302">
        <f t="shared" si="67"/>
        <v>140</v>
      </c>
      <c r="G350" s="601">
        <v>2</v>
      </c>
      <c r="H350" s="725">
        <f t="shared" si="68"/>
        <v>30</v>
      </c>
      <c r="I350" s="318">
        <f t="shared" si="70"/>
        <v>70</v>
      </c>
      <c r="J350" s="604">
        <f>G350*35</f>
        <v>70</v>
      </c>
      <c r="K350" s="691"/>
      <c r="L350" s="692"/>
      <c r="M350" s="699"/>
      <c r="N350" s="699"/>
      <c r="O350" s="699"/>
      <c r="P350" s="699"/>
      <c r="Q350" s="699"/>
    </row>
    <row r="351" spans="1:17" ht="24.95" customHeight="1" x14ac:dyDescent="0.2">
      <c r="A351" s="671"/>
      <c r="B351" s="700" t="s">
        <v>735</v>
      </c>
      <c r="C351" s="601">
        <v>15</v>
      </c>
      <c r="D351" s="601">
        <v>1</v>
      </c>
      <c r="E351" s="601">
        <v>1</v>
      </c>
      <c r="F351" s="302">
        <f t="shared" si="67"/>
        <v>2030</v>
      </c>
      <c r="G351" s="601">
        <v>58</v>
      </c>
      <c r="H351" s="725">
        <f>C351*G351</f>
        <v>870</v>
      </c>
      <c r="I351" s="318"/>
      <c r="J351" s="604"/>
      <c r="K351" s="604">
        <f>G351*35</f>
        <v>2030</v>
      </c>
      <c r="L351" s="692"/>
      <c r="M351" s="693"/>
      <c r="N351" s="693"/>
      <c r="O351" s="693"/>
      <c r="P351" s="693"/>
      <c r="Q351" s="693"/>
    </row>
    <row r="352" spans="1:17" ht="24.95" customHeight="1" x14ac:dyDescent="0.2">
      <c r="A352" s="620"/>
      <c r="B352" s="621" t="s">
        <v>403</v>
      </c>
      <c r="C352" s="622">
        <f>SUM(C324:C351)</f>
        <v>249</v>
      </c>
      <c r="D352" s="622">
        <f t="shared" ref="D352:K352" si="71">SUM(D324:D351)</f>
        <v>27</v>
      </c>
      <c r="E352" s="622">
        <f t="shared" si="71"/>
        <v>57</v>
      </c>
      <c r="F352" s="622">
        <f t="shared" si="71"/>
        <v>7497.75</v>
      </c>
      <c r="G352" s="622">
        <f t="shared" si="71"/>
        <v>509</v>
      </c>
      <c r="H352" s="622">
        <f t="shared" si="71"/>
        <v>5655</v>
      </c>
      <c r="I352" s="622">
        <f t="shared" si="71"/>
        <v>3619</v>
      </c>
      <c r="J352" s="622">
        <f t="shared" si="71"/>
        <v>1848.75</v>
      </c>
      <c r="K352" s="622">
        <f t="shared" si="71"/>
        <v>2030</v>
      </c>
      <c r="L352" s="692"/>
      <c r="M352" s="693"/>
      <c r="N352" s="693"/>
      <c r="O352" s="693"/>
      <c r="P352" s="693"/>
      <c r="Q352" s="693"/>
    </row>
    <row r="353" spans="1:17" ht="24.95" customHeight="1" x14ac:dyDescent="0.2">
      <c r="A353" s="625">
        <v>3</v>
      </c>
      <c r="B353" s="625" t="s">
        <v>168</v>
      </c>
      <c r="C353" s="601"/>
      <c r="D353" s="601"/>
      <c r="E353" s="601"/>
      <c r="F353" s="302"/>
      <c r="G353" s="601"/>
      <c r="H353" s="725"/>
      <c r="I353" s="318"/>
      <c r="J353" s="526"/>
      <c r="K353" s="691"/>
      <c r="L353" s="692"/>
      <c r="M353" s="693"/>
      <c r="N353" s="693"/>
      <c r="O353" s="693"/>
      <c r="P353" s="693"/>
      <c r="Q353" s="693"/>
    </row>
    <row r="354" spans="1:17" ht="24.95" customHeight="1" x14ac:dyDescent="0.2">
      <c r="A354" s="626" t="s">
        <v>149</v>
      </c>
      <c r="B354" s="627" t="s">
        <v>169</v>
      </c>
      <c r="C354" s="601"/>
      <c r="D354" s="601"/>
      <c r="E354" s="601"/>
      <c r="F354" s="302"/>
      <c r="G354" s="601"/>
      <c r="H354" s="725"/>
      <c r="I354" s="318"/>
      <c r="J354" s="526"/>
      <c r="K354" s="691"/>
      <c r="L354" s="692"/>
      <c r="M354" s="693"/>
      <c r="N354" s="693"/>
      <c r="O354" s="693"/>
      <c r="P354" s="693"/>
      <c r="Q354" s="693"/>
    </row>
    <row r="355" spans="1:17" ht="24.95" customHeight="1" x14ac:dyDescent="0.2">
      <c r="A355" s="599" t="s">
        <v>229</v>
      </c>
      <c r="B355" s="628" t="s">
        <v>498</v>
      </c>
      <c r="C355" s="601">
        <v>3</v>
      </c>
      <c r="D355" s="601">
        <v>1</v>
      </c>
      <c r="E355" s="601">
        <v>1</v>
      </c>
      <c r="F355" s="725">
        <f>I355+J355+K355</f>
        <v>99</v>
      </c>
      <c r="G355" s="601">
        <v>11</v>
      </c>
      <c r="H355" s="725">
        <f>C355*E355*G355</f>
        <v>33</v>
      </c>
      <c r="I355" s="318">
        <f>IF(G355&lt;70, C355*E355*16.5*2, C355*E355*16.5*2)</f>
        <v>99</v>
      </c>
      <c r="J355" s="526"/>
      <c r="K355" s="691"/>
      <c r="L355" s="692"/>
      <c r="M355" s="693"/>
      <c r="N355" s="693"/>
      <c r="O355" s="693"/>
      <c r="P355" s="693"/>
      <c r="Q355" s="693"/>
    </row>
    <row r="356" spans="1:17" ht="24.95" customHeight="1" x14ac:dyDescent="0.2">
      <c r="A356" s="599" t="s">
        <v>230</v>
      </c>
      <c r="B356" s="628" t="s">
        <v>499</v>
      </c>
      <c r="C356" s="601">
        <v>3</v>
      </c>
      <c r="D356" s="601">
        <v>1</v>
      </c>
      <c r="E356" s="601">
        <v>1</v>
      </c>
      <c r="F356" s="725">
        <f t="shared" ref="F356:F359" si="72">I356+J356+K356</f>
        <v>99</v>
      </c>
      <c r="G356" s="601">
        <v>11</v>
      </c>
      <c r="H356" s="725">
        <f t="shared" ref="H356:H357" si="73">C356*E356*G356</f>
        <v>33</v>
      </c>
      <c r="I356" s="318">
        <f t="shared" ref="I356:I357" si="74">IF(G356&lt;70, C356*E356*16.5*2, C356*E356*16.5*2)</f>
        <v>99</v>
      </c>
      <c r="J356" s="526"/>
      <c r="K356" s="691"/>
      <c r="L356" s="692"/>
      <c r="M356" s="693"/>
      <c r="N356" s="693"/>
      <c r="O356" s="693"/>
      <c r="P356" s="693"/>
      <c r="Q356" s="693"/>
    </row>
    <row r="357" spans="1:17" ht="24.95" customHeight="1" x14ac:dyDescent="0.2">
      <c r="A357" s="619" t="s">
        <v>500</v>
      </c>
      <c r="B357" s="599" t="s">
        <v>501</v>
      </c>
      <c r="C357" s="601">
        <v>3</v>
      </c>
      <c r="D357" s="601">
        <v>1</v>
      </c>
      <c r="E357" s="601">
        <v>1</v>
      </c>
      <c r="F357" s="725">
        <f t="shared" si="72"/>
        <v>99</v>
      </c>
      <c r="G357" s="601">
        <v>11</v>
      </c>
      <c r="H357" s="725">
        <f t="shared" si="73"/>
        <v>33</v>
      </c>
      <c r="I357" s="318">
        <f t="shared" si="74"/>
        <v>99</v>
      </c>
      <c r="J357" s="526"/>
      <c r="K357" s="691"/>
      <c r="L357" s="692"/>
      <c r="M357" s="693"/>
      <c r="N357" s="693"/>
      <c r="O357" s="693"/>
      <c r="P357" s="693"/>
      <c r="Q357" s="693"/>
    </row>
    <row r="358" spans="1:17" ht="24.95" customHeight="1" x14ac:dyDescent="0.2">
      <c r="A358" s="617" t="s">
        <v>150</v>
      </c>
      <c r="B358" s="618" t="s">
        <v>170</v>
      </c>
      <c r="C358" s="601"/>
      <c r="D358" s="601"/>
      <c r="E358" s="601"/>
      <c r="F358" s="302"/>
      <c r="G358" s="601"/>
      <c r="H358" s="725"/>
      <c r="I358" s="319"/>
      <c r="J358" s="526"/>
      <c r="K358" s="691"/>
      <c r="L358" s="692"/>
      <c r="M358" s="693"/>
      <c r="N358" s="693"/>
      <c r="O358" s="693"/>
      <c r="P358" s="693"/>
      <c r="Q358" s="693"/>
    </row>
    <row r="359" spans="1:17" ht="24.95" customHeight="1" x14ac:dyDescent="0.2">
      <c r="A359" s="617"/>
      <c r="B359" s="618" t="s">
        <v>736</v>
      </c>
      <c r="C359" s="601"/>
      <c r="D359" s="601"/>
      <c r="E359" s="601"/>
      <c r="F359" s="747">
        <f t="shared" si="72"/>
        <v>1440</v>
      </c>
      <c r="G359" s="601"/>
      <c r="H359" s="725"/>
      <c r="I359" s="319">
        <v>1440</v>
      </c>
      <c r="J359" s="526"/>
      <c r="K359" s="691"/>
      <c r="L359" s="692"/>
      <c r="M359" s="693"/>
      <c r="N359" s="693"/>
      <c r="O359" s="693"/>
      <c r="P359" s="693"/>
      <c r="Q359" s="693" t="s">
        <v>772</v>
      </c>
    </row>
    <row r="360" spans="1:17" ht="24.95" customHeight="1" x14ac:dyDescent="0.2">
      <c r="A360" s="617"/>
      <c r="B360" s="618" t="s">
        <v>737</v>
      </c>
      <c r="C360" s="601"/>
      <c r="D360" s="601"/>
      <c r="E360" s="601"/>
      <c r="F360" s="725"/>
      <c r="G360" s="601"/>
      <c r="H360" s="725"/>
      <c r="I360" s="319"/>
      <c r="J360" s="526"/>
      <c r="K360" s="691"/>
      <c r="L360" s="692"/>
      <c r="M360" s="693"/>
      <c r="N360" s="693"/>
      <c r="O360" s="693"/>
      <c r="P360" s="693"/>
      <c r="Q360" s="693"/>
    </row>
    <row r="361" spans="1:17" ht="24.95" customHeight="1" x14ac:dyDescent="0.2">
      <c r="A361" s="617"/>
      <c r="B361" s="618" t="s">
        <v>502</v>
      </c>
      <c r="C361" s="601"/>
      <c r="D361" s="601"/>
      <c r="E361" s="601"/>
      <c r="F361" s="725"/>
      <c r="G361" s="601"/>
      <c r="H361" s="725"/>
      <c r="I361" s="319"/>
      <c r="J361" s="526"/>
      <c r="K361" s="691"/>
      <c r="L361" s="692"/>
      <c r="M361" s="693"/>
      <c r="N361" s="693"/>
      <c r="O361" s="693"/>
      <c r="P361" s="693"/>
      <c r="Q361" s="693"/>
    </row>
    <row r="362" spans="1:17" ht="24.95" customHeight="1" x14ac:dyDescent="0.2">
      <c r="A362" s="619"/>
      <c r="B362" s="599" t="s">
        <v>503</v>
      </c>
      <c r="C362" s="601"/>
      <c r="D362" s="601"/>
      <c r="E362" s="601"/>
      <c r="F362" s="302"/>
      <c r="G362" s="601"/>
      <c r="H362" s="725"/>
      <c r="I362" s="319"/>
      <c r="J362" s="526"/>
      <c r="K362" s="691"/>
      <c r="L362" s="692"/>
      <c r="M362" s="693"/>
      <c r="N362" s="693"/>
      <c r="O362" s="693"/>
      <c r="P362" s="693"/>
      <c r="Q362" s="693"/>
    </row>
    <row r="363" spans="1:17" ht="24.95" customHeight="1" x14ac:dyDescent="0.2">
      <c r="A363" s="617" t="s">
        <v>171</v>
      </c>
      <c r="B363" s="618" t="s">
        <v>172</v>
      </c>
      <c r="C363" s="601"/>
      <c r="D363" s="601"/>
      <c r="E363" s="601"/>
      <c r="F363" s="302"/>
      <c r="G363" s="601"/>
      <c r="H363" s="725"/>
      <c r="I363" s="319"/>
      <c r="J363" s="526"/>
      <c r="K363" s="691"/>
      <c r="L363" s="692"/>
      <c r="M363" s="693"/>
      <c r="N363" s="693"/>
      <c r="O363" s="693"/>
      <c r="P363" s="693"/>
      <c r="Q363" s="693"/>
    </row>
    <row r="364" spans="1:17" ht="24.95" customHeight="1" x14ac:dyDescent="0.2">
      <c r="A364" s="619"/>
      <c r="B364" s="599" t="s">
        <v>773</v>
      </c>
      <c r="C364" s="601"/>
      <c r="D364" s="601"/>
      <c r="E364" s="601"/>
      <c r="F364" s="747">
        <f t="shared" ref="F364:F366" si="75">I364+J364+K364</f>
        <v>1000</v>
      </c>
      <c r="G364" s="601"/>
      <c r="H364" s="596"/>
      <c r="I364" s="596">
        <v>1000</v>
      </c>
      <c r="J364" s="526"/>
      <c r="K364" s="691"/>
      <c r="L364" s="692"/>
      <c r="M364" s="693"/>
      <c r="N364" s="693"/>
      <c r="O364" s="693"/>
      <c r="P364" s="693"/>
      <c r="Q364" s="693"/>
    </row>
    <row r="365" spans="1:17" ht="24.95" customHeight="1" x14ac:dyDescent="0.2">
      <c r="A365" s="619"/>
      <c r="B365" s="599" t="s">
        <v>504</v>
      </c>
      <c r="C365" s="601"/>
      <c r="D365" s="601"/>
      <c r="E365" s="601"/>
      <c r="F365" s="747">
        <f t="shared" si="75"/>
        <v>0</v>
      </c>
      <c r="G365" s="601"/>
      <c r="H365" s="725"/>
      <c r="I365" s="319"/>
      <c r="J365" s="526"/>
      <c r="K365" s="691"/>
      <c r="L365" s="692"/>
      <c r="M365" s="693"/>
      <c r="N365" s="693"/>
      <c r="O365" s="693"/>
      <c r="P365" s="693"/>
      <c r="Q365" s="693"/>
    </row>
    <row r="366" spans="1:17" ht="24.95" customHeight="1" x14ac:dyDescent="0.2">
      <c r="A366" s="619"/>
      <c r="B366" s="599" t="s">
        <v>503</v>
      </c>
      <c r="C366" s="601"/>
      <c r="D366" s="601"/>
      <c r="E366" s="601"/>
      <c r="F366" s="747">
        <f t="shared" si="75"/>
        <v>550</v>
      </c>
      <c r="G366" s="601"/>
      <c r="H366" s="725"/>
      <c r="I366" s="319"/>
      <c r="J366" s="526">
        <v>550</v>
      </c>
      <c r="K366" s="691"/>
      <c r="L366" s="692"/>
      <c r="M366" s="693"/>
      <c r="N366" s="693"/>
      <c r="O366" s="693"/>
      <c r="P366" s="693"/>
      <c r="Q366" s="693"/>
    </row>
    <row r="367" spans="1:17" ht="24.95" customHeight="1" x14ac:dyDescent="0.2">
      <c r="A367" s="620"/>
      <c r="B367" s="621" t="s">
        <v>403</v>
      </c>
      <c r="C367" s="622">
        <f>SUM(C355:C366)</f>
        <v>9</v>
      </c>
      <c r="D367" s="622">
        <f t="shared" ref="D367:K367" si="76">SUM(D355:D366)</f>
        <v>3</v>
      </c>
      <c r="E367" s="622">
        <f t="shared" si="76"/>
        <v>3</v>
      </c>
      <c r="F367" s="622">
        <f>SUM(F355:F366)</f>
        <v>3287</v>
      </c>
      <c r="G367" s="622">
        <f t="shared" si="76"/>
        <v>33</v>
      </c>
      <c r="H367" s="622">
        <f t="shared" si="76"/>
        <v>99</v>
      </c>
      <c r="I367" s="622">
        <f t="shared" si="76"/>
        <v>2737</v>
      </c>
      <c r="J367" s="622">
        <f t="shared" si="76"/>
        <v>550</v>
      </c>
      <c r="K367" s="622">
        <f t="shared" si="76"/>
        <v>0</v>
      </c>
      <c r="L367" s="692"/>
      <c r="M367" s="693"/>
      <c r="N367" s="693"/>
      <c r="O367" s="693"/>
      <c r="P367" s="693"/>
      <c r="Q367" s="693"/>
    </row>
    <row r="368" spans="1:17" ht="24.95" customHeight="1" x14ac:dyDescent="0.2">
      <c r="A368" s="659" t="s">
        <v>528</v>
      </c>
      <c r="B368" s="659" t="s">
        <v>529</v>
      </c>
      <c r="C368" s="601"/>
      <c r="D368" s="601"/>
      <c r="E368" s="601"/>
      <c r="F368" s="302"/>
      <c r="G368" s="601"/>
      <c r="H368" s="725"/>
      <c r="I368" s="318"/>
      <c r="J368" s="526"/>
      <c r="K368" s="691"/>
      <c r="L368" s="692"/>
      <c r="M368" s="693"/>
      <c r="N368" s="693"/>
      <c r="O368" s="693"/>
      <c r="P368" s="693"/>
      <c r="Q368" s="693"/>
    </row>
    <row r="369" spans="1:17" ht="24.95" customHeight="1" x14ac:dyDescent="0.2">
      <c r="A369" s="659">
        <v>1</v>
      </c>
      <c r="B369" s="660" t="s">
        <v>228</v>
      </c>
      <c r="C369" s="601"/>
      <c r="D369" s="601"/>
      <c r="E369" s="601"/>
      <c r="F369" s="302"/>
      <c r="G369" s="601"/>
      <c r="H369" s="725"/>
      <c r="I369" s="318"/>
      <c r="J369" s="526"/>
      <c r="K369" s="691"/>
      <c r="L369" s="692"/>
      <c r="M369" s="693"/>
      <c r="N369" s="693"/>
      <c r="O369" s="693"/>
      <c r="P369" s="693"/>
      <c r="Q369" s="693"/>
    </row>
    <row r="370" spans="1:17" ht="24.95" customHeight="1" x14ac:dyDescent="0.2">
      <c r="A370" s="659" t="s">
        <v>404</v>
      </c>
      <c r="B370" s="660" t="s">
        <v>165</v>
      </c>
      <c r="C370" s="601"/>
      <c r="D370" s="601"/>
      <c r="E370" s="601"/>
      <c r="F370" s="725"/>
      <c r="G370" s="601"/>
      <c r="H370" s="596"/>
      <c r="I370" s="596"/>
      <c r="J370" s="526"/>
      <c r="K370" s="691"/>
      <c r="L370" s="692"/>
      <c r="M370" s="693"/>
      <c r="N370" s="693"/>
      <c r="O370" s="693"/>
      <c r="P370" s="693"/>
      <c r="Q370" s="693"/>
    </row>
    <row r="371" spans="1:17" s="704" customFormat="1" ht="24.95" customHeight="1" x14ac:dyDescent="0.2">
      <c r="A371" s="635" t="s">
        <v>229</v>
      </c>
      <c r="B371" s="701" t="s">
        <v>739</v>
      </c>
      <c r="C371" s="637">
        <v>2</v>
      </c>
      <c r="D371" s="637">
        <v>1</v>
      </c>
      <c r="E371" s="637">
        <v>5</v>
      </c>
      <c r="F371" s="674">
        <f>I371+J371+K371</f>
        <v>165</v>
      </c>
      <c r="G371" s="382">
        <v>40</v>
      </c>
      <c r="H371" s="725">
        <f t="shared" ref="H371:H373" si="77">C371*E371*G371</f>
        <v>400</v>
      </c>
      <c r="I371" s="318">
        <f>IF(G371&lt;70, C371*E371*16.5*1, C371*E371*16.5*1.3)</f>
        <v>165</v>
      </c>
      <c r="J371" s="526"/>
      <c r="K371" s="691"/>
      <c r="L371" s="702"/>
      <c r="M371" s="703"/>
      <c r="N371" s="703"/>
      <c r="O371" s="703"/>
      <c r="P371" s="703"/>
      <c r="Q371" s="703"/>
    </row>
    <row r="372" spans="1:17" s="704" customFormat="1" ht="24.95" customHeight="1" x14ac:dyDescent="0.2">
      <c r="A372" s="635" t="s">
        <v>229</v>
      </c>
      <c r="B372" s="701" t="s">
        <v>740</v>
      </c>
      <c r="C372" s="637">
        <v>2</v>
      </c>
      <c r="D372" s="637">
        <v>1</v>
      </c>
      <c r="E372" s="637">
        <v>4</v>
      </c>
      <c r="F372" s="674">
        <f t="shared" ref="F372:F373" si="78">I372+J372+K372</f>
        <v>132</v>
      </c>
      <c r="G372" s="382">
        <v>40</v>
      </c>
      <c r="H372" s="725">
        <f t="shared" si="77"/>
        <v>320</v>
      </c>
      <c r="I372" s="318">
        <f t="shared" ref="I372:I373" si="79">IF(G372&lt;70, C372*E372*16.5*1, C372*E372*16.5*1.3)</f>
        <v>132</v>
      </c>
      <c r="J372" s="526"/>
      <c r="K372" s="691"/>
      <c r="L372" s="705"/>
      <c r="M372" s="706"/>
      <c r="N372" s="706"/>
      <c r="O372" s="706"/>
      <c r="P372" s="706"/>
      <c r="Q372" s="706"/>
    </row>
    <row r="373" spans="1:17" s="704" customFormat="1" ht="24.95" customHeight="1" x14ac:dyDescent="0.2">
      <c r="A373" s="635" t="s">
        <v>230</v>
      </c>
      <c r="B373" s="701" t="s">
        <v>741</v>
      </c>
      <c r="C373" s="637">
        <v>2</v>
      </c>
      <c r="D373" s="637">
        <v>1</v>
      </c>
      <c r="E373" s="637">
        <v>4</v>
      </c>
      <c r="F373" s="674">
        <f t="shared" si="78"/>
        <v>132</v>
      </c>
      <c r="G373" s="382">
        <v>40</v>
      </c>
      <c r="H373" s="725">
        <f t="shared" si="77"/>
        <v>320</v>
      </c>
      <c r="I373" s="318">
        <f t="shared" si="79"/>
        <v>132</v>
      </c>
      <c r="J373" s="526"/>
      <c r="K373" s="691"/>
      <c r="L373" s="707"/>
      <c r="M373" s="707"/>
      <c r="N373" s="707"/>
      <c r="O373" s="707"/>
      <c r="P373" s="707"/>
      <c r="Q373" s="706"/>
    </row>
    <row r="374" spans="1:17" s="704" customFormat="1" ht="24.95" customHeight="1" x14ac:dyDescent="0.2">
      <c r="A374" s="620"/>
      <c r="B374" s="621" t="s">
        <v>403</v>
      </c>
      <c r="C374" s="622">
        <f>SUM(C371:C373)</f>
        <v>6</v>
      </c>
      <c r="D374" s="622">
        <f t="shared" ref="D374:K374" si="80">SUM(D371:D373)</f>
        <v>3</v>
      </c>
      <c r="E374" s="622">
        <f t="shared" si="80"/>
        <v>13</v>
      </c>
      <c r="F374" s="622">
        <f t="shared" si="80"/>
        <v>429</v>
      </c>
      <c r="G374" s="622">
        <f t="shared" si="80"/>
        <v>120</v>
      </c>
      <c r="H374" s="622">
        <f t="shared" si="80"/>
        <v>1040</v>
      </c>
      <c r="I374" s="622">
        <f t="shared" si="80"/>
        <v>429</v>
      </c>
      <c r="J374" s="622">
        <f t="shared" si="80"/>
        <v>0</v>
      </c>
      <c r="K374" s="622">
        <f t="shared" si="80"/>
        <v>0</v>
      </c>
      <c r="L374" s="708"/>
      <c r="M374" s="708"/>
      <c r="N374" s="708"/>
      <c r="O374" s="708"/>
      <c r="P374" s="708"/>
      <c r="Q374" s="706"/>
    </row>
    <row r="375" spans="1:17" s="704" customFormat="1" ht="24.95" customHeight="1" x14ac:dyDescent="0.2">
      <c r="A375" s="671"/>
      <c r="B375" s="672" t="s">
        <v>505</v>
      </c>
      <c r="C375" s="539">
        <f>C321+C352+C367+C374</f>
        <v>342</v>
      </c>
      <c r="D375" s="539">
        <f t="shared" ref="D375:K375" si="81">D321+D352+D367+D374</f>
        <v>59.6</v>
      </c>
      <c r="E375" s="539">
        <f t="shared" si="81"/>
        <v>104</v>
      </c>
      <c r="F375" s="539">
        <f t="shared" si="81"/>
        <v>12642.5</v>
      </c>
      <c r="G375" s="539">
        <f t="shared" si="81"/>
        <v>2063</v>
      </c>
      <c r="H375" s="539">
        <f t="shared" si="81"/>
        <v>10812</v>
      </c>
      <c r="I375" s="539">
        <f t="shared" si="81"/>
        <v>8213.75</v>
      </c>
      <c r="J375" s="539">
        <f t="shared" si="81"/>
        <v>2398.75</v>
      </c>
      <c r="K375" s="539">
        <f t="shared" si="81"/>
        <v>2030</v>
      </c>
      <c r="L375" s="709">
        <f>'Bieu3 QLGD'!F25</f>
        <v>1890</v>
      </c>
      <c r="M375" s="709">
        <f>'Bieu3 QLGD'!N25</f>
        <v>1606.5</v>
      </c>
      <c r="N375" s="709">
        <f>I375-M375</f>
        <v>6607.25</v>
      </c>
      <c r="O375" s="709">
        <f>'Bieu3 QLGD'!O25</f>
        <v>1266.75</v>
      </c>
      <c r="P375" s="709">
        <f>'Bieu3 QLGD'!P25</f>
        <v>650</v>
      </c>
      <c r="Q375" s="710" t="s">
        <v>774</v>
      </c>
    </row>
    <row r="376" spans="1:17" s="704" customFormat="1" ht="24.95" customHeight="1" x14ac:dyDescent="0.2">
      <c r="A376" s="711"/>
      <c r="B376" s="712"/>
      <c r="C376" s="713"/>
      <c r="D376" s="713"/>
      <c r="E376" s="714"/>
      <c r="F376" s="713"/>
      <c r="G376" s="713"/>
      <c r="H376" s="713"/>
      <c r="I376" s="713"/>
      <c r="J376" s="713"/>
      <c r="K376" s="715"/>
      <c r="L376" s="708"/>
      <c r="M376" s="708"/>
      <c r="N376" s="708"/>
      <c r="O376" s="708"/>
      <c r="P376" s="708"/>
      <c r="Q376" s="706"/>
    </row>
    <row r="377" spans="1:17" ht="24.95" customHeight="1" x14ac:dyDescent="0.2">
      <c r="A377" s="591" t="s">
        <v>7</v>
      </c>
      <c r="B377" s="591" t="s">
        <v>164</v>
      </c>
      <c r="C377" s="596">
        <f t="shared" ref="C377:P377" si="82">C63+C207+C243+C321+C150</f>
        <v>315</v>
      </c>
      <c r="D377" s="596">
        <f t="shared" si="82"/>
        <v>119.28</v>
      </c>
      <c r="E377" s="596">
        <f t="shared" si="82"/>
        <v>367</v>
      </c>
      <c r="F377" s="596">
        <f t="shared" si="82"/>
        <v>19452.900000000001</v>
      </c>
      <c r="G377" s="596">
        <f t="shared" si="82"/>
        <v>6143</v>
      </c>
      <c r="H377" s="596">
        <f t="shared" si="82"/>
        <v>53107</v>
      </c>
      <c r="I377" s="596">
        <f t="shared" si="82"/>
        <v>19353.900000000001</v>
      </c>
      <c r="J377" s="596">
        <f t="shared" si="82"/>
        <v>99</v>
      </c>
      <c r="K377" s="596">
        <f t="shared" si="82"/>
        <v>0</v>
      </c>
      <c r="L377" s="596">
        <f t="shared" si="82"/>
        <v>0</v>
      </c>
      <c r="M377" s="596">
        <f t="shared" si="82"/>
        <v>0</v>
      </c>
      <c r="N377" s="596">
        <f t="shared" si="82"/>
        <v>0</v>
      </c>
      <c r="O377" s="596">
        <f t="shared" si="82"/>
        <v>0</v>
      </c>
      <c r="P377" s="596">
        <f t="shared" si="82"/>
        <v>0</v>
      </c>
      <c r="Q377" s="302"/>
    </row>
    <row r="378" spans="1:17" ht="24.95" customHeight="1" x14ac:dyDescent="0.2">
      <c r="A378" s="716" t="s">
        <v>8</v>
      </c>
      <c r="B378" s="591" t="s">
        <v>174</v>
      </c>
      <c r="C378" s="596">
        <f t="shared" ref="C378:K378" si="83">C352+C262+C217+C162+C74</f>
        <v>351</v>
      </c>
      <c r="D378" s="596">
        <f t="shared" si="83"/>
        <v>53</v>
      </c>
      <c r="E378" s="596">
        <f t="shared" si="83"/>
        <v>93</v>
      </c>
      <c r="F378" s="596">
        <f t="shared" si="83"/>
        <v>10512.25</v>
      </c>
      <c r="G378" s="596">
        <f t="shared" si="83"/>
        <v>844</v>
      </c>
      <c r="H378" s="596">
        <f t="shared" si="83"/>
        <v>7398</v>
      </c>
      <c r="I378" s="596">
        <f t="shared" si="83"/>
        <v>6485</v>
      </c>
      <c r="J378" s="596">
        <f t="shared" si="83"/>
        <v>1848.75</v>
      </c>
      <c r="K378" s="596">
        <f t="shared" si="83"/>
        <v>2178.5</v>
      </c>
      <c r="L378" s="596">
        <v>0</v>
      </c>
      <c r="M378" s="596">
        <v>0</v>
      </c>
      <c r="N378" s="596">
        <v>0</v>
      </c>
      <c r="O378" s="596">
        <v>0</v>
      </c>
      <c r="P378" s="596">
        <v>0</v>
      </c>
      <c r="Q378" s="302"/>
    </row>
    <row r="379" spans="1:17" ht="24.95" customHeight="1" x14ac:dyDescent="0.2">
      <c r="A379" s="716" t="s">
        <v>25</v>
      </c>
      <c r="B379" s="595" t="s">
        <v>168</v>
      </c>
      <c r="C379" s="596">
        <f>C367</f>
        <v>9</v>
      </c>
      <c r="D379" s="596">
        <f>D364+D260</f>
        <v>0</v>
      </c>
      <c r="E379" s="596">
        <f>E367</f>
        <v>3</v>
      </c>
      <c r="F379" s="596">
        <f t="shared" ref="F379:K379" si="84">F367</f>
        <v>3287</v>
      </c>
      <c r="G379" s="596">
        <f t="shared" si="84"/>
        <v>33</v>
      </c>
      <c r="H379" s="596">
        <f t="shared" si="84"/>
        <v>99</v>
      </c>
      <c r="I379" s="596">
        <f t="shared" si="84"/>
        <v>2737</v>
      </c>
      <c r="J379" s="596">
        <f t="shared" si="84"/>
        <v>550</v>
      </c>
      <c r="K379" s="596">
        <f t="shared" si="84"/>
        <v>0</v>
      </c>
      <c r="L379" s="596">
        <v>0</v>
      </c>
      <c r="M379" s="596">
        <v>0</v>
      </c>
      <c r="N379" s="596">
        <v>0</v>
      </c>
      <c r="O379" s="596">
        <v>0</v>
      </c>
      <c r="P379" s="596">
        <v>0</v>
      </c>
      <c r="Q379" s="302"/>
    </row>
    <row r="380" spans="1:17" ht="24.95" customHeight="1" x14ac:dyDescent="0.2">
      <c r="A380" s="716"/>
      <c r="B380" s="595" t="s">
        <v>569</v>
      </c>
      <c r="C380" s="596">
        <f t="shared" ref="C380:K380" si="85">C374+C277+C224+C184+C103</f>
        <v>124</v>
      </c>
      <c r="D380" s="596">
        <f t="shared" si="85"/>
        <v>37</v>
      </c>
      <c r="E380" s="596">
        <f t="shared" si="85"/>
        <v>298</v>
      </c>
      <c r="F380" s="596">
        <f t="shared" si="85"/>
        <v>21781.65</v>
      </c>
      <c r="G380" s="596">
        <f t="shared" si="85"/>
        <v>1940</v>
      </c>
      <c r="H380" s="596">
        <f t="shared" si="85"/>
        <v>61440</v>
      </c>
      <c r="I380" s="596">
        <f t="shared" si="85"/>
        <v>21781.65</v>
      </c>
      <c r="J380" s="596">
        <f t="shared" si="85"/>
        <v>0</v>
      </c>
      <c r="K380" s="596">
        <f t="shared" si="85"/>
        <v>0</v>
      </c>
      <c r="L380" s="596">
        <v>0</v>
      </c>
      <c r="M380" s="596">
        <v>0</v>
      </c>
      <c r="N380" s="596">
        <v>0</v>
      </c>
      <c r="O380" s="596">
        <v>0</v>
      </c>
      <c r="P380" s="596">
        <v>0</v>
      </c>
      <c r="Q380" s="302"/>
    </row>
    <row r="381" spans="1:17" ht="24.95" customHeight="1" x14ac:dyDescent="0.2">
      <c r="A381" s="716"/>
      <c r="B381" s="595" t="s">
        <v>570</v>
      </c>
      <c r="C381" s="596">
        <v>0</v>
      </c>
      <c r="D381" s="596"/>
      <c r="E381" s="596">
        <v>0</v>
      </c>
      <c r="F381" s="596">
        <v>0</v>
      </c>
      <c r="G381" s="596">
        <v>0</v>
      </c>
      <c r="H381" s="596">
        <v>0</v>
      </c>
      <c r="I381" s="596">
        <v>0</v>
      </c>
      <c r="J381" s="596">
        <v>0</v>
      </c>
      <c r="K381" s="717">
        <v>0</v>
      </c>
      <c r="L381" s="717">
        <v>0</v>
      </c>
      <c r="M381" s="717">
        <v>0</v>
      </c>
      <c r="N381" s="717">
        <v>0</v>
      </c>
      <c r="O381" s="717">
        <v>0</v>
      </c>
      <c r="P381" s="717">
        <v>0</v>
      </c>
      <c r="Q381" s="302"/>
    </row>
    <row r="382" spans="1:17" ht="24.95" customHeight="1" x14ac:dyDescent="0.2">
      <c r="A382" s="718"/>
      <c r="B382" s="352" t="s">
        <v>507</v>
      </c>
      <c r="C382" s="332">
        <f t="shared" ref="C382:P382" si="86">C375+C278+C225+C185+C105</f>
        <v>799</v>
      </c>
      <c r="D382" s="332">
        <f t="shared" si="86"/>
        <v>212.28</v>
      </c>
      <c r="E382" s="332">
        <f t="shared" si="86"/>
        <v>761</v>
      </c>
      <c r="F382" s="332">
        <f t="shared" si="86"/>
        <v>55033.8</v>
      </c>
      <c r="G382" s="332">
        <f t="shared" si="86"/>
        <v>8960</v>
      </c>
      <c r="H382" s="332">
        <f t="shared" si="86"/>
        <v>122044</v>
      </c>
      <c r="I382" s="332">
        <f>I375+I278+I225+I185+I105</f>
        <v>50357.55</v>
      </c>
      <c r="J382" s="332">
        <f t="shared" si="86"/>
        <v>2497.75</v>
      </c>
      <c r="K382" s="332">
        <f t="shared" si="86"/>
        <v>2178.5</v>
      </c>
      <c r="L382" s="332">
        <f t="shared" si="86"/>
        <v>10192</v>
      </c>
      <c r="M382" s="332">
        <f t="shared" si="86"/>
        <v>8261.5</v>
      </c>
      <c r="N382" s="332">
        <f t="shared" si="86"/>
        <v>42096.05</v>
      </c>
      <c r="O382" s="332">
        <f t="shared" si="86"/>
        <v>6513</v>
      </c>
      <c r="P382" s="332">
        <f t="shared" si="86"/>
        <v>3099</v>
      </c>
      <c r="Q382" s="302"/>
    </row>
    <row r="383" spans="1:17" x14ac:dyDescent="0.2">
      <c r="C383" s="212"/>
      <c r="D383" s="1060" t="s">
        <v>603</v>
      </c>
      <c r="E383" s="1060"/>
      <c r="F383" s="1060"/>
      <c r="G383" s="1060"/>
      <c r="H383" s="1060"/>
      <c r="I383" s="1060"/>
      <c r="J383" s="724">
        <f>J382+K382</f>
        <v>4676.25</v>
      </c>
      <c r="K383" s="721"/>
      <c r="L383" s="721"/>
      <c r="M383" s="721"/>
      <c r="N383" s="1061" t="s">
        <v>647</v>
      </c>
      <c r="O383" s="1061"/>
      <c r="P383" s="1061"/>
      <c r="Q383" s="1061"/>
    </row>
    <row r="384" spans="1:17" ht="12.75" customHeight="1" x14ac:dyDescent="0.2">
      <c r="A384" s="726"/>
      <c r="B384" s="726"/>
      <c r="C384" s="212"/>
      <c r="D384" s="212"/>
      <c r="E384" s="212"/>
      <c r="G384" s="212"/>
      <c r="H384" s="212"/>
      <c r="I384" s="212"/>
      <c r="J384" s="212"/>
      <c r="K384" s="721"/>
      <c r="L384" s="721"/>
      <c r="M384" s="721"/>
      <c r="N384" s="1062" t="s">
        <v>577</v>
      </c>
      <c r="O384" s="1062"/>
      <c r="P384" s="1062"/>
      <c r="Q384" s="1062"/>
    </row>
    <row r="385" spans="1:17" x14ac:dyDescent="0.2">
      <c r="A385" s="726"/>
      <c r="B385" s="1094" t="s">
        <v>775</v>
      </c>
      <c r="C385" s="1094"/>
      <c r="D385" s="1094"/>
      <c r="E385" s="1094"/>
      <c r="F385" s="1094"/>
      <c r="G385" s="1094"/>
      <c r="H385" s="1094"/>
      <c r="I385" s="1094"/>
      <c r="J385" s="1094"/>
      <c r="K385" s="1094"/>
      <c r="L385" s="721"/>
      <c r="M385" s="721"/>
      <c r="N385" s="721"/>
      <c r="O385" s="721"/>
      <c r="P385" s="721"/>
      <c r="Q385" s="727"/>
    </row>
    <row r="386" spans="1:17" ht="26.25" customHeight="1" x14ac:dyDescent="0.2">
      <c r="A386" s="726"/>
      <c r="B386" s="1090" t="s">
        <v>240</v>
      </c>
      <c r="C386" s="1090"/>
      <c r="D386" s="1090"/>
      <c r="E386" s="1090"/>
      <c r="F386" s="1090"/>
      <c r="G386" s="1090"/>
      <c r="H386" s="1090"/>
      <c r="I386" s="1090"/>
      <c r="J386" s="1090"/>
      <c r="K386" s="1090"/>
      <c r="L386" s="721"/>
      <c r="M386" s="721"/>
      <c r="N386" s="721"/>
      <c r="O386" s="721"/>
      <c r="P386" s="721"/>
      <c r="Q386" s="727"/>
    </row>
    <row r="387" spans="1:17" ht="30" customHeight="1" x14ac:dyDescent="0.2">
      <c r="A387" s="726"/>
      <c r="B387" s="1091" t="s">
        <v>76</v>
      </c>
      <c r="C387" s="1091"/>
      <c r="D387" s="1091"/>
      <c r="E387" s="1091"/>
      <c r="F387" s="1091"/>
      <c r="G387" s="1091"/>
      <c r="H387" s="1091"/>
      <c r="I387" s="1091"/>
      <c r="J387" s="1091"/>
      <c r="K387" s="1091"/>
      <c r="L387" s="721"/>
      <c r="M387" s="721"/>
      <c r="N387" s="1058" t="s">
        <v>578</v>
      </c>
      <c r="O387" s="1058"/>
      <c r="P387" s="1058"/>
      <c r="Q387" s="1058"/>
    </row>
  </sheetData>
  <mergeCells count="29">
    <mergeCell ref="F5:F6"/>
    <mergeCell ref="G5:G6"/>
    <mergeCell ref="H5:H6"/>
    <mergeCell ref="A5:A6"/>
    <mergeCell ref="B5:B6"/>
    <mergeCell ref="C5:C6"/>
    <mergeCell ref="D5:D6"/>
    <mergeCell ref="E5:E6"/>
    <mergeCell ref="A1:C1"/>
    <mergeCell ref="I1:N1"/>
    <mergeCell ref="A2:C2"/>
    <mergeCell ref="I2:N2"/>
    <mergeCell ref="A3:Q3"/>
    <mergeCell ref="B386:K386"/>
    <mergeCell ref="B387:K387"/>
    <mergeCell ref="N387:Q387"/>
    <mergeCell ref="P5:P6"/>
    <mergeCell ref="Q5:Q6"/>
    <mergeCell ref="Q151:Q157"/>
    <mergeCell ref="N384:Q384"/>
    <mergeCell ref="B385:K385"/>
    <mergeCell ref="I5:K5"/>
    <mergeCell ref="L5:L6"/>
    <mergeCell ref="M5:M6"/>
    <mergeCell ref="N5:N6"/>
    <mergeCell ref="O5:O6"/>
    <mergeCell ref="D383:I383"/>
    <mergeCell ref="N383:Q383"/>
    <mergeCell ref="M341:Q341"/>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ài liệu" ma:contentTypeID="0x010100BF2AD4DD63D94E46A05C5D22C210A949" ma:contentTypeVersion="15" ma:contentTypeDescription="Tạo tài liệu mới." ma:contentTypeScope="" ma:versionID="ee4b17657a79e9fcbd07a991bc9e522a">
  <xsd:schema xmlns:xsd="http://www.w3.org/2001/XMLSchema" xmlns:xs="http://www.w3.org/2001/XMLSchema" xmlns:p="http://schemas.microsoft.com/office/2006/metadata/properties" xmlns:ns2="740197ad-b108-4f47-8222-499df5378a8c" targetNamespace="http://schemas.microsoft.com/office/2006/metadata/properties" ma:root="true" ma:fieldsID="d03b5a5a2607d9e3698079264453592a"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Thẻ Hình ảnh"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B8E3064-B9F5-4169-A90B-9A6F22740839}"/>
</file>

<file path=customXml/itemProps2.xml><?xml version="1.0" encoding="utf-8"?>
<ds:datastoreItem xmlns:ds="http://schemas.openxmlformats.org/officeDocument/2006/customXml" ds:itemID="{AE422D1F-DAFC-4AE0-B278-2F3863B53D0D}"/>
</file>

<file path=customXml/itemProps3.xml><?xml version="1.0" encoding="utf-8"?>
<ds:datastoreItem xmlns:ds="http://schemas.openxmlformats.org/officeDocument/2006/customXml" ds:itemID="{FF7A33BF-C220-45F1-B8F5-A8A48B421A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29</vt:i4>
      </vt:variant>
    </vt:vector>
  </HeadingPairs>
  <TitlesOfParts>
    <vt:vector size="55" baseType="lpstr">
      <vt:lpstr>Xac nhạn so lượng SV 1920</vt:lpstr>
      <vt:lpstr>Bieu1</vt:lpstr>
      <vt:lpstr>Bieu2</vt:lpstr>
      <vt:lpstr>Bieu2 GDTH</vt:lpstr>
      <vt:lpstr>Bieu2 GDMN</vt:lpstr>
      <vt:lpstr>Bieu2 QLGD</vt:lpstr>
      <vt:lpstr>Bieu2 TLH</vt:lpstr>
      <vt:lpstr>Bieu2 GDH</vt:lpstr>
      <vt:lpstr>Bieu2 các tổ</vt:lpstr>
      <vt:lpstr>Bieu3</vt:lpstr>
      <vt:lpstr>Bieu3 GDH</vt:lpstr>
      <vt:lpstr>Bieu3 TLH</vt:lpstr>
      <vt:lpstr>Bieu3 QLGD</vt:lpstr>
      <vt:lpstr>Bieu3 GDMN</vt:lpstr>
      <vt:lpstr>Bieu3 GDTH</vt:lpstr>
      <vt:lpstr>Bieu4</vt:lpstr>
      <vt:lpstr>Bieu5</vt:lpstr>
      <vt:lpstr>Bieu6</vt:lpstr>
      <vt:lpstr>Bieu 7 NCKH</vt:lpstr>
      <vt:lpstr>Bieu 8</vt:lpstr>
      <vt:lpstr>Bieu 9</vt:lpstr>
      <vt:lpstr>Bieu 10</vt:lpstr>
      <vt:lpstr>Dự kiến xuất bản</vt:lpstr>
      <vt:lpstr>Bieu11</vt:lpstr>
      <vt:lpstr>Bieu 12</vt:lpstr>
      <vt:lpstr>Sheet1</vt:lpstr>
      <vt:lpstr>Bieu2!Print_Area</vt:lpstr>
      <vt:lpstr>'Bieu2 các tổ'!Print_Area</vt:lpstr>
      <vt:lpstr>'Bieu2 GDH'!Print_Area</vt:lpstr>
      <vt:lpstr>'Bieu2 GDMN'!Print_Area</vt:lpstr>
      <vt:lpstr>'Bieu2 GDTH'!Print_Area</vt:lpstr>
      <vt:lpstr>'Bieu2 QLGD'!Print_Area</vt:lpstr>
      <vt:lpstr>'Bieu2 TLH'!Print_Area</vt:lpstr>
      <vt:lpstr>'Bieu3 GDH'!Print_Area</vt:lpstr>
      <vt:lpstr>'Bieu3 GDMN'!Print_Area</vt:lpstr>
      <vt:lpstr>'Bieu3 GDTH'!Print_Area</vt:lpstr>
      <vt:lpstr>'Bieu3 QLGD'!Print_Area</vt:lpstr>
      <vt:lpstr>'Bieu3 TLH'!Print_Area</vt:lpstr>
      <vt:lpstr>'Bieu 12'!Print_Titles</vt:lpstr>
      <vt:lpstr>Bieu2!Print_Titles</vt:lpstr>
      <vt:lpstr>'Bieu2 các tổ'!Print_Titles</vt:lpstr>
      <vt:lpstr>'Bieu2 GDH'!Print_Titles</vt:lpstr>
      <vt:lpstr>'Bieu2 GDMN'!Print_Titles</vt:lpstr>
      <vt:lpstr>'Bieu2 GDTH'!Print_Titles</vt:lpstr>
      <vt:lpstr>'Bieu2 QLGD'!Print_Titles</vt:lpstr>
      <vt:lpstr>'Bieu2 TLH'!Print_Titles</vt:lpstr>
      <vt:lpstr>Bieu3!Print_Titles</vt:lpstr>
      <vt:lpstr>'Bieu3 GDH'!Print_Titles</vt:lpstr>
      <vt:lpstr>'Bieu3 GDMN'!Print_Titles</vt:lpstr>
      <vt:lpstr>'Bieu3 GDTH'!Print_Titles</vt:lpstr>
      <vt:lpstr>'Bieu3 QLGD'!Print_Titles</vt:lpstr>
      <vt:lpstr>'Bieu3 TLH'!Print_Titles</vt:lpstr>
      <vt:lpstr>Bieu4!Print_Titles</vt:lpstr>
      <vt:lpstr>Bieu5!Print_Titles</vt:lpstr>
      <vt:lpstr>Bieu6!Print_Titles</vt:lpstr>
    </vt:vector>
  </TitlesOfParts>
  <Company>DAPT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 Phuong</dc:creator>
  <cp:lastModifiedBy>TRAN MINH TUAN</cp:lastModifiedBy>
  <cp:lastPrinted>2018-08-09T10:51:00Z</cp:lastPrinted>
  <dcterms:created xsi:type="dcterms:W3CDTF">2002-09-19T17:35:53Z</dcterms:created>
  <dcterms:modified xsi:type="dcterms:W3CDTF">2019-07-27T08:37:06Z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