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showInkAnnotation="0" codeName="ThisWorkbook" autoCompressPictures="0"/>
  <mc:AlternateContent xmlns:mc="http://schemas.openxmlformats.org/markup-compatibility/2006">
    <mc:Choice Requires="x15">
      <x15ac:absPath xmlns:x15ac="http://schemas.microsoft.com/office/spreadsheetml/2010/11/ac" url="C:\Users\trant\OneDrive\Desktop\Tiêu chuẩn 11. Đại học C.quy\H11.11.05\H11.11.05.09\Kế hoạch năm học Khoa GDTH\"/>
    </mc:Choice>
  </mc:AlternateContent>
  <xr:revisionPtr revIDLastSave="0" documentId="8_{9BD06851-823B-4A95-9A8A-2CE7211B72DA}" xr6:coauthVersionLast="47" xr6:coauthVersionMax="47" xr10:uidLastSave="{00000000-0000-0000-0000-000000000000}"/>
  <bookViews>
    <workbookView xWindow="-110" yWindow="-110" windowWidth="19420" windowHeight="11500" tabRatio="889" activeTab="2" xr2:uid="{00000000-000D-0000-FFFF-FFFF00000000}"/>
  </bookViews>
  <sheets>
    <sheet name="Xac nhạn so lượng SV 2021" sheetId="55" r:id="rId1"/>
    <sheet name="Bieu1" sheetId="20" r:id="rId2"/>
    <sheet name="Bieu2" sheetId="52" r:id="rId3"/>
    <sheet name="Bieu2 GDTH" sheetId="51" state="hidden" r:id="rId4"/>
    <sheet name="Bieu2 GDMN" sheetId="50" state="hidden" r:id="rId5"/>
    <sheet name="Bieu2 QLGD" sheetId="49" state="hidden" r:id="rId6"/>
    <sheet name="Bieu2 TLH" sheetId="48" state="hidden" r:id="rId7"/>
    <sheet name="Bieu2 GDH" sheetId="42" state="hidden" r:id="rId8"/>
    <sheet name="Bieu2 các tổ" sheetId="53" state="hidden" r:id="rId9"/>
    <sheet name="Bieu3" sheetId="37" r:id="rId10"/>
    <sheet name="Bieu3 GDH" sheetId="41" r:id="rId11"/>
    <sheet name="Bieu3 TLH" sheetId="40" r:id="rId12"/>
    <sheet name="Bieu3 QLGD" sheetId="39" r:id="rId13"/>
    <sheet name="Bieu3 GDMN" sheetId="38" r:id="rId14"/>
    <sheet name="Bieu3 GDTH" sheetId="7" r:id="rId15"/>
    <sheet name="Bieu4" sheetId="10" r:id="rId16"/>
    <sheet name="Bieu5" sheetId="11" r:id="rId17"/>
    <sheet name="Bieu6" sheetId="12" r:id="rId18"/>
    <sheet name="Bieu 7 NCKH" sheetId="13" r:id="rId19"/>
    <sheet name="Biểu 7B Xuất bản" sheetId="64" r:id="rId20"/>
    <sheet name="Bieu 8" sheetId="36" r:id="rId21"/>
    <sheet name="Bieu 9" sheetId="19" r:id="rId22"/>
    <sheet name="Bieu 10" sheetId="17" r:id="rId23"/>
    <sheet name="Bieu11" sheetId="18" r:id="rId24"/>
    <sheet name="Bieu 12" sheetId="32" r:id="rId25"/>
    <sheet name="Dự toán TTSP GDTH" sheetId="47" r:id="rId26"/>
    <sheet name="Dự toán HK1 RLNV GDTH" sheetId="56" r:id="rId27"/>
    <sheet name="Dự toán hk2 RLNVSP GDTH" sheetId="58" r:id="rId28"/>
    <sheet name="Dự toán hội thi VCĐ-GTN GDTH" sheetId="59" r:id="rId29"/>
    <sheet name="Dự toán TTSP GDMN k58" sheetId="60" r:id="rId30"/>
    <sheet name="Dự toán RLNVSP 1 GDMN" sheetId="57" r:id="rId31"/>
    <sheet name="Dự toán RLNVSP2 GDMN" sheetId="61" r:id="rId32"/>
    <sheet name="Sheet7" sheetId="62" r:id="rId33"/>
    <sheet name="Sheet8" sheetId="63" r:id="rId34"/>
  </sheets>
  <definedNames>
    <definedName name="_xlnm.Print_Area" localSheetId="2">Bieu2!$A$1:$Q$303</definedName>
    <definedName name="_xlnm.Print_Area" localSheetId="8">'Bieu2 các tổ'!$A$1:$Q$387</definedName>
    <definedName name="_xlnm.Print_Area" localSheetId="7">'Bieu2 GDH'!$A$1:$Q$346</definedName>
    <definedName name="_xlnm.Print_Area" localSheetId="4">'Bieu2 GDMN'!$A$1:$Q$346</definedName>
    <definedName name="_xlnm.Print_Area" localSheetId="3">'Bieu2 GDTH'!$A$1:$Q$346</definedName>
    <definedName name="_xlnm.Print_Area" localSheetId="5">'Bieu2 QLGD'!$A$1:$Q$346</definedName>
    <definedName name="_xlnm.Print_Area" localSheetId="6">'Bieu2 TLH'!$A$1:$Q$346</definedName>
    <definedName name="_xlnm.Print_Area" localSheetId="10">'Bieu3 GDH'!$A$1:$Q$22</definedName>
    <definedName name="_xlnm.Print_Area" localSheetId="13">'Bieu3 GDMN'!$A$1:$Q$27</definedName>
    <definedName name="_xlnm.Print_Area" localSheetId="14">'Bieu3 GDTH'!$A$1:$Q$26</definedName>
    <definedName name="_xlnm.Print_Area" localSheetId="12">'Bieu3 QLGD'!$A$1:$Q$27</definedName>
    <definedName name="_xlnm.Print_Area" localSheetId="11">'Bieu3 TLH'!$A$1:$Q$24</definedName>
    <definedName name="_xlnm.Print_Titles" localSheetId="24">'Bieu 12'!$4:$4</definedName>
    <definedName name="_xlnm.Print_Titles" localSheetId="2">Bieu2!$5:$5</definedName>
    <definedName name="_xlnm.Print_Titles" localSheetId="8">'Bieu2 các tổ'!$5:$5</definedName>
    <definedName name="_xlnm.Print_Titles" localSheetId="7">'Bieu2 GDH'!$5:$5</definedName>
    <definedName name="_xlnm.Print_Titles" localSheetId="4">'Bieu2 GDMN'!$5:$5</definedName>
    <definedName name="_xlnm.Print_Titles" localSheetId="3">'Bieu2 GDTH'!$5:$5</definedName>
    <definedName name="_xlnm.Print_Titles" localSheetId="5">'Bieu2 QLGD'!$5:$5</definedName>
    <definedName name="_xlnm.Print_Titles" localSheetId="6">'Bieu2 TLH'!$5:$5</definedName>
    <definedName name="_xlnm.Print_Titles" localSheetId="9">Bieu3!$5:$5</definedName>
    <definedName name="_xlnm.Print_Titles" localSheetId="10">'Bieu3 GDH'!$5:$5</definedName>
    <definedName name="_xlnm.Print_Titles" localSheetId="13">'Bieu3 GDMN'!$5:$5</definedName>
    <definedName name="_xlnm.Print_Titles" localSheetId="14">'Bieu3 GDTH'!$5:$5</definedName>
    <definedName name="_xlnm.Print_Titles" localSheetId="12">'Bieu3 QLGD'!$5:$5</definedName>
    <definedName name="_xlnm.Print_Titles" localSheetId="11">'Bieu3 TLH'!$5:$5</definedName>
    <definedName name="_xlnm.Print_Titles" localSheetId="15">Bieu4!$5:$5</definedName>
    <definedName name="_xlnm.Print_Titles" localSheetId="16">Bieu5!$5:$5</definedName>
    <definedName name="_xlnm.Print_Titles" localSheetId="17">Bieu6!$5:$5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0" i="18" l="1"/>
  <c r="E51" i="20"/>
  <c r="E50" i="20" s="1"/>
  <c r="C38" i="17"/>
  <c r="F11" i="64"/>
  <c r="C37" i="17" s="1"/>
  <c r="C36" i="17"/>
  <c r="C32" i="17"/>
  <c r="C19" i="17"/>
  <c r="C14" i="17"/>
  <c r="E43" i="32"/>
  <c r="D43" i="32"/>
  <c r="C43"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6" i="32"/>
  <c r="F5" i="32"/>
  <c r="C35" i="17" l="1"/>
  <c r="F43" i="32"/>
  <c r="E35" i="19"/>
  <c r="E18" i="36" l="1"/>
  <c r="D18" i="36"/>
  <c r="C18" i="36"/>
  <c r="F17" i="36"/>
  <c r="F16" i="36"/>
  <c r="F15" i="36"/>
  <c r="F14" i="36"/>
  <c r="F13" i="36"/>
  <c r="F12" i="36"/>
  <c r="F11" i="36"/>
  <c r="F10" i="36"/>
  <c r="F9" i="36"/>
  <c r="F18" i="36" l="1"/>
  <c r="D21" i="13"/>
  <c r="D14" i="13"/>
  <c r="D29" i="13" l="1"/>
  <c r="C31" i="17"/>
  <c r="C33" i="17"/>
  <c r="E34" i="19"/>
  <c r="E33" i="19" s="1"/>
  <c r="H8" i="10"/>
  <c r="H22" i="10"/>
  <c r="H21" i="10"/>
  <c r="H20" i="10"/>
  <c r="H19" i="10"/>
  <c r="H18" i="10"/>
  <c r="H17" i="10" l="1"/>
  <c r="H16" i="10"/>
  <c r="H15" i="10"/>
  <c r="F8" i="60"/>
  <c r="H93" i="61"/>
  <c r="H85" i="61"/>
  <c r="H77" i="61"/>
  <c r="H69" i="61"/>
  <c r="H61" i="61"/>
  <c r="H53" i="61"/>
  <c r="H10" i="61"/>
  <c r="H96" i="57" l="1"/>
  <c r="H95" i="57"/>
  <c r="H91" i="57"/>
  <c r="H90" i="57"/>
  <c r="H88" i="57"/>
  <c r="H87" i="57"/>
  <c r="H83" i="57"/>
  <c r="H82" i="57"/>
  <c r="H89" i="57" s="1"/>
  <c r="H80" i="57"/>
  <c r="H79" i="57"/>
  <c r="H75" i="57"/>
  <c r="H74" i="57"/>
  <c r="H72" i="57"/>
  <c r="H71" i="57"/>
  <c r="H67" i="57"/>
  <c r="H66" i="57"/>
  <c r="H64" i="57"/>
  <c r="H63" i="57"/>
  <c r="H59" i="57"/>
  <c r="H58" i="57"/>
  <c r="H65" i="57" s="1"/>
  <c r="H56" i="57"/>
  <c r="H55" i="57"/>
  <c r="H57" i="57" s="1"/>
  <c r="H51" i="57"/>
  <c r="H50" i="57"/>
  <c r="H48" i="57"/>
  <c r="H47" i="57"/>
  <c r="H43" i="57"/>
  <c r="H42" i="57"/>
  <c r="H40" i="57"/>
  <c r="H39" i="57"/>
  <c r="H35" i="57"/>
  <c r="H34" i="57"/>
  <c r="H41" i="57" s="1"/>
  <c r="F33" i="60"/>
  <c r="F32" i="60"/>
  <c r="F31" i="60"/>
  <c r="F29" i="60"/>
  <c r="F28" i="60"/>
  <c r="F25" i="60"/>
  <c r="F24" i="60"/>
  <c r="F22" i="60"/>
  <c r="F20" i="60"/>
  <c r="F19" i="60"/>
  <c r="F17" i="60"/>
  <c r="F16" i="60"/>
  <c r="F15" i="60"/>
  <c r="F14" i="60"/>
  <c r="F34" i="60" s="1"/>
  <c r="H14" i="10" s="1"/>
  <c r="H13" i="10" s="1"/>
  <c r="H26" i="10" s="1"/>
  <c r="F13" i="60"/>
  <c r="F12" i="60"/>
  <c r="F11" i="60"/>
  <c r="F9" i="60"/>
  <c r="F17" i="59"/>
  <c r="F13" i="59"/>
  <c r="F10" i="59"/>
  <c r="F9" i="59"/>
  <c r="L27" i="58"/>
  <c r="L26" i="58"/>
  <c r="L25" i="58"/>
  <c r="L24" i="58"/>
  <c r="L23" i="58"/>
  <c r="L22" i="58"/>
  <c r="L21" i="58"/>
  <c r="L20" i="58"/>
  <c r="L19" i="58"/>
  <c r="L18" i="58"/>
  <c r="L17" i="58"/>
  <c r="L16" i="58"/>
  <c r="L15" i="58"/>
  <c r="L14" i="58"/>
  <c r="L13" i="58"/>
  <c r="L12" i="58"/>
  <c r="L11" i="58"/>
  <c r="L10" i="58"/>
  <c r="H29" i="56"/>
  <c r="H25" i="56"/>
  <c r="H24" i="56"/>
  <c r="H23" i="56"/>
  <c r="H22" i="56"/>
  <c r="H21" i="56"/>
  <c r="H10" i="56"/>
  <c r="H9" i="56" s="1"/>
  <c r="F33" i="47"/>
  <c r="F32" i="47"/>
  <c r="F31" i="47"/>
  <c r="F29" i="47"/>
  <c r="F28" i="47"/>
  <c r="F25" i="47"/>
  <c r="F24" i="47"/>
  <c r="F22" i="47"/>
  <c r="F20" i="47"/>
  <c r="F19" i="47"/>
  <c r="F17" i="47"/>
  <c r="F16" i="47"/>
  <c r="F14" i="47"/>
  <c r="F9" i="47"/>
  <c r="F11" i="11"/>
  <c r="F8" i="59" l="1"/>
  <c r="H49" i="57"/>
  <c r="H73" i="57"/>
  <c r="H81" i="57"/>
  <c r="C268" i="52"/>
  <c r="D268" i="52"/>
  <c r="E268" i="52"/>
  <c r="G268" i="52"/>
  <c r="J265" i="52"/>
  <c r="J266" i="52"/>
  <c r="H267" i="52"/>
  <c r="H266" i="52"/>
  <c r="H265" i="52"/>
  <c r="H252" i="52"/>
  <c r="D235" i="52"/>
  <c r="E235" i="52"/>
  <c r="G235" i="52"/>
  <c r="C235" i="52"/>
  <c r="C163" i="52" l="1"/>
  <c r="H167" i="52"/>
  <c r="F18" i="11" l="1"/>
  <c r="D130" i="52"/>
  <c r="E130" i="52"/>
  <c r="G130" i="52"/>
  <c r="C130" i="52"/>
  <c r="G117" i="52"/>
  <c r="H116" i="52"/>
  <c r="I85" i="52"/>
  <c r="H85" i="52"/>
  <c r="I90" i="52"/>
  <c r="F90" i="52" s="1"/>
  <c r="I91" i="52"/>
  <c r="F91" i="52" s="1"/>
  <c r="H90" i="52"/>
  <c r="H91" i="52"/>
  <c r="J17" i="38"/>
  <c r="J15" i="38"/>
  <c r="J16" i="38"/>
  <c r="L16" i="38"/>
  <c r="L17" i="38"/>
  <c r="K16" i="38"/>
  <c r="J18" i="38"/>
  <c r="I61" i="52" l="1"/>
  <c r="H65" i="52"/>
  <c r="I53" i="52"/>
  <c r="I55" i="52"/>
  <c r="F55" i="52" s="1"/>
  <c r="H55" i="52"/>
  <c r="D43" i="20"/>
  <c r="D42" i="20" s="1"/>
  <c r="E43" i="20"/>
  <c r="E42" i="20" s="1"/>
  <c r="F43" i="20"/>
  <c r="F42" i="20" s="1"/>
  <c r="G48" i="20"/>
  <c r="G38" i="20" l="1"/>
  <c r="G36" i="20" s="1"/>
  <c r="G35" i="20" s="1"/>
  <c r="E38" i="20"/>
  <c r="E36" i="20" s="1"/>
  <c r="E35" i="20" s="1"/>
  <c r="F38" i="20"/>
  <c r="F36" i="20" s="1"/>
  <c r="F35" i="20" s="1"/>
  <c r="D38" i="20"/>
  <c r="D36" i="20" s="1"/>
  <c r="D35" i="20" s="1"/>
  <c r="G47" i="20"/>
  <c r="G45" i="20"/>
  <c r="G46" i="20"/>
  <c r="G44" i="20"/>
  <c r="D9" i="20"/>
  <c r="D8" i="20" s="1"/>
  <c r="G43" i="20" l="1"/>
  <c r="G24" i="20"/>
  <c r="G25" i="20"/>
  <c r="G26" i="20"/>
  <c r="G27" i="20"/>
  <c r="F17" i="20"/>
  <c r="F16" i="20" s="1"/>
  <c r="E17" i="20"/>
  <c r="E16" i="20" s="1"/>
  <c r="D17" i="20"/>
  <c r="D16" i="20" s="1"/>
  <c r="G19" i="20"/>
  <c r="G20" i="20"/>
  <c r="E15" i="55"/>
  <c r="G15" i="55" s="1"/>
  <c r="G14" i="55"/>
  <c r="G11" i="55"/>
  <c r="G13" i="55"/>
  <c r="G16" i="20" l="1"/>
  <c r="G9" i="55"/>
  <c r="G8" i="55" s="1"/>
  <c r="G21" i="20" l="1"/>
  <c r="G18" i="20"/>
  <c r="F17" i="55"/>
  <c r="E17" i="55"/>
  <c r="D17" i="55"/>
  <c r="D8" i="55" s="1"/>
  <c r="H84" i="52"/>
  <c r="H93" i="52"/>
  <c r="H95" i="52"/>
  <c r="H96" i="52"/>
  <c r="H97" i="52"/>
  <c r="H89" i="52"/>
  <c r="I84" i="52"/>
  <c r="F84" i="52" s="1"/>
  <c r="I93" i="52"/>
  <c r="F93" i="52" s="1"/>
  <c r="I95" i="52"/>
  <c r="F95" i="52" s="1"/>
  <c r="I96" i="52"/>
  <c r="F96" i="52" s="1"/>
  <c r="I97" i="52"/>
  <c r="F97" i="52" s="1"/>
  <c r="I89" i="52"/>
  <c r="F89" i="52" s="1"/>
  <c r="N17" i="38"/>
  <c r="G12" i="20"/>
  <c r="C25" i="17"/>
  <c r="D9" i="55"/>
  <c r="E9" i="55"/>
  <c r="F9" i="55"/>
  <c r="K16" i="41"/>
  <c r="K17" i="41"/>
  <c r="K15" i="41"/>
  <c r="J16" i="41"/>
  <c r="J17" i="41"/>
  <c r="J18" i="41"/>
  <c r="N18" i="41" s="1"/>
  <c r="J15" i="41"/>
  <c r="N15" i="41" s="1"/>
  <c r="I49" i="52"/>
  <c r="F49" i="52" s="1"/>
  <c r="I50" i="52"/>
  <c r="F50" i="52" s="1"/>
  <c r="I51" i="52"/>
  <c r="I52" i="52"/>
  <c r="F52" i="52" s="1"/>
  <c r="F53" i="52"/>
  <c r="I48" i="52"/>
  <c r="F48" i="52" s="1"/>
  <c r="J247" i="52"/>
  <c r="F247" i="52" s="1"/>
  <c r="J248" i="52"/>
  <c r="F248" i="52" s="1"/>
  <c r="J249" i="52"/>
  <c r="J250" i="52"/>
  <c r="F250" i="52" s="1"/>
  <c r="J246" i="52"/>
  <c r="I239" i="52"/>
  <c r="F239" i="52" s="1"/>
  <c r="I240" i="52"/>
  <c r="F240" i="52" s="1"/>
  <c r="I241" i="52"/>
  <c r="F241" i="52" s="1"/>
  <c r="I242" i="52"/>
  <c r="I243" i="52"/>
  <c r="F243" i="52" s="1"/>
  <c r="I244" i="52"/>
  <c r="F244" i="52" s="1"/>
  <c r="I245" i="52"/>
  <c r="F245" i="52" s="1"/>
  <c r="I238" i="52"/>
  <c r="I193" i="52"/>
  <c r="F193" i="52" s="1"/>
  <c r="I194" i="52"/>
  <c r="F194" i="52" s="1"/>
  <c r="I195" i="52"/>
  <c r="F195" i="52" s="1"/>
  <c r="I192" i="52"/>
  <c r="F192" i="52" s="1"/>
  <c r="I157" i="52"/>
  <c r="F157" i="52" s="1"/>
  <c r="I158" i="52"/>
  <c r="F158" i="52" s="1"/>
  <c r="I159" i="52"/>
  <c r="F159" i="52" s="1"/>
  <c r="I160" i="52"/>
  <c r="F160" i="52" s="1"/>
  <c r="I161" i="52"/>
  <c r="F161" i="52" s="1"/>
  <c r="I162" i="52"/>
  <c r="F162" i="52" s="1"/>
  <c r="I156" i="52"/>
  <c r="F156" i="52" s="1"/>
  <c r="K114" i="52"/>
  <c r="F114" i="52" s="1"/>
  <c r="K113" i="52"/>
  <c r="F113" i="52" s="1"/>
  <c r="I109" i="52"/>
  <c r="F109" i="52" s="1"/>
  <c r="I110" i="52"/>
  <c r="F110" i="52" s="1"/>
  <c r="I111" i="52"/>
  <c r="F111" i="52" s="1"/>
  <c r="I112" i="52"/>
  <c r="F112" i="52" s="1"/>
  <c r="I108" i="52"/>
  <c r="F108" i="52" s="1"/>
  <c r="F242" i="52"/>
  <c r="F249" i="52"/>
  <c r="N16" i="41"/>
  <c r="N17" i="41"/>
  <c r="C76" i="52"/>
  <c r="C56" i="52"/>
  <c r="D45" i="52"/>
  <c r="E45" i="52"/>
  <c r="G45" i="52"/>
  <c r="J45" i="52"/>
  <c r="K45" i="52"/>
  <c r="C45" i="52"/>
  <c r="C293" i="52" s="1"/>
  <c r="K18" i="7"/>
  <c r="K19" i="7"/>
  <c r="K20" i="7"/>
  <c r="O20" i="7" s="1"/>
  <c r="K21" i="7"/>
  <c r="J15" i="7"/>
  <c r="J16" i="7"/>
  <c r="J17" i="7"/>
  <c r="J18" i="7"/>
  <c r="J19" i="7"/>
  <c r="N19" i="7" s="1"/>
  <c r="J20" i="7"/>
  <c r="I20" i="7" s="1"/>
  <c r="J21" i="7"/>
  <c r="J22" i="7"/>
  <c r="N22" i="7" s="1"/>
  <c r="J14" i="7"/>
  <c r="E56" i="20"/>
  <c r="E9" i="20"/>
  <c r="E8" i="20" s="1"/>
  <c r="E23" i="20"/>
  <c r="E29" i="20"/>
  <c r="E28" i="20" s="1"/>
  <c r="E34" i="20"/>
  <c r="F51" i="20"/>
  <c r="F50" i="20" s="1"/>
  <c r="F56" i="20"/>
  <c r="F9" i="20"/>
  <c r="F8" i="20" s="1"/>
  <c r="F23" i="20"/>
  <c r="F29" i="20"/>
  <c r="F34" i="20"/>
  <c r="D51" i="20"/>
  <c r="G51" i="20" s="1"/>
  <c r="G50" i="20" s="1"/>
  <c r="D23" i="20"/>
  <c r="D29" i="20"/>
  <c r="D28" i="20" s="1"/>
  <c r="D34" i="20"/>
  <c r="D33" i="20" s="1"/>
  <c r="E105" i="52"/>
  <c r="E117" i="52"/>
  <c r="I83" i="52"/>
  <c r="F83" i="52" s="1"/>
  <c r="F85" i="52"/>
  <c r="I86" i="52"/>
  <c r="F86" i="52" s="1"/>
  <c r="I87" i="52"/>
  <c r="F87" i="52" s="1"/>
  <c r="I88" i="52"/>
  <c r="F88" i="52" s="1"/>
  <c r="I92" i="52"/>
  <c r="F92" i="52" s="1"/>
  <c r="I94" i="52"/>
  <c r="F94" i="52" s="1"/>
  <c r="I98" i="52"/>
  <c r="F98" i="52" s="1"/>
  <c r="I100" i="52"/>
  <c r="F100" i="52" s="1"/>
  <c r="I102" i="52"/>
  <c r="F102" i="52" s="1"/>
  <c r="H103" i="52"/>
  <c r="I103" i="52" s="1"/>
  <c r="F103" i="52" s="1"/>
  <c r="I104" i="52"/>
  <c r="F104" i="52" s="1"/>
  <c r="I116" i="52"/>
  <c r="F116" i="52" s="1"/>
  <c r="I120" i="52"/>
  <c r="F120" i="52" s="1"/>
  <c r="I121" i="52"/>
  <c r="F121" i="52" s="1"/>
  <c r="I122" i="52"/>
  <c r="F122" i="52" s="1"/>
  <c r="I123" i="52"/>
  <c r="F123" i="52" s="1"/>
  <c r="I124" i="52"/>
  <c r="F124" i="52" s="1"/>
  <c r="I125" i="52"/>
  <c r="F125" i="52" s="1"/>
  <c r="I126" i="52"/>
  <c r="F126" i="52" s="1"/>
  <c r="I127" i="52"/>
  <c r="F127" i="52" s="1"/>
  <c r="I128" i="52"/>
  <c r="F128" i="52" s="1"/>
  <c r="I129" i="52"/>
  <c r="F129" i="52" s="1"/>
  <c r="G105" i="52"/>
  <c r="H83" i="52"/>
  <c r="H86" i="52"/>
  <c r="H87" i="52"/>
  <c r="H88" i="52"/>
  <c r="H92" i="52"/>
  <c r="H94" i="52"/>
  <c r="H98" i="52"/>
  <c r="H99" i="52"/>
  <c r="H100" i="52"/>
  <c r="H101" i="52"/>
  <c r="H102" i="52"/>
  <c r="H104" i="52"/>
  <c r="H108" i="52"/>
  <c r="H109" i="52"/>
  <c r="H110" i="52"/>
  <c r="H111" i="52"/>
  <c r="H112" i="52"/>
  <c r="H113" i="52"/>
  <c r="H114" i="52"/>
  <c r="H120" i="52"/>
  <c r="H121" i="52"/>
  <c r="H122" i="52"/>
  <c r="H123" i="52"/>
  <c r="H124" i="52"/>
  <c r="H125" i="52"/>
  <c r="H126" i="52"/>
  <c r="H127" i="52"/>
  <c r="H128" i="52"/>
  <c r="H129" i="52"/>
  <c r="I101" i="52"/>
  <c r="J105" i="52"/>
  <c r="J117" i="52"/>
  <c r="J130" i="52"/>
  <c r="K105" i="52"/>
  <c r="K130" i="52"/>
  <c r="C105" i="52"/>
  <c r="C117" i="52"/>
  <c r="D117" i="52"/>
  <c r="K18" i="38"/>
  <c r="I18" i="38" s="1"/>
  <c r="K20" i="38"/>
  <c r="K21" i="38"/>
  <c r="O21" i="38" s="1"/>
  <c r="M21" i="38" s="1"/>
  <c r="K22" i="38"/>
  <c r="K23" i="38"/>
  <c r="O23" i="38" s="1"/>
  <c r="N15" i="38"/>
  <c r="N16" i="38"/>
  <c r="N18" i="38"/>
  <c r="J19" i="38"/>
  <c r="J20" i="38"/>
  <c r="J21" i="38"/>
  <c r="J22" i="38"/>
  <c r="N22" i="38" s="1"/>
  <c r="M22" i="38" s="1"/>
  <c r="J23" i="38"/>
  <c r="N23" i="38" s="1"/>
  <c r="J24" i="38"/>
  <c r="N24" i="38" s="1"/>
  <c r="H16" i="38"/>
  <c r="P16" i="38" s="1"/>
  <c r="H17" i="38"/>
  <c r="P17" i="38" s="1"/>
  <c r="H18" i="38"/>
  <c r="H19" i="38"/>
  <c r="H20" i="38"/>
  <c r="H21" i="38"/>
  <c r="H22" i="38"/>
  <c r="H23" i="38"/>
  <c r="P23" i="38" s="1"/>
  <c r="H24" i="38"/>
  <c r="G19" i="38"/>
  <c r="K19" i="38" s="1"/>
  <c r="G20" i="38"/>
  <c r="G21" i="38"/>
  <c r="E21" i="38" s="1"/>
  <c r="G22" i="38"/>
  <c r="G23" i="38"/>
  <c r="G24" i="38"/>
  <c r="D283" i="52"/>
  <c r="D290" i="52"/>
  <c r="E283" i="52"/>
  <c r="E290" i="52"/>
  <c r="I217" i="52"/>
  <c r="I218" i="52"/>
  <c r="F218" i="52" s="1"/>
  <c r="I219" i="52"/>
  <c r="F219" i="52" s="1"/>
  <c r="I220" i="52"/>
  <c r="F220" i="52" s="1"/>
  <c r="I221" i="52"/>
  <c r="F221" i="52" s="1"/>
  <c r="I222" i="52"/>
  <c r="F222" i="52" s="1"/>
  <c r="I223" i="52"/>
  <c r="F223" i="52" s="1"/>
  <c r="I224" i="52"/>
  <c r="F224" i="52" s="1"/>
  <c r="I225" i="52"/>
  <c r="F225" i="52" s="1"/>
  <c r="I226" i="52"/>
  <c r="F226" i="52" s="1"/>
  <c r="I227" i="52"/>
  <c r="F227" i="52" s="1"/>
  <c r="I228" i="52"/>
  <c r="F228" i="52" s="1"/>
  <c r="I229" i="52"/>
  <c r="F229" i="52" s="1"/>
  <c r="I233" i="52"/>
  <c r="F233" i="52" s="1"/>
  <c r="I252" i="52"/>
  <c r="K253" i="52"/>
  <c r="F253" i="52" s="1"/>
  <c r="I254" i="52"/>
  <c r="F254" i="52" s="1"/>
  <c r="J255" i="52"/>
  <c r="F255" i="52" s="1"/>
  <c r="J256" i="52"/>
  <c r="F256" i="52" s="1"/>
  <c r="I257" i="52"/>
  <c r="F257" i="52" s="1"/>
  <c r="I258" i="52"/>
  <c r="F258" i="52" s="1"/>
  <c r="I259" i="52"/>
  <c r="F259" i="52" s="1"/>
  <c r="I260" i="52"/>
  <c r="F260" i="52" s="1"/>
  <c r="I261" i="52"/>
  <c r="F261" i="52" s="1"/>
  <c r="I262" i="52"/>
  <c r="F262" i="52" s="1"/>
  <c r="J263" i="52"/>
  <c r="F263" i="52" s="1"/>
  <c r="J264" i="52"/>
  <c r="F264" i="52" s="1"/>
  <c r="K267" i="52"/>
  <c r="F267" i="52" s="1"/>
  <c r="K271" i="52"/>
  <c r="F271" i="52" s="1"/>
  <c r="I272" i="52"/>
  <c r="I273" i="52"/>
  <c r="F273" i="52" s="1"/>
  <c r="F277" i="52"/>
  <c r="F278" i="52"/>
  <c r="F280" i="52"/>
  <c r="F281" i="52"/>
  <c r="F282" i="52"/>
  <c r="I287" i="52"/>
  <c r="F287" i="52" s="1"/>
  <c r="I288" i="52"/>
  <c r="F288" i="52" s="1"/>
  <c r="I289" i="52"/>
  <c r="F289" i="52" s="1"/>
  <c r="G283" i="52"/>
  <c r="G290" i="52"/>
  <c r="H217" i="52"/>
  <c r="H218" i="52"/>
  <c r="H219" i="52"/>
  <c r="H220" i="52"/>
  <c r="H221" i="52"/>
  <c r="H222" i="52"/>
  <c r="H223" i="52"/>
  <c r="H224" i="52"/>
  <c r="H225" i="52"/>
  <c r="H226" i="52"/>
  <c r="H227" i="52"/>
  <c r="H228" i="52"/>
  <c r="H229" i="52"/>
  <c r="H233" i="52"/>
  <c r="H238" i="52"/>
  <c r="H239" i="52"/>
  <c r="H240" i="52"/>
  <c r="H241" i="52"/>
  <c r="H242" i="52"/>
  <c r="H243" i="52"/>
  <c r="H244" i="52"/>
  <c r="H245" i="52"/>
  <c r="H246" i="52"/>
  <c r="H247" i="52"/>
  <c r="H248" i="52"/>
  <c r="H249" i="52"/>
  <c r="H250" i="52"/>
  <c r="H253" i="52"/>
  <c r="H254" i="52"/>
  <c r="H255" i="52"/>
  <c r="H256" i="52"/>
  <c r="H257" i="52"/>
  <c r="H258" i="52"/>
  <c r="H259" i="52"/>
  <c r="H260" i="52"/>
  <c r="H261" i="52"/>
  <c r="H262" i="52"/>
  <c r="H263" i="52"/>
  <c r="H264" i="52"/>
  <c r="H271" i="52"/>
  <c r="H272" i="52"/>
  <c r="H273" i="52"/>
  <c r="H287" i="52"/>
  <c r="H288" i="52"/>
  <c r="H289" i="52"/>
  <c r="J235" i="52"/>
  <c r="J283" i="52"/>
  <c r="J295" i="52" s="1"/>
  <c r="J290" i="52"/>
  <c r="K235" i="52"/>
  <c r="K290" i="52"/>
  <c r="C283" i="52"/>
  <c r="C290" i="52"/>
  <c r="K17" i="40"/>
  <c r="O17" i="40" s="1"/>
  <c r="K18" i="40"/>
  <c r="K19" i="40"/>
  <c r="K15" i="40"/>
  <c r="J16" i="40"/>
  <c r="J17" i="40"/>
  <c r="N17" i="40" s="1"/>
  <c r="J18" i="40"/>
  <c r="N18" i="40" s="1"/>
  <c r="J19" i="40"/>
  <c r="J20" i="40"/>
  <c r="J15" i="40"/>
  <c r="J15" i="39"/>
  <c r="N15" i="39" s="1"/>
  <c r="K21" i="39"/>
  <c r="K22" i="39"/>
  <c r="K23" i="39"/>
  <c r="G15" i="39"/>
  <c r="H15" i="39"/>
  <c r="K16" i="39"/>
  <c r="K17" i="39"/>
  <c r="J16" i="39"/>
  <c r="N16" i="39" s="1"/>
  <c r="N25" i="39" s="1"/>
  <c r="J17" i="39"/>
  <c r="N17" i="39" s="1"/>
  <c r="J18" i="39"/>
  <c r="N18" i="39" s="1"/>
  <c r="J19" i="39"/>
  <c r="J20" i="39"/>
  <c r="J21" i="39"/>
  <c r="N21" i="39" s="1"/>
  <c r="J22" i="39"/>
  <c r="N22" i="39" s="1"/>
  <c r="J23" i="39"/>
  <c r="L16" i="39"/>
  <c r="O16" i="39"/>
  <c r="H16" i="39"/>
  <c r="E16" i="39" s="1"/>
  <c r="C153" i="52"/>
  <c r="C170" i="52" s="1"/>
  <c r="C169" i="52"/>
  <c r="J153" i="52"/>
  <c r="K153" i="52"/>
  <c r="D153" i="52"/>
  <c r="E153" i="52"/>
  <c r="I136" i="52"/>
  <c r="F136" i="52" s="1"/>
  <c r="I137" i="52"/>
  <c r="F137" i="52" s="1"/>
  <c r="I138" i="52"/>
  <c r="F138" i="52" s="1"/>
  <c r="I139" i="52"/>
  <c r="F139" i="52" s="1"/>
  <c r="I140" i="52"/>
  <c r="F140" i="52" s="1"/>
  <c r="I141" i="52"/>
  <c r="F141" i="52" s="1"/>
  <c r="I142" i="52"/>
  <c r="F142" i="52" s="1"/>
  <c r="I143" i="52"/>
  <c r="F143" i="52" s="1"/>
  <c r="I144" i="52"/>
  <c r="F144" i="52" s="1"/>
  <c r="I145" i="52"/>
  <c r="F145" i="52" s="1"/>
  <c r="I146" i="52"/>
  <c r="F146" i="52" s="1"/>
  <c r="I147" i="52"/>
  <c r="F147" i="52" s="1"/>
  <c r="I148" i="52"/>
  <c r="F148" i="52" s="1"/>
  <c r="I149" i="52"/>
  <c r="F149" i="52" s="1"/>
  <c r="G153" i="52"/>
  <c r="H136" i="52"/>
  <c r="H137" i="52"/>
  <c r="H138" i="52"/>
  <c r="H139" i="52"/>
  <c r="H140" i="52"/>
  <c r="H141" i="52"/>
  <c r="H142" i="52"/>
  <c r="H143" i="52"/>
  <c r="H144" i="52"/>
  <c r="H145" i="52"/>
  <c r="H146" i="52"/>
  <c r="H147" i="52"/>
  <c r="H148" i="52"/>
  <c r="H149" i="52"/>
  <c r="E20" i="11"/>
  <c r="D20" i="11"/>
  <c r="F7" i="11"/>
  <c r="F8" i="11"/>
  <c r="F9" i="11"/>
  <c r="F10" i="11"/>
  <c r="F13" i="11"/>
  <c r="F12" i="11" s="1"/>
  <c r="F14" i="11"/>
  <c r="F15" i="11"/>
  <c r="G11" i="20"/>
  <c r="G13" i="20"/>
  <c r="G14" i="20"/>
  <c r="G15" i="20"/>
  <c r="G10" i="20"/>
  <c r="F365" i="53"/>
  <c r="F366" i="53"/>
  <c r="F364" i="53"/>
  <c r="F359" i="53"/>
  <c r="I117" i="53"/>
  <c r="F117" i="53" s="1"/>
  <c r="F122" i="53"/>
  <c r="I123" i="53"/>
  <c r="F123" i="53" s="1"/>
  <c r="I124" i="53"/>
  <c r="F124" i="53" s="1"/>
  <c r="I83" i="53"/>
  <c r="F83" i="53" s="1"/>
  <c r="I22" i="53"/>
  <c r="F22" i="53" s="1"/>
  <c r="I31" i="53"/>
  <c r="F31" i="53" s="1"/>
  <c r="F27" i="53"/>
  <c r="I28" i="53"/>
  <c r="F28" i="53"/>
  <c r="I29" i="53"/>
  <c r="F29" i="53"/>
  <c r="I30" i="53"/>
  <c r="F30" i="53" s="1"/>
  <c r="I51" i="53"/>
  <c r="F51" i="53" s="1"/>
  <c r="I47" i="53"/>
  <c r="F47" i="53" s="1"/>
  <c r="F55" i="53"/>
  <c r="I56" i="53"/>
  <c r="F56" i="53" s="1"/>
  <c r="I57" i="53"/>
  <c r="F57" i="53" s="1"/>
  <c r="I54" i="53"/>
  <c r="F54" i="53" s="1"/>
  <c r="J321" i="53"/>
  <c r="J332" i="53"/>
  <c r="F332" i="53" s="1"/>
  <c r="J333" i="53"/>
  <c r="J334" i="53"/>
  <c r="F334" i="53" s="1"/>
  <c r="J335" i="53"/>
  <c r="J336" i="53"/>
  <c r="J341" i="53"/>
  <c r="J342" i="53"/>
  <c r="J349" i="53"/>
  <c r="J350" i="53"/>
  <c r="J367" i="53"/>
  <c r="J379" i="53" s="1"/>
  <c r="J374" i="53"/>
  <c r="J243" i="53"/>
  <c r="J262" i="53"/>
  <c r="J277" i="53"/>
  <c r="J207" i="53"/>
  <c r="J217" i="53"/>
  <c r="J224" i="53"/>
  <c r="J134" i="53"/>
  <c r="J162" i="53"/>
  <c r="J184" i="53"/>
  <c r="K321" i="53"/>
  <c r="K351" i="53"/>
  <c r="K352" i="53"/>
  <c r="K375" i="53" s="1"/>
  <c r="K367" i="53"/>
  <c r="K379" i="53" s="1"/>
  <c r="K374" i="53"/>
  <c r="K243" i="53"/>
  <c r="K262" i="53"/>
  <c r="K277" i="53"/>
  <c r="K207" i="53"/>
  <c r="K225" i="53"/>
  <c r="K217" i="53"/>
  <c r="K224" i="53"/>
  <c r="K150" i="53"/>
  <c r="K158" i="53"/>
  <c r="K159" i="53"/>
  <c r="F159" i="53" s="1"/>
  <c r="K184" i="53"/>
  <c r="I284" i="53"/>
  <c r="F284" i="53" s="1"/>
  <c r="I285" i="53"/>
  <c r="F285" i="53" s="1"/>
  <c r="I286" i="53"/>
  <c r="I288" i="53"/>
  <c r="I289" i="53"/>
  <c r="F289" i="53" s="1"/>
  <c r="I291" i="53"/>
  <c r="F291" i="53" s="1"/>
  <c r="I292" i="53"/>
  <c r="F292" i="53" s="1"/>
  <c r="I293" i="53"/>
  <c r="I294" i="53"/>
  <c r="I296" i="53"/>
  <c r="I297" i="53"/>
  <c r="I321" i="53" s="1"/>
  <c r="I298" i="53"/>
  <c r="I299" i="53"/>
  <c r="I300" i="53"/>
  <c r="F300" i="53" s="1"/>
  <c r="I302" i="53"/>
  <c r="I303" i="53"/>
  <c r="F303" i="53" s="1"/>
  <c r="I304" i="53"/>
  <c r="I305" i="53"/>
  <c r="F305" i="53" s="1"/>
  <c r="I306" i="53"/>
  <c r="I307" i="53"/>
  <c r="I308" i="53"/>
  <c r="I309" i="53"/>
  <c r="F309" i="53" s="1"/>
  <c r="I311" i="53"/>
  <c r="F311" i="53" s="1"/>
  <c r="I312" i="53"/>
  <c r="I313" i="53"/>
  <c r="F313" i="53" s="1"/>
  <c r="I314" i="53"/>
  <c r="I318" i="53"/>
  <c r="I319" i="53"/>
  <c r="F319" i="53" s="1"/>
  <c r="I324" i="53"/>
  <c r="F324" i="53" s="1"/>
  <c r="I325" i="53"/>
  <c r="I326" i="53"/>
  <c r="I327" i="53"/>
  <c r="I328" i="53"/>
  <c r="I329" i="53"/>
  <c r="F329" i="53" s="1"/>
  <c r="I330" i="53"/>
  <c r="F330" i="53" s="1"/>
  <c r="I331" i="53"/>
  <c r="F331" i="53" s="1"/>
  <c r="I338" i="53"/>
  <c r="F338" i="53" s="1"/>
  <c r="I340" i="53"/>
  <c r="I343" i="53"/>
  <c r="I344" i="53"/>
  <c r="F344" i="53" s="1"/>
  <c r="I345" i="53"/>
  <c r="F345" i="53" s="1"/>
  <c r="I346" i="53"/>
  <c r="F346" i="53" s="1"/>
  <c r="I347" i="53"/>
  <c r="I348" i="53"/>
  <c r="F348" i="53" s="1"/>
  <c r="I349" i="53"/>
  <c r="I350" i="53"/>
  <c r="I355" i="53"/>
  <c r="I356" i="53"/>
  <c r="F356" i="53" s="1"/>
  <c r="I357" i="53"/>
  <c r="F357" i="53" s="1"/>
  <c r="I371" i="53"/>
  <c r="I372" i="53"/>
  <c r="F372" i="53" s="1"/>
  <c r="I373" i="53"/>
  <c r="I230" i="53"/>
  <c r="I232" i="53"/>
  <c r="I234" i="53"/>
  <c r="I235" i="53"/>
  <c r="F235" i="53" s="1"/>
  <c r="I237" i="53"/>
  <c r="F237" i="53" s="1"/>
  <c r="I238" i="53"/>
  <c r="F238" i="53" s="1"/>
  <c r="I239" i="53"/>
  <c r="F239" i="53" s="1"/>
  <c r="I241" i="53"/>
  <c r="F241" i="53" s="1"/>
  <c r="I242" i="53"/>
  <c r="F242" i="53" s="1"/>
  <c r="I253" i="53"/>
  <c r="F253" i="53" s="1"/>
  <c r="I254" i="53"/>
  <c r="I255" i="53"/>
  <c r="F255" i="53" s="1"/>
  <c r="I256" i="53"/>
  <c r="I267" i="53"/>
  <c r="I269" i="53"/>
  <c r="I270" i="53"/>
  <c r="I272" i="53"/>
  <c r="F272" i="53" s="1"/>
  <c r="I274" i="53"/>
  <c r="I276" i="53"/>
  <c r="I191" i="53"/>
  <c r="F191" i="53" s="1"/>
  <c r="I193" i="53"/>
  <c r="I195" i="53"/>
  <c r="F195" i="53" s="1"/>
  <c r="I197" i="53"/>
  <c r="F197" i="53" s="1"/>
  <c r="I198" i="53"/>
  <c r="F198" i="53" s="1"/>
  <c r="I200" i="53"/>
  <c r="F200" i="53" s="1"/>
  <c r="I201" i="53"/>
  <c r="I202" i="53"/>
  <c r="I204" i="53"/>
  <c r="I205" i="53"/>
  <c r="F205" i="53" s="1"/>
  <c r="I206" i="53"/>
  <c r="F206" i="53" s="1"/>
  <c r="I210" i="53"/>
  <c r="F210" i="53" s="1"/>
  <c r="I211" i="53"/>
  <c r="I212" i="53"/>
  <c r="I213" i="53"/>
  <c r="I214" i="53"/>
  <c r="I215" i="53"/>
  <c r="F215" i="53" s="1"/>
  <c r="I216" i="53"/>
  <c r="F216" i="53" s="1"/>
  <c r="I222" i="53"/>
  <c r="I223" i="53"/>
  <c r="I111" i="53"/>
  <c r="I112" i="53"/>
  <c r="F112" i="53" s="1"/>
  <c r="I114" i="53"/>
  <c r="F114" i="53" s="1"/>
  <c r="I115" i="53"/>
  <c r="I116" i="53"/>
  <c r="I119" i="53"/>
  <c r="I121" i="53"/>
  <c r="F121" i="53" s="1"/>
  <c r="I126" i="53"/>
  <c r="F126" i="53" s="1"/>
  <c r="I127" i="53"/>
  <c r="I129" i="53"/>
  <c r="I130" i="53"/>
  <c r="I132" i="53"/>
  <c r="I133" i="53"/>
  <c r="I135" i="53"/>
  <c r="F135" i="53" s="1"/>
  <c r="I136" i="53"/>
  <c r="F136" i="53" s="1"/>
  <c r="I137" i="53"/>
  <c r="F137" i="53" s="1"/>
  <c r="I138" i="53"/>
  <c r="F138" i="53" s="1"/>
  <c r="I139" i="53"/>
  <c r="I141" i="53"/>
  <c r="F141" i="53" s="1"/>
  <c r="I143" i="53"/>
  <c r="I145" i="53"/>
  <c r="F145" i="53" s="1"/>
  <c r="I146" i="53"/>
  <c r="I147" i="53"/>
  <c r="F147" i="53" s="1"/>
  <c r="H148" i="53"/>
  <c r="I148" i="53" s="1"/>
  <c r="I149" i="53"/>
  <c r="I153" i="53"/>
  <c r="I154" i="53"/>
  <c r="I155" i="53"/>
  <c r="F155" i="53" s="1"/>
  <c r="I156" i="53"/>
  <c r="F156" i="53" s="1"/>
  <c r="I157" i="53"/>
  <c r="F157" i="53" s="1"/>
  <c r="I161" i="53"/>
  <c r="F161" i="53" s="1"/>
  <c r="I166" i="53"/>
  <c r="I168" i="53"/>
  <c r="I170" i="53"/>
  <c r="I172" i="53"/>
  <c r="I174" i="53"/>
  <c r="F174" i="53" s="1"/>
  <c r="I176" i="53"/>
  <c r="F176" i="53" s="1"/>
  <c r="I178" i="53"/>
  <c r="F178" i="53" s="1"/>
  <c r="I179" i="53"/>
  <c r="F179" i="53" s="1"/>
  <c r="I181" i="53"/>
  <c r="I182" i="53"/>
  <c r="F182" i="53" s="1"/>
  <c r="I183" i="53"/>
  <c r="I13" i="53"/>
  <c r="F13" i="53" s="1"/>
  <c r="I53" i="53"/>
  <c r="F53" i="53" s="1"/>
  <c r="I15" i="53"/>
  <c r="F15" i="53" s="1"/>
  <c r="I16" i="53"/>
  <c r="F16" i="53" s="1"/>
  <c r="I17" i="53"/>
  <c r="F17" i="53" s="1"/>
  <c r="I40" i="53"/>
  <c r="F40" i="53" s="1"/>
  <c r="I21" i="53"/>
  <c r="F21" i="53" s="1"/>
  <c r="I24" i="53"/>
  <c r="F24" i="53" s="1"/>
  <c r="I26" i="53"/>
  <c r="F26" i="53" s="1"/>
  <c r="I32" i="53"/>
  <c r="F32" i="53" s="1"/>
  <c r="I44" i="53"/>
  <c r="F44" i="53" s="1"/>
  <c r="I34" i="53"/>
  <c r="F34" i="53" s="1"/>
  <c r="I35" i="53"/>
  <c r="F35" i="53" s="1"/>
  <c r="I37" i="53"/>
  <c r="F37" i="53" s="1"/>
  <c r="I25" i="53"/>
  <c r="F25" i="53" s="1"/>
  <c r="I43" i="53"/>
  <c r="F43" i="53" s="1"/>
  <c r="I46" i="53"/>
  <c r="F46" i="53"/>
  <c r="I20" i="53"/>
  <c r="I38" i="53"/>
  <c r="F38" i="53" s="1"/>
  <c r="I48" i="53"/>
  <c r="F48" i="53" s="1"/>
  <c r="I49" i="53"/>
  <c r="F49" i="53"/>
  <c r="I50" i="53"/>
  <c r="F50" i="53" s="1"/>
  <c r="I14" i="53"/>
  <c r="F14" i="53" s="1"/>
  <c r="I33" i="53"/>
  <c r="F33" i="53" s="1"/>
  <c r="I41" i="53"/>
  <c r="F41" i="53"/>
  <c r="I42" i="53"/>
  <c r="F42" i="53" s="1"/>
  <c r="I19" i="53"/>
  <c r="F19" i="53" s="1"/>
  <c r="I58" i="53"/>
  <c r="F58" i="53" s="1"/>
  <c r="I59" i="53"/>
  <c r="F59" i="53"/>
  <c r="I61" i="53"/>
  <c r="F61" i="53" s="1"/>
  <c r="I66" i="53"/>
  <c r="F66" i="53" s="1"/>
  <c r="I67" i="53"/>
  <c r="F67" i="53" s="1"/>
  <c r="I68" i="53"/>
  <c r="F68" i="53" s="1"/>
  <c r="I69" i="53"/>
  <c r="F69" i="53"/>
  <c r="I70" i="53"/>
  <c r="F70" i="53" s="1"/>
  <c r="I71" i="53"/>
  <c r="F71" i="53" s="1"/>
  <c r="I73" i="53"/>
  <c r="F73" i="53"/>
  <c r="I80" i="53"/>
  <c r="F80" i="53" s="1"/>
  <c r="F103" i="53" s="1"/>
  <c r="I82" i="53"/>
  <c r="F82" i="53" s="1"/>
  <c r="I85" i="53"/>
  <c r="F85" i="53"/>
  <c r="I86" i="53"/>
  <c r="F86" i="53"/>
  <c r="I87" i="53"/>
  <c r="F87" i="53" s="1"/>
  <c r="I89" i="53"/>
  <c r="F89" i="53" s="1"/>
  <c r="I91" i="53"/>
  <c r="F91" i="53" s="1"/>
  <c r="I92" i="53"/>
  <c r="F92" i="53"/>
  <c r="I94" i="53"/>
  <c r="F94" i="53" s="1"/>
  <c r="I95" i="53"/>
  <c r="F95" i="53" s="1"/>
  <c r="I96" i="53"/>
  <c r="F96" i="53"/>
  <c r="I98" i="53"/>
  <c r="F98" i="53" s="1"/>
  <c r="I100" i="53"/>
  <c r="F100" i="53" s="1"/>
  <c r="I102" i="53"/>
  <c r="F102" i="53" s="1"/>
  <c r="H284" i="53"/>
  <c r="H285" i="53"/>
  <c r="H286" i="53"/>
  <c r="H288" i="53"/>
  <c r="H289" i="53"/>
  <c r="H291" i="53"/>
  <c r="H292" i="53"/>
  <c r="H293" i="53"/>
  <c r="H294" i="53"/>
  <c r="H296" i="53"/>
  <c r="H297" i="53"/>
  <c r="H298" i="53"/>
  <c r="H299" i="53"/>
  <c r="H300" i="53"/>
  <c r="H302" i="53"/>
  <c r="H303" i="53"/>
  <c r="H304" i="53"/>
  <c r="H305" i="53"/>
  <c r="H306" i="53"/>
  <c r="H307" i="53"/>
  <c r="H308" i="53"/>
  <c r="H309" i="53"/>
  <c r="H311" i="53"/>
  <c r="H312" i="53"/>
  <c r="H313" i="53"/>
  <c r="H314" i="53"/>
  <c r="H318" i="53"/>
  <c r="H319" i="53"/>
  <c r="H324" i="53"/>
  <c r="H325" i="53"/>
  <c r="H326" i="53"/>
  <c r="H327" i="53"/>
  <c r="H328" i="53"/>
  <c r="H329" i="53"/>
  <c r="H330" i="53"/>
  <c r="H331" i="53"/>
  <c r="H332" i="53"/>
  <c r="H333" i="53"/>
  <c r="H334" i="53"/>
  <c r="H335" i="53"/>
  <c r="H336" i="53"/>
  <c r="H338" i="53"/>
  <c r="H339" i="53"/>
  <c r="H340" i="53"/>
  <c r="H341" i="53"/>
  <c r="H342" i="53"/>
  <c r="H343" i="53"/>
  <c r="H344" i="53"/>
  <c r="H345" i="53"/>
  <c r="H346" i="53"/>
  <c r="H347" i="53"/>
  <c r="H348" i="53"/>
  <c r="H349" i="53"/>
  <c r="H350" i="53"/>
  <c r="H351" i="53"/>
  <c r="H355" i="53"/>
  <c r="H356" i="53"/>
  <c r="H357" i="53"/>
  <c r="H371" i="53"/>
  <c r="H372" i="53"/>
  <c r="H373" i="53"/>
  <c r="H374" i="53" s="1"/>
  <c r="H230" i="53"/>
  <c r="H232" i="53"/>
  <c r="H234" i="53"/>
  <c r="H235" i="53"/>
  <c r="H237" i="53"/>
  <c r="H238" i="53"/>
  <c r="H239" i="53"/>
  <c r="H241" i="53"/>
  <c r="H242" i="53"/>
  <c r="H253" i="53"/>
  <c r="H254" i="53"/>
  <c r="H255" i="53"/>
  <c r="H262" i="53" s="1"/>
  <c r="H256" i="53"/>
  <c r="H267" i="53"/>
  <c r="H269" i="53"/>
  <c r="H270" i="53"/>
  <c r="H272" i="53"/>
  <c r="H274" i="53"/>
  <c r="H276" i="53"/>
  <c r="H191" i="53"/>
  <c r="H193" i="53"/>
  <c r="H195" i="53"/>
  <c r="H197" i="53"/>
  <c r="H198" i="53"/>
  <c r="H200" i="53"/>
  <c r="H201" i="53"/>
  <c r="H202" i="53"/>
  <c r="H204" i="53"/>
  <c r="H205" i="53"/>
  <c r="H206" i="53"/>
  <c r="H210" i="53"/>
  <c r="H211" i="53"/>
  <c r="H212" i="53"/>
  <c r="H213" i="53"/>
  <c r="H214" i="53"/>
  <c r="H215" i="53"/>
  <c r="H216" i="53"/>
  <c r="H222" i="53"/>
  <c r="H223" i="53"/>
  <c r="H111" i="53"/>
  <c r="H112" i="53"/>
  <c r="H114" i="53"/>
  <c r="H115" i="53"/>
  <c r="H116" i="53"/>
  <c r="H119" i="53"/>
  <c r="H121" i="53"/>
  <c r="H126" i="53"/>
  <c r="H127" i="53"/>
  <c r="H129" i="53"/>
  <c r="H130" i="53"/>
  <c r="H132" i="53"/>
  <c r="H123" i="53"/>
  <c r="H124" i="53"/>
  <c r="H133" i="53"/>
  <c r="H134" i="53"/>
  <c r="H135" i="53"/>
  <c r="H136" i="53"/>
  <c r="H117" i="53"/>
  <c r="H137" i="53"/>
  <c r="H138" i="53"/>
  <c r="H139" i="53"/>
  <c r="H141" i="53"/>
  <c r="H143" i="53"/>
  <c r="H144" i="53"/>
  <c r="H145" i="53"/>
  <c r="H146" i="53"/>
  <c r="H147" i="53"/>
  <c r="H149" i="53"/>
  <c r="H153" i="53"/>
  <c r="H154" i="53"/>
  <c r="H155" i="53"/>
  <c r="H156" i="53"/>
  <c r="H157" i="53"/>
  <c r="H158" i="53"/>
  <c r="H159" i="53"/>
  <c r="H161" i="53"/>
  <c r="H166" i="53"/>
  <c r="H168" i="53"/>
  <c r="H170" i="53"/>
  <c r="H172" i="53"/>
  <c r="H174" i="53"/>
  <c r="H176" i="53"/>
  <c r="H178" i="53"/>
  <c r="H179" i="53"/>
  <c r="H181" i="53"/>
  <c r="H182" i="53"/>
  <c r="H183" i="53"/>
  <c r="H13" i="53"/>
  <c r="H53" i="53"/>
  <c r="H15" i="53"/>
  <c r="H16" i="53"/>
  <c r="H17" i="53"/>
  <c r="H40" i="53"/>
  <c r="H21" i="53"/>
  <c r="H24" i="53"/>
  <c r="H26" i="53"/>
  <c r="H31" i="53"/>
  <c r="H32" i="53"/>
  <c r="H44" i="53"/>
  <c r="H34" i="53"/>
  <c r="H35" i="53"/>
  <c r="H37" i="53"/>
  <c r="H25" i="53"/>
  <c r="H43" i="53"/>
  <c r="H54" i="53"/>
  <c r="H46" i="53"/>
  <c r="H20" i="53"/>
  <c r="H38" i="53"/>
  <c r="H48" i="53"/>
  <c r="H49" i="53"/>
  <c r="H50" i="53"/>
  <c r="H51" i="53"/>
  <c r="H56" i="53"/>
  <c r="H47" i="53"/>
  <c r="H14" i="53"/>
  <c r="H33" i="53"/>
  <c r="H41" i="53"/>
  <c r="H42" i="53"/>
  <c r="H19" i="53"/>
  <c r="H58" i="53"/>
  <c r="H22" i="53"/>
  <c r="H57" i="53"/>
  <c r="H28" i="53"/>
  <c r="H29" i="53"/>
  <c r="H30" i="53"/>
  <c r="H59" i="53"/>
  <c r="H61" i="53"/>
  <c r="H66" i="53"/>
  <c r="H67" i="53"/>
  <c r="H68" i="53"/>
  <c r="H69" i="53"/>
  <c r="H70" i="53"/>
  <c r="H71" i="53"/>
  <c r="H73" i="53"/>
  <c r="H80" i="53"/>
  <c r="H82" i="53"/>
  <c r="H85" i="53"/>
  <c r="H86" i="53"/>
  <c r="H87" i="53"/>
  <c r="H89" i="53"/>
  <c r="H91" i="53"/>
  <c r="H92" i="53"/>
  <c r="H94" i="53"/>
  <c r="H95" i="53"/>
  <c r="H96" i="53"/>
  <c r="H98" i="53"/>
  <c r="H100" i="53"/>
  <c r="H102" i="53"/>
  <c r="H83" i="53"/>
  <c r="G321" i="53"/>
  <c r="G375" i="53" s="1"/>
  <c r="G352" i="53"/>
  <c r="G367" i="53"/>
  <c r="G379" i="53" s="1"/>
  <c r="G374" i="53"/>
  <c r="G243" i="53"/>
  <c r="G262" i="53"/>
  <c r="G277" i="53"/>
  <c r="G207" i="53"/>
  <c r="G217" i="53"/>
  <c r="G224" i="53"/>
  <c r="G150" i="53"/>
  <c r="G162" i="53"/>
  <c r="G184" i="53"/>
  <c r="G63" i="53"/>
  <c r="G74" i="53"/>
  <c r="G103" i="53"/>
  <c r="F286" i="53"/>
  <c r="F288" i="53"/>
  <c r="F293" i="53"/>
  <c r="F294" i="53"/>
  <c r="F296" i="53"/>
  <c r="F298" i="53"/>
  <c r="F299" i="53"/>
  <c r="F302" i="53"/>
  <c r="F304" i="53"/>
  <c r="F306" i="53"/>
  <c r="F307" i="53"/>
  <c r="F308" i="53"/>
  <c r="F312" i="53"/>
  <c r="F314" i="53"/>
  <c r="F318" i="53"/>
  <c r="F325" i="53"/>
  <c r="F326" i="53"/>
  <c r="F327" i="53"/>
  <c r="F328" i="53"/>
  <c r="F335" i="53"/>
  <c r="F336" i="53"/>
  <c r="F339" i="53"/>
  <c r="F340" i="53"/>
  <c r="F341" i="53"/>
  <c r="F342" i="53"/>
  <c r="F343" i="53"/>
  <c r="F347" i="53"/>
  <c r="F351" i="53"/>
  <c r="F355" i="53"/>
  <c r="F373" i="53"/>
  <c r="F230" i="53"/>
  <c r="F232" i="53"/>
  <c r="F234" i="53"/>
  <c r="F256" i="53"/>
  <c r="F267" i="53"/>
  <c r="F269" i="53"/>
  <c r="F270" i="53"/>
  <c r="F276" i="53"/>
  <c r="F193" i="53"/>
  <c r="F201" i="53"/>
  <c r="F202" i="53"/>
  <c r="F204" i="53"/>
  <c r="F212" i="53"/>
  <c r="F213" i="53"/>
  <c r="F214" i="53"/>
  <c r="F222" i="53"/>
  <c r="F111" i="53"/>
  <c r="F115" i="53"/>
  <c r="F116" i="53"/>
  <c r="F119" i="53"/>
  <c r="F127" i="53"/>
  <c r="F129" i="53"/>
  <c r="F130" i="53"/>
  <c r="F132" i="53"/>
  <c r="F133" i="53"/>
  <c r="F139" i="53"/>
  <c r="F143" i="53"/>
  <c r="F149" i="53"/>
  <c r="F153" i="53"/>
  <c r="F154" i="53"/>
  <c r="F158" i="53"/>
  <c r="F166" i="53"/>
  <c r="F168" i="53"/>
  <c r="F170" i="53"/>
  <c r="F172" i="53"/>
  <c r="F181" i="53"/>
  <c r="F183" i="53"/>
  <c r="E321" i="53"/>
  <c r="E352" i="53"/>
  <c r="E367" i="53"/>
  <c r="E374" i="53"/>
  <c r="E375" i="53" s="1"/>
  <c r="E243" i="53"/>
  <c r="E262" i="53"/>
  <c r="E277" i="53"/>
  <c r="E207" i="53"/>
  <c r="E217" i="53"/>
  <c r="E224" i="53"/>
  <c r="E150" i="53"/>
  <c r="E185" i="53" s="1"/>
  <c r="E162" i="53"/>
  <c r="E184" i="53"/>
  <c r="E63" i="53"/>
  <c r="E74" i="53"/>
  <c r="E103" i="53"/>
  <c r="D321" i="53"/>
  <c r="D352" i="53"/>
  <c r="D367" i="53"/>
  <c r="D374" i="53"/>
  <c r="D243" i="53"/>
  <c r="D262" i="53"/>
  <c r="D277" i="53"/>
  <c r="D207" i="53"/>
  <c r="D217" i="53"/>
  <c r="D224" i="53"/>
  <c r="D150" i="53"/>
  <c r="D185" i="53" s="1"/>
  <c r="D162" i="53"/>
  <c r="D184" i="53"/>
  <c r="D380" i="53" s="1"/>
  <c r="D63" i="53"/>
  <c r="D74" i="53"/>
  <c r="D103" i="53"/>
  <c r="C321" i="53"/>
  <c r="C352" i="53"/>
  <c r="C367" i="53"/>
  <c r="C374" i="53"/>
  <c r="C243" i="53"/>
  <c r="C262" i="53"/>
  <c r="C278" i="53" s="1"/>
  <c r="C277" i="53"/>
  <c r="C207" i="53"/>
  <c r="C225" i="53"/>
  <c r="C217" i="53"/>
  <c r="C224" i="53"/>
  <c r="C150" i="53"/>
  <c r="C162" i="53"/>
  <c r="C185" i="53" s="1"/>
  <c r="C184" i="53"/>
  <c r="C63" i="53"/>
  <c r="C74" i="53"/>
  <c r="C103" i="53"/>
  <c r="C105" i="53" s="1"/>
  <c r="J380" i="53"/>
  <c r="E379" i="53"/>
  <c r="D379" i="53"/>
  <c r="C379" i="53"/>
  <c r="P377" i="53"/>
  <c r="O377" i="53"/>
  <c r="N377" i="53"/>
  <c r="M377" i="53"/>
  <c r="L377" i="53"/>
  <c r="K63" i="53"/>
  <c r="K377" i="53"/>
  <c r="J63" i="53"/>
  <c r="E377" i="53"/>
  <c r="C377" i="53"/>
  <c r="I77" i="53"/>
  <c r="F77" i="53" s="1"/>
  <c r="H77" i="53"/>
  <c r="I76" i="53"/>
  <c r="F76" i="53" s="1"/>
  <c r="H76" i="53"/>
  <c r="I75" i="53"/>
  <c r="H75" i="53"/>
  <c r="F75" i="53"/>
  <c r="I65" i="53"/>
  <c r="F65" i="53" s="1"/>
  <c r="H65" i="53"/>
  <c r="H25" i="52"/>
  <c r="H40" i="52"/>
  <c r="H14" i="52"/>
  <c r="H12" i="52"/>
  <c r="H13" i="52"/>
  <c r="H15" i="52"/>
  <c r="H16" i="52"/>
  <c r="H17" i="52"/>
  <c r="H18" i="52"/>
  <c r="H19" i="52"/>
  <c r="H20" i="52"/>
  <c r="H21" i="52"/>
  <c r="H22" i="52"/>
  <c r="H23" i="52"/>
  <c r="H24" i="52"/>
  <c r="H26" i="52"/>
  <c r="H27" i="52"/>
  <c r="H28" i="52"/>
  <c r="H29" i="52"/>
  <c r="H30" i="52"/>
  <c r="H31" i="52"/>
  <c r="H32" i="52"/>
  <c r="H33" i="52"/>
  <c r="H34" i="52"/>
  <c r="H35" i="52"/>
  <c r="H36" i="52"/>
  <c r="H37" i="52"/>
  <c r="H38" i="52"/>
  <c r="H39" i="52"/>
  <c r="H41" i="52"/>
  <c r="H43" i="52"/>
  <c r="H174" i="52"/>
  <c r="H175" i="52"/>
  <c r="H176" i="52"/>
  <c r="H177" i="52"/>
  <c r="H178" i="52"/>
  <c r="H179" i="52"/>
  <c r="H180" i="52"/>
  <c r="H181" i="52"/>
  <c r="H182" i="52"/>
  <c r="E10" i="19"/>
  <c r="E11" i="19"/>
  <c r="H61" i="52"/>
  <c r="H62" i="52"/>
  <c r="H63" i="52"/>
  <c r="H64" i="52"/>
  <c r="H66" i="52"/>
  <c r="H67" i="52"/>
  <c r="H68" i="52"/>
  <c r="H69" i="52"/>
  <c r="H70" i="52"/>
  <c r="H71" i="52"/>
  <c r="H72" i="52"/>
  <c r="H73" i="52"/>
  <c r="H74" i="52"/>
  <c r="H75" i="52"/>
  <c r="H168" i="52"/>
  <c r="H205" i="52"/>
  <c r="H206" i="52"/>
  <c r="H207" i="52"/>
  <c r="H208" i="52"/>
  <c r="H209" i="52"/>
  <c r="H210" i="52"/>
  <c r="E13" i="19"/>
  <c r="E14" i="19"/>
  <c r="E15" i="19"/>
  <c r="E16" i="19"/>
  <c r="E17" i="19"/>
  <c r="H192" i="52"/>
  <c r="H193" i="52"/>
  <c r="H194" i="52"/>
  <c r="H195" i="52"/>
  <c r="H156" i="52"/>
  <c r="H157" i="52"/>
  <c r="H158" i="52"/>
  <c r="H159" i="52"/>
  <c r="H160" i="52"/>
  <c r="H161" i="52"/>
  <c r="H162" i="52"/>
  <c r="H48" i="52"/>
  <c r="H49" i="52"/>
  <c r="H50" i="52"/>
  <c r="H51" i="52"/>
  <c r="H52" i="52"/>
  <c r="H53" i="52"/>
  <c r="E19" i="19"/>
  <c r="E20" i="19"/>
  <c r="E22" i="19"/>
  <c r="C21" i="17"/>
  <c r="G29" i="20"/>
  <c r="C23" i="17"/>
  <c r="K183" i="52"/>
  <c r="K201" i="52"/>
  <c r="K211" i="52"/>
  <c r="K163" i="52"/>
  <c r="K169" i="52"/>
  <c r="I25" i="52"/>
  <c r="F25" i="52" s="1"/>
  <c r="I40" i="52"/>
  <c r="F40" i="52" s="1"/>
  <c r="I14" i="52"/>
  <c r="F14" i="52" s="1"/>
  <c r="I12" i="52"/>
  <c r="I13" i="52"/>
  <c r="F13" i="52" s="1"/>
  <c r="I15" i="52"/>
  <c r="F15" i="52" s="1"/>
  <c r="I16" i="52"/>
  <c r="F16" i="52" s="1"/>
  <c r="I17" i="52"/>
  <c r="F17" i="52" s="1"/>
  <c r="I18" i="52"/>
  <c r="F18" i="52" s="1"/>
  <c r="I19" i="52"/>
  <c r="F19" i="52" s="1"/>
  <c r="I20" i="52"/>
  <c r="F20" i="52" s="1"/>
  <c r="I21" i="52"/>
  <c r="F21" i="52" s="1"/>
  <c r="I22" i="52"/>
  <c r="F22" i="52" s="1"/>
  <c r="I23" i="52"/>
  <c r="F23" i="52" s="1"/>
  <c r="I24" i="52"/>
  <c r="F24" i="52" s="1"/>
  <c r="I26" i="52"/>
  <c r="F26" i="52" s="1"/>
  <c r="I27" i="52"/>
  <c r="F27" i="52" s="1"/>
  <c r="I28" i="52"/>
  <c r="F28" i="52" s="1"/>
  <c r="I29" i="52"/>
  <c r="F29" i="52" s="1"/>
  <c r="I30" i="52"/>
  <c r="F30" i="52" s="1"/>
  <c r="I31" i="52"/>
  <c r="F31" i="52" s="1"/>
  <c r="I32" i="52"/>
  <c r="F32" i="52" s="1"/>
  <c r="I33" i="52"/>
  <c r="F33" i="52" s="1"/>
  <c r="I34" i="52"/>
  <c r="F34" i="52" s="1"/>
  <c r="I35" i="52"/>
  <c r="F35" i="52" s="1"/>
  <c r="I36" i="52"/>
  <c r="F36" i="52" s="1"/>
  <c r="I37" i="52"/>
  <c r="F37" i="52" s="1"/>
  <c r="I38" i="52"/>
  <c r="F38" i="52" s="1"/>
  <c r="I39" i="52"/>
  <c r="F39" i="52" s="1"/>
  <c r="I41" i="52"/>
  <c r="F41" i="52" s="1"/>
  <c r="I43" i="52"/>
  <c r="F43" i="52" s="1"/>
  <c r="F61" i="52"/>
  <c r="I62" i="52"/>
  <c r="I63" i="52"/>
  <c r="F63" i="52" s="1"/>
  <c r="I64" i="52"/>
  <c r="F64" i="52" s="1"/>
  <c r="I65" i="52"/>
  <c r="F65" i="52" s="1"/>
  <c r="I66" i="52"/>
  <c r="F66" i="52" s="1"/>
  <c r="I67" i="52"/>
  <c r="F67" i="52" s="1"/>
  <c r="I68" i="52"/>
  <c r="F68" i="52" s="1"/>
  <c r="I69" i="52"/>
  <c r="F69" i="52" s="1"/>
  <c r="I70" i="52"/>
  <c r="F70" i="52" s="1"/>
  <c r="I71" i="52"/>
  <c r="F71" i="52" s="1"/>
  <c r="I72" i="52"/>
  <c r="F72" i="52" s="1"/>
  <c r="I73" i="52"/>
  <c r="F73" i="52" s="1"/>
  <c r="I74" i="52"/>
  <c r="F74" i="52" s="1"/>
  <c r="I75" i="52"/>
  <c r="F75" i="52" s="1"/>
  <c r="N14" i="7"/>
  <c r="N15" i="7"/>
  <c r="N16" i="7"/>
  <c r="N18" i="7"/>
  <c r="N20" i="7"/>
  <c r="M20" i="7" s="1"/>
  <c r="N21" i="7"/>
  <c r="N19" i="39"/>
  <c r="N20" i="39"/>
  <c r="N23" i="39"/>
  <c r="I174" i="52"/>
  <c r="F174" i="52" s="1"/>
  <c r="I175" i="52"/>
  <c r="F175" i="52" s="1"/>
  <c r="I176" i="52"/>
  <c r="F176" i="52" s="1"/>
  <c r="I177" i="52"/>
  <c r="F177" i="52" s="1"/>
  <c r="I178" i="52"/>
  <c r="F178" i="52" s="1"/>
  <c r="I179" i="52"/>
  <c r="F179" i="52" s="1"/>
  <c r="I180" i="52"/>
  <c r="F180" i="52" s="1"/>
  <c r="I181" i="52"/>
  <c r="F181" i="52" s="1"/>
  <c r="I182" i="52"/>
  <c r="F182" i="52" s="1"/>
  <c r="I205" i="52"/>
  <c r="F205" i="52" s="1"/>
  <c r="I206" i="52"/>
  <c r="F206" i="52" s="1"/>
  <c r="I207" i="52"/>
  <c r="F207" i="52" s="1"/>
  <c r="I208" i="52"/>
  <c r="F208" i="52" s="1"/>
  <c r="I209" i="52"/>
  <c r="F209" i="52" s="1"/>
  <c r="I210" i="52"/>
  <c r="F210" i="52" s="1"/>
  <c r="I167" i="52"/>
  <c r="F167" i="52" s="1"/>
  <c r="I168" i="52"/>
  <c r="I169" i="52" s="1"/>
  <c r="N15" i="40"/>
  <c r="N16" i="40"/>
  <c r="N19" i="40"/>
  <c r="N20" i="40"/>
  <c r="N19" i="38"/>
  <c r="N20" i="38"/>
  <c r="N21" i="38"/>
  <c r="C13" i="17"/>
  <c r="J183" i="52"/>
  <c r="J201" i="52"/>
  <c r="J211" i="52"/>
  <c r="J163" i="52"/>
  <c r="J169" i="52"/>
  <c r="D183" i="52"/>
  <c r="D105" i="52"/>
  <c r="E183" i="52"/>
  <c r="G183" i="52"/>
  <c r="C183" i="52"/>
  <c r="C201" i="52"/>
  <c r="C211" i="52"/>
  <c r="D211" i="52"/>
  <c r="D169" i="52"/>
  <c r="D76" i="52"/>
  <c r="G169" i="52"/>
  <c r="G211" i="52"/>
  <c r="G76" i="52"/>
  <c r="E169" i="52"/>
  <c r="E211" i="52"/>
  <c r="E76" i="52"/>
  <c r="E56" i="52"/>
  <c r="E201" i="52"/>
  <c r="E163" i="52"/>
  <c r="D201" i="52"/>
  <c r="D163" i="52"/>
  <c r="D56" i="52"/>
  <c r="G201" i="52"/>
  <c r="G163" i="52"/>
  <c r="G56" i="52"/>
  <c r="F25" i="39"/>
  <c r="F20" i="41"/>
  <c r="F22" i="40"/>
  <c r="L225" i="53" s="1"/>
  <c r="F25" i="38"/>
  <c r="E16" i="37" s="1"/>
  <c r="F24" i="7"/>
  <c r="L105" i="53" s="1"/>
  <c r="G17" i="39"/>
  <c r="O17" i="39" s="1"/>
  <c r="G18" i="39"/>
  <c r="K18" i="39" s="1"/>
  <c r="G19" i="39"/>
  <c r="K19" i="39" s="1"/>
  <c r="G20" i="39"/>
  <c r="K20" i="39" s="1"/>
  <c r="O20" i="39" s="1"/>
  <c r="G21" i="39"/>
  <c r="O22" i="39"/>
  <c r="M22" i="39" s="1"/>
  <c r="O23" i="39"/>
  <c r="G15" i="41"/>
  <c r="O15" i="41" s="1"/>
  <c r="G16" i="41"/>
  <c r="G17" i="41"/>
  <c r="E17" i="41" s="1"/>
  <c r="O17" i="41"/>
  <c r="G18" i="41"/>
  <c r="G15" i="40"/>
  <c r="O15" i="40" s="1"/>
  <c r="G16" i="40"/>
  <c r="K16" i="40" s="1"/>
  <c r="G17" i="40"/>
  <c r="G18" i="40"/>
  <c r="G22" i="40" s="1"/>
  <c r="F20" i="37" s="1"/>
  <c r="O18" i="40"/>
  <c r="G19" i="40"/>
  <c r="G20" i="40"/>
  <c r="K20" i="40" s="1"/>
  <c r="G15" i="38"/>
  <c r="G16" i="38"/>
  <c r="G17" i="38"/>
  <c r="G18" i="38"/>
  <c r="E18" i="38" s="1"/>
  <c r="O22" i="38"/>
  <c r="G14" i="7"/>
  <c r="K14" i="7" s="1"/>
  <c r="O14" i="7" s="1"/>
  <c r="G15" i="7"/>
  <c r="K15" i="7" s="1"/>
  <c r="O15" i="7" s="1"/>
  <c r="G16" i="7"/>
  <c r="G17" i="7"/>
  <c r="K17" i="7" s="1"/>
  <c r="G18" i="7"/>
  <c r="G19" i="7"/>
  <c r="G21" i="7"/>
  <c r="O21" i="7" s="1"/>
  <c r="G22" i="7"/>
  <c r="E22" i="7" s="1"/>
  <c r="L15" i="39"/>
  <c r="L25" i="39" s="1"/>
  <c r="K18" i="37" s="1"/>
  <c r="H17" i="39"/>
  <c r="P17" i="39" s="1"/>
  <c r="M17" i="39" s="1"/>
  <c r="L17" i="39"/>
  <c r="H18" i="39"/>
  <c r="L18" i="39"/>
  <c r="I18" i="39" s="1"/>
  <c r="H19" i="39"/>
  <c r="L19" i="39"/>
  <c r="H20" i="39"/>
  <c r="L20" i="39"/>
  <c r="P20" i="39" s="1"/>
  <c r="H21" i="39"/>
  <c r="L21" i="39"/>
  <c r="P21" i="39"/>
  <c r="L22" i="39"/>
  <c r="P22" i="39" s="1"/>
  <c r="L23" i="39"/>
  <c r="P23" i="39"/>
  <c r="H15" i="41"/>
  <c r="L15" i="41"/>
  <c r="H16" i="41"/>
  <c r="L16" i="41"/>
  <c r="H17" i="41"/>
  <c r="L17" i="41"/>
  <c r="H18" i="41"/>
  <c r="L18" i="41"/>
  <c r="P18" i="41" s="1"/>
  <c r="H15" i="40"/>
  <c r="E15" i="40" s="1"/>
  <c r="L15" i="40"/>
  <c r="L22" i="40" s="1"/>
  <c r="K20" i="37" s="1"/>
  <c r="H16" i="40"/>
  <c r="L16" i="40"/>
  <c r="H17" i="40"/>
  <c r="E17" i="40" s="1"/>
  <c r="L17" i="40"/>
  <c r="P17" i="40" s="1"/>
  <c r="H18" i="40"/>
  <c r="P18" i="40" s="1"/>
  <c r="M18" i="40" s="1"/>
  <c r="L18" i="40"/>
  <c r="H19" i="40"/>
  <c r="L19" i="40"/>
  <c r="H20" i="40"/>
  <c r="H15" i="38"/>
  <c r="L15" i="38"/>
  <c r="L18" i="38"/>
  <c r="L19" i="38"/>
  <c r="P19" i="38" s="1"/>
  <c r="L20" i="38"/>
  <c r="P20" i="38" s="1"/>
  <c r="L21" i="38"/>
  <c r="P21" i="38" s="1"/>
  <c r="L22" i="38"/>
  <c r="P22" i="38" s="1"/>
  <c r="L23" i="38"/>
  <c r="L24" i="38"/>
  <c r="P24" i="38" s="1"/>
  <c r="H14" i="7"/>
  <c r="P14" i="7" s="1"/>
  <c r="L14" i="7"/>
  <c r="H15" i="7"/>
  <c r="L15" i="7"/>
  <c r="H16" i="7"/>
  <c r="L16" i="7"/>
  <c r="H17" i="7"/>
  <c r="P17" i="7" s="1"/>
  <c r="L17" i="7"/>
  <c r="H18" i="7"/>
  <c r="L18" i="7"/>
  <c r="I18" i="7" s="1"/>
  <c r="H19" i="7"/>
  <c r="L20" i="7"/>
  <c r="P20" i="7"/>
  <c r="H21" i="7"/>
  <c r="L21" i="7"/>
  <c r="P21" i="7"/>
  <c r="H22" i="7"/>
  <c r="P22" i="7" s="1"/>
  <c r="L22" i="7"/>
  <c r="L293" i="52"/>
  <c r="M293" i="52"/>
  <c r="N293" i="52"/>
  <c r="O293" i="52"/>
  <c r="P293" i="52"/>
  <c r="J290" i="51"/>
  <c r="J291" i="51"/>
  <c r="F291" i="51" s="1"/>
  <c r="J292" i="51"/>
  <c r="J293" i="51"/>
  <c r="J294" i="51"/>
  <c r="F294" i="51" s="1"/>
  <c r="J298" i="51"/>
  <c r="J308" i="51" s="1"/>
  <c r="J300" i="51"/>
  <c r="F300" i="51" s="1"/>
  <c r="J301" i="51"/>
  <c r="J329" i="51"/>
  <c r="J323" i="51"/>
  <c r="J112" i="51"/>
  <c r="J164" i="51"/>
  <c r="K307" i="51"/>
  <c r="K308" i="51"/>
  <c r="K126" i="51"/>
  <c r="K164" i="51"/>
  <c r="K339" i="51" s="1"/>
  <c r="I247" i="51"/>
  <c r="I248" i="51"/>
  <c r="F248" i="51" s="1"/>
  <c r="I249" i="51"/>
  <c r="I250" i="51"/>
  <c r="I251" i="51"/>
  <c r="I252" i="51"/>
  <c r="F252" i="51" s="1"/>
  <c r="I253" i="51"/>
  <c r="F253" i="51" s="1"/>
  <c r="I254" i="51"/>
  <c r="F254" i="51" s="1"/>
  <c r="I255" i="51"/>
  <c r="F255" i="51" s="1"/>
  <c r="I256" i="51"/>
  <c r="I257" i="51"/>
  <c r="I258" i="51"/>
  <c r="I259" i="51"/>
  <c r="I260" i="51"/>
  <c r="F260" i="51" s="1"/>
  <c r="I261" i="51"/>
  <c r="I262" i="51"/>
  <c r="F262" i="51" s="1"/>
  <c r="I263" i="51"/>
  <c r="F263" i="51" s="1"/>
  <c r="I264" i="51"/>
  <c r="F264" i="51" s="1"/>
  <c r="I265" i="51"/>
  <c r="I266" i="51"/>
  <c r="I267" i="51"/>
  <c r="I268" i="51"/>
  <c r="F268" i="51" s="1"/>
  <c r="I269" i="51"/>
  <c r="F269" i="51" s="1"/>
  <c r="I270" i="51"/>
  <c r="F270" i="51" s="1"/>
  <c r="I271" i="51"/>
  <c r="F271" i="51" s="1"/>
  <c r="I272" i="51"/>
  <c r="F272" i="51" s="1"/>
  <c r="I282" i="51"/>
  <c r="I283" i="51"/>
  <c r="I284" i="51"/>
  <c r="I285" i="51"/>
  <c r="I286" i="51"/>
  <c r="F286" i="51" s="1"/>
  <c r="I287" i="51"/>
  <c r="F287" i="51" s="1"/>
  <c r="I288" i="51"/>
  <c r="F288" i="51" s="1"/>
  <c r="I289" i="51"/>
  <c r="I297" i="51"/>
  <c r="I299" i="51"/>
  <c r="F299" i="51" s="1"/>
  <c r="I302" i="51"/>
  <c r="I303" i="51"/>
  <c r="F303" i="51" s="1"/>
  <c r="I304" i="51"/>
  <c r="F304" i="51" s="1"/>
  <c r="I305" i="51"/>
  <c r="I306" i="51"/>
  <c r="I327" i="51"/>
  <c r="F327" i="51" s="1"/>
  <c r="I328" i="51"/>
  <c r="F328" i="51" s="1"/>
  <c r="C311" i="51"/>
  <c r="E311" i="51"/>
  <c r="I312" i="51"/>
  <c r="I313" i="51"/>
  <c r="F313" i="51" s="1"/>
  <c r="I204" i="51"/>
  <c r="F204" i="51" s="1"/>
  <c r="I205" i="51"/>
  <c r="F205" i="51" s="1"/>
  <c r="I206" i="51"/>
  <c r="I207" i="51"/>
  <c r="I208" i="51"/>
  <c r="I209" i="51"/>
  <c r="F209" i="51" s="1"/>
  <c r="I210" i="51"/>
  <c r="F210" i="51" s="1"/>
  <c r="I220" i="51"/>
  <c r="I221" i="51"/>
  <c r="F221" i="51" s="1"/>
  <c r="I222" i="51"/>
  <c r="I229" i="51"/>
  <c r="I233" i="51"/>
  <c r="I234" i="51"/>
  <c r="F234" i="51" s="1"/>
  <c r="I235" i="51"/>
  <c r="I236" i="51"/>
  <c r="F236" i="51" s="1"/>
  <c r="I237" i="51"/>
  <c r="I238" i="51"/>
  <c r="F238" i="51" s="1"/>
  <c r="I96" i="51"/>
  <c r="I97" i="51"/>
  <c r="F97" i="51" s="1"/>
  <c r="I98" i="51"/>
  <c r="F98" i="51" s="1"/>
  <c r="I99" i="51"/>
  <c r="F99" i="51" s="1"/>
  <c r="I100" i="51"/>
  <c r="I101" i="51"/>
  <c r="F101" i="51" s="1"/>
  <c r="I102" i="51"/>
  <c r="F102" i="51" s="1"/>
  <c r="I103" i="51"/>
  <c r="I104" i="51"/>
  <c r="I105" i="51"/>
  <c r="I106" i="51"/>
  <c r="I107" i="51"/>
  <c r="F107" i="51" s="1"/>
  <c r="I108" i="51"/>
  <c r="I109" i="51"/>
  <c r="F109" i="51" s="1"/>
  <c r="I110" i="51"/>
  <c r="F110" i="51" s="1"/>
  <c r="I111" i="51"/>
  <c r="I113" i="51"/>
  <c r="I114" i="51"/>
  <c r="F114" i="51" s="1"/>
  <c r="I115" i="51"/>
  <c r="F115" i="51" s="1"/>
  <c r="I116" i="51"/>
  <c r="F116" i="51" s="1"/>
  <c r="I117" i="51"/>
  <c r="F117" i="51" s="1"/>
  <c r="I118" i="51"/>
  <c r="F118" i="51" s="1"/>
  <c r="I119" i="51"/>
  <c r="I124" i="51"/>
  <c r="I149" i="51"/>
  <c r="F149" i="51" s="1"/>
  <c r="I150" i="51"/>
  <c r="F150" i="51" s="1"/>
  <c r="I151" i="51"/>
  <c r="I152" i="51"/>
  <c r="I153" i="51"/>
  <c r="F153" i="51" s="1"/>
  <c r="I154" i="51"/>
  <c r="F154" i="51" s="1"/>
  <c r="I155" i="51"/>
  <c r="F155" i="51" s="1"/>
  <c r="I156" i="51"/>
  <c r="I157" i="51"/>
  <c r="I158" i="51"/>
  <c r="I159" i="51"/>
  <c r="F159" i="51" s="1"/>
  <c r="I160" i="51"/>
  <c r="I161" i="51"/>
  <c r="F161" i="51" s="1"/>
  <c r="I162" i="51"/>
  <c r="F162" i="51" s="1"/>
  <c r="I163" i="51"/>
  <c r="F163" i="51" s="1"/>
  <c r="C137" i="51"/>
  <c r="I137" i="51" s="1"/>
  <c r="E137" i="51"/>
  <c r="E140" i="51" s="1"/>
  <c r="I138" i="51"/>
  <c r="F138" i="51" s="1"/>
  <c r="I139" i="51"/>
  <c r="F139" i="51" s="1"/>
  <c r="I141" i="51"/>
  <c r="F141" i="51" s="1"/>
  <c r="I142" i="51"/>
  <c r="I143" i="51"/>
  <c r="I145" i="51"/>
  <c r="F145" i="51" s="1"/>
  <c r="I12" i="51"/>
  <c r="F12" i="51" s="1"/>
  <c r="I13" i="51"/>
  <c r="F13" i="51" s="1"/>
  <c r="I14" i="51"/>
  <c r="F14" i="51" s="1"/>
  <c r="I15" i="51"/>
  <c r="F15" i="51" s="1"/>
  <c r="I16" i="51"/>
  <c r="I17" i="51"/>
  <c r="F17" i="51" s="1"/>
  <c r="I18" i="51"/>
  <c r="I19" i="51"/>
  <c r="I20" i="51"/>
  <c r="I21" i="51"/>
  <c r="F21" i="51" s="1"/>
  <c r="I22" i="51"/>
  <c r="F22" i="51" s="1"/>
  <c r="I23" i="51"/>
  <c r="F23" i="51" s="1"/>
  <c r="I24" i="51"/>
  <c r="F24" i="51" s="1"/>
  <c r="I25" i="51"/>
  <c r="F25" i="51" s="1"/>
  <c r="I26" i="51"/>
  <c r="I27" i="51"/>
  <c r="F27" i="51" s="1"/>
  <c r="I28" i="51"/>
  <c r="I29" i="51"/>
  <c r="I30" i="51"/>
  <c r="F30" i="51" s="1"/>
  <c r="I31" i="51"/>
  <c r="F31" i="51" s="1"/>
  <c r="I32" i="51"/>
  <c r="I33" i="51"/>
  <c r="I34" i="51"/>
  <c r="F34" i="51" s="1"/>
  <c r="I35" i="51"/>
  <c r="I36" i="51"/>
  <c r="F36" i="51" s="1"/>
  <c r="I37" i="51"/>
  <c r="F37" i="51" s="1"/>
  <c r="I38" i="51"/>
  <c r="F38" i="51" s="1"/>
  <c r="I39" i="51"/>
  <c r="F39" i="51" s="1"/>
  <c r="I40" i="51"/>
  <c r="I41" i="51"/>
  <c r="F41" i="51" s="1"/>
  <c r="I42" i="51"/>
  <c r="F42" i="51" s="1"/>
  <c r="I43" i="51"/>
  <c r="I44" i="51"/>
  <c r="I45" i="51"/>
  <c r="F45" i="51" s="1"/>
  <c r="I46" i="51"/>
  <c r="F46" i="51" s="1"/>
  <c r="I55" i="51"/>
  <c r="I56" i="51"/>
  <c r="F56" i="51" s="1"/>
  <c r="I57" i="51"/>
  <c r="F57" i="51" s="1"/>
  <c r="I58" i="51"/>
  <c r="I59" i="51"/>
  <c r="I60" i="51"/>
  <c r="F60" i="51" s="1"/>
  <c r="I61" i="51"/>
  <c r="F61" i="51" s="1"/>
  <c r="I62" i="51"/>
  <c r="F62" i="51" s="1"/>
  <c r="I68" i="51"/>
  <c r="C69" i="51"/>
  <c r="I69" i="51" s="1"/>
  <c r="E69" i="51"/>
  <c r="I70" i="51"/>
  <c r="I71" i="51"/>
  <c r="F71" i="51" s="1"/>
  <c r="I72" i="51"/>
  <c r="I73" i="51"/>
  <c r="I74" i="51"/>
  <c r="I75" i="51"/>
  <c r="F75" i="51" s="1"/>
  <c r="I76" i="51"/>
  <c r="F76" i="51" s="1"/>
  <c r="I77" i="51"/>
  <c r="F77" i="51" s="1"/>
  <c r="I78" i="51"/>
  <c r="F78" i="51" s="1"/>
  <c r="I79" i="51"/>
  <c r="F79" i="51" s="1"/>
  <c r="I80" i="51"/>
  <c r="I81" i="51"/>
  <c r="F81" i="51" s="1"/>
  <c r="I82" i="51"/>
  <c r="L240" i="51"/>
  <c r="L165" i="51"/>
  <c r="L85" i="51"/>
  <c r="H247" i="51"/>
  <c r="H248" i="51"/>
  <c r="H249" i="51"/>
  <c r="H250" i="51"/>
  <c r="H251" i="51"/>
  <c r="H252" i="51"/>
  <c r="H253" i="51"/>
  <c r="H254" i="51"/>
  <c r="H255" i="51"/>
  <c r="H256" i="51"/>
  <c r="H257" i="51"/>
  <c r="H258" i="51"/>
  <c r="H259" i="51"/>
  <c r="H260" i="51"/>
  <c r="H261" i="51"/>
  <c r="H262" i="51"/>
  <c r="H263" i="51"/>
  <c r="H264" i="51"/>
  <c r="H265" i="51"/>
  <c r="H266" i="51"/>
  <c r="H267" i="51"/>
  <c r="H268" i="51"/>
  <c r="H269" i="51"/>
  <c r="H270" i="51"/>
  <c r="H271" i="51"/>
  <c r="H272" i="51"/>
  <c r="H282" i="51"/>
  <c r="H295" i="51" s="1"/>
  <c r="H283" i="51"/>
  <c r="H284" i="51"/>
  <c r="H285" i="51"/>
  <c r="H286" i="51"/>
  <c r="H287" i="51"/>
  <c r="H288" i="51"/>
  <c r="H289" i="51"/>
  <c r="H290" i="51"/>
  <c r="H291" i="51"/>
  <c r="H292" i="51"/>
  <c r="H293" i="51"/>
  <c r="H294" i="51"/>
  <c r="H297" i="51"/>
  <c r="H298" i="51"/>
  <c r="H299" i="51"/>
  <c r="H300" i="51"/>
  <c r="H301" i="51"/>
  <c r="H302" i="51"/>
  <c r="H303" i="51"/>
  <c r="H304" i="51"/>
  <c r="H305" i="51"/>
  <c r="H306" i="51"/>
  <c r="H307" i="51"/>
  <c r="H327" i="51"/>
  <c r="H329" i="51" s="1"/>
  <c r="H328" i="51"/>
  <c r="D311" i="51"/>
  <c r="H312" i="51"/>
  <c r="H313" i="51"/>
  <c r="H204" i="51"/>
  <c r="H205" i="51"/>
  <c r="H206" i="51"/>
  <c r="H207" i="51"/>
  <c r="H208" i="51"/>
  <c r="H209" i="51"/>
  <c r="H210" i="51"/>
  <c r="H220" i="51"/>
  <c r="H221" i="51"/>
  <c r="H222" i="51"/>
  <c r="H229" i="51"/>
  <c r="H233" i="51"/>
  <c r="H234" i="51"/>
  <c r="H235" i="51"/>
  <c r="H236" i="51"/>
  <c r="H237" i="51"/>
  <c r="H238" i="51"/>
  <c r="H96" i="51"/>
  <c r="H97" i="51"/>
  <c r="H98" i="51"/>
  <c r="H99" i="51"/>
  <c r="H100" i="51"/>
  <c r="H101" i="51"/>
  <c r="H102" i="51"/>
  <c r="H103" i="51"/>
  <c r="H104" i="51"/>
  <c r="H105" i="51"/>
  <c r="H106" i="51"/>
  <c r="H107" i="51"/>
  <c r="H108" i="51"/>
  <c r="H109" i="51"/>
  <c r="H110" i="51"/>
  <c r="H111" i="51"/>
  <c r="H112" i="51"/>
  <c r="H113" i="51"/>
  <c r="H114" i="51"/>
  <c r="H115" i="51"/>
  <c r="H116" i="51"/>
  <c r="H117" i="51"/>
  <c r="H118" i="51"/>
  <c r="H119" i="51"/>
  <c r="H124" i="51"/>
  <c r="H149" i="51"/>
  <c r="H150" i="51"/>
  <c r="H151" i="51"/>
  <c r="H152" i="51"/>
  <c r="H153" i="51"/>
  <c r="H154" i="51"/>
  <c r="H155" i="51"/>
  <c r="H156" i="51"/>
  <c r="H157" i="51"/>
  <c r="H158" i="51"/>
  <c r="H159" i="51"/>
  <c r="H160" i="51"/>
  <c r="H161" i="51"/>
  <c r="H162" i="51"/>
  <c r="H163" i="51"/>
  <c r="D137" i="51"/>
  <c r="H138" i="51"/>
  <c r="H139" i="51"/>
  <c r="D140" i="51"/>
  <c r="H141" i="51"/>
  <c r="H142" i="51"/>
  <c r="H143" i="51"/>
  <c r="H145" i="51"/>
  <c r="H12" i="51"/>
  <c r="H13" i="51"/>
  <c r="H14" i="51"/>
  <c r="H15" i="51"/>
  <c r="H16" i="51"/>
  <c r="H17" i="51"/>
  <c r="H18" i="51"/>
  <c r="H19" i="51"/>
  <c r="H20" i="51"/>
  <c r="H21" i="51"/>
  <c r="H22" i="51"/>
  <c r="H23" i="51"/>
  <c r="H24" i="51"/>
  <c r="H25" i="51"/>
  <c r="H26" i="51"/>
  <c r="H27" i="51"/>
  <c r="H28" i="51"/>
  <c r="H29" i="51"/>
  <c r="H30" i="51"/>
  <c r="H31" i="51"/>
  <c r="H32" i="51"/>
  <c r="H33" i="51"/>
  <c r="H34" i="51"/>
  <c r="H35" i="51"/>
  <c r="H36" i="51"/>
  <c r="H37" i="51"/>
  <c r="H38" i="51"/>
  <c r="H39" i="51"/>
  <c r="H40" i="51"/>
  <c r="H41" i="51"/>
  <c r="H42" i="51"/>
  <c r="H43" i="51"/>
  <c r="H44" i="51"/>
  <c r="H46" i="51"/>
  <c r="H55" i="51"/>
  <c r="H56" i="51"/>
  <c r="H57" i="51"/>
  <c r="H58" i="51"/>
  <c r="H59" i="51"/>
  <c r="H60" i="51"/>
  <c r="H62" i="51"/>
  <c r="H68" i="51"/>
  <c r="D69" i="51"/>
  <c r="H69" i="51" s="1"/>
  <c r="H83" i="51" s="1"/>
  <c r="H70" i="51"/>
  <c r="H71" i="51"/>
  <c r="H72" i="51"/>
  <c r="H73" i="51"/>
  <c r="H74" i="51"/>
  <c r="H75" i="51"/>
  <c r="H76" i="51"/>
  <c r="H77" i="51"/>
  <c r="H78" i="51"/>
  <c r="H79" i="51"/>
  <c r="H80" i="51"/>
  <c r="H81" i="51"/>
  <c r="H82" i="51"/>
  <c r="G273" i="51"/>
  <c r="G330" i="51" s="1"/>
  <c r="G295" i="51"/>
  <c r="G308" i="51"/>
  <c r="G329" i="51"/>
  <c r="G323" i="51"/>
  <c r="G338" i="51" s="1"/>
  <c r="G211" i="51"/>
  <c r="G223" i="51"/>
  <c r="G229" i="51"/>
  <c r="G239" i="51"/>
  <c r="G126" i="51"/>
  <c r="G164" i="51"/>
  <c r="G146" i="51"/>
  <c r="G48" i="51"/>
  <c r="G63" i="51"/>
  <c r="G83" i="51"/>
  <c r="F249" i="51"/>
  <c r="F250" i="51"/>
  <c r="F251" i="51"/>
  <c r="F256" i="51"/>
  <c r="F257" i="51"/>
  <c r="F258" i="51"/>
  <c r="F259" i="51"/>
  <c r="F261" i="51"/>
  <c r="F265" i="51"/>
  <c r="F266" i="51"/>
  <c r="F267" i="51"/>
  <c r="F282" i="51"/>
  <c r="F283" i="51"/>
  <c r="F284" i="51"/>
  <c r="F289" i="51"/>
  <c r="F290" i="51"/>
  <c r="F292" i="51"/>
  <c r="F297" i="51"/>
  <c r="F301" i="51"/>
  <c r="F305" i="51"/>
  <c r="F306" i="51"/>
  <c r="F307" i="51"/>
  <c r="F312" i="51"/>
  <c r="F317" i="51"/>
  <c r="F318" i="51"/>
  <c r="F321" i="51"/>
  <c r="F322" i="51"/>
  <c r="F207" i="51"/>
  <c r="F208" i="51"/>
  <c r="F220" i="51"/>
  <c r="F229" i="51"/>
  <c r="F235" i="51"/>
  <c r="F237" i="51"/>
  <c r="F100" i="51"/>
  <c r="F103" i="51"/>
  <c r="F104" i="51"/>
  <c r="F105" i="51"/>
  <c r="F106" i="51"/>
  <c r="F108" i="51"/>
  <c r="F111" i="51"/>
  <c r="F113" i="51"/>
  <c r="F119" i="51"/>
  <c r="F124" i="51"/>
  <c r="F152" i="51"/>
  <c r="F156" i="51"/>
  <c r="F157" i="51"/>
  <c r="F158" i="51"/>
  <c r="F160" i="51"/>
  <c r="F142" i="51"/>
  <c r="F143" i="51"/>
  <c r="F16" i="51"/>
  <c r="F18" i="51"/>
  <c r="F19" i="51"/>
  <c r="F20" i="51"/>
  <c r="F26" i="51"/>
  <c r="F28" i="51"/>
  <c r="F29" i="51"/>
  <c r="F32" i="51"/>
  <c r="F33" i="51"/>
  <c r="F35" i="51"/>
  <c r="F40" i="51"/>
  <c r="F43" i="51"/>
  <c r="F44" i="51"/>
  <c r="F58" i="51"/>
  <c r="F59" i="51"/>
  <c r="F68" i="51"/>
  <c r="F70" i="51"/>
  <c r="F72" i="51"/>
  <c r="F74" i="51"/>
  <c r="F80" i="51"/>
  <c r="F82" i="51"/>
  <c r="E164" i="51"/>
  <c r="E165" i="51" s="1"/>
  <c r="E341" i="51" s="1"/>
  <c r="D164" i="51"/>
  <c r="D339" i="51" s="1"/>
  <c r="D165" i="51"/>
  <c r="D341" i="51"/>
  <c r="C164" i="51"/>
  <c r="P339" i="51"/>
  <c r="O339" i="51"/>
  <c r="N339" i="51"/>
  <c r="M339" i="51"/>
  <c r="L339" i="51"/>
  <c r="E339" i="51"/>
  <c r="P338" i="51"/>
  <c r="O338" i="51"/>
  <c r="N338" i="51"/>
  <c r="M338" i="51"/>
  <c r="L338" i="51"/>
  <c r="K338" i="51"/>
  <c r="J338" i="51"/>
  <c r="E338" i="51"/>
  <c r="D338" i="51"/>
  <c r="C338" i="51"/>
  <c r="P337" i="51"/>
  <c r="O337" i="51"/>
  <c r="N337" i="51"/>
  <c r="M337" i="51"/>
  <c r="L337" i="51"/>
  <c r="I188" i="51"/>
  <c r="F188" i="51" s="1"/>
  <c r="I189" i="51"/>
  <c r="F189" i="51" s="1"/>
  <c r="I190" i="51"/>
  <c r="I191" i="51"/>
  <c r="C192" i="51"/>
  <c r="E192" i="51"/>
  <c r="I193" i="51"/>
  <c r="I194" i="51"/>
  <c r="F194" i="51" s="1"/>
  <c r="H188" i="51"/>
  <c r="H189" i="51"/>
  <c r="H190" i="51"/>
  <c r="H191" i="51"/>
  <c r="D192" i="51"/>
  <c r="H193" i="51"/>
  <c r="H194" i="51"/>
  <c r="G195" i="51"/>
  <c r="F191" i="51"/>
  <c r="F193" i="51"/>
  <c r="E295" i="51"/>
  <c r="D295" i="51"/>
  <c r="D337" i="51" s="1"/>
  <c r="C295" i="51"/>
  <c r="K336" i="51"/>
  <c r="I171" i="51"/>
  <c r="I172" i="51"/>
  <c r="F172" i="51"/>
  <c r="I173" i="51"/>
  <c r="I174" i="51"/>
  <c r="F174" i="51" s="1"/>
  <c r="I175" i="51"/>
  <c r="F175" i="51" s="1"/>
  <c r="I176" i="51"/>
  <c r="F176" i="51" s="1"/>
  <c r="I177" i="51"/>
  <c r="F177" i="51" s="1"/>
  <c r="I178" i="51"/>
  <c r="F178" i="51" s="1"/>
  <c r="I179" i="51"/>
  <c r="F179" i="51" s="1"/>
  <c r="I180" i="51"/>
  <c r="F180" i="51" s="1"/>
  <c r="I181" i="51"/>
  <c r="F181" i="51" s="1"/>
  <c r="C182" i="51"/>
  <c r="E182" i="51"/>
  <c r="I183" i="51"/>
  <c r="F183" i="51" s="1"/>
  <c r="I184" i="51"/>
  <c r="F184" i="51"/>
  <c r="H171" i="51"/>
  <c r="H172" i="51"/>
  <c r="H173" i="51"/>
  <c r="H174" i="51"/>
  <c r="H175" i="51"/>
  <c r="H176" i="51"/>
  <c r="H177" i="51"/>
  <c r="H178" i="51"/>
  <c r="H179" i="51"/>
  <c r="H180" i="51"/>
  <c r="H181" i="51"/>
  <c r="D182" i="51"/>
  <c r="D199" i="51" s="1"/>
  <c r="H183" i="51"/>
  <c r="H184" i="51"/>
  <c r="G185" i="51"/>
  <c r="F171" i="51"/>
  <c r="F173" i="51"/>
  <c r="E273" i="51"/>
  <c r="E336" i="51" s="1"/>
  <c r="D273" i="51"/>
  <c r="D336" i="51" s="1"/>
  <c r="C273" i="51"/>
  <c r="C336" i="51" s="1"/>
  <c r="E333" i="51"/>
  <c r="E326" i="51"/>
  <c r="D333" i="51"/>
  <c r="D334" i="51" s="1"/>
  <c r="D326" i="51"/>
  <c r="C333" i="51"/>
  <c r="C326" i="51"/>
  <c r="E212" i="51"/>
  <c r="E225" i="51"/>
  <c r="E231" i="51"/>
  <c r="E241" i="51"/>
  <c r="D212" i="51"/>
  <c r="D225" i="51"/>
  <c r="D231" i="51"/>
  <c r="D241" i="51"/>
  <c r="C212" i="51"/>
  <c r="C225" i="51"/>
  <c r="C231" i="51"/>
  <c r="C241" i="51"/>
  <c r="C198" i="51"/>
  <c r="E198" i="51"/>
  <c r="D198" i="51"/>
  <c r="E120" i="51"/>
  <c r="D120" i="51"/>
  <c r="C120" i="51"/>
  <c r="E54" i="51"/>
  <c r="E91" i="51" s="1"/>
  <c r="E89" i="51"/>
  <c r="D54" i="51"/>
  <c r="D89" i="51"/>
  <c r="C54" i="51"/>
  <c r="C91" i="51" s="1"/>
  <c r="C89" i="51"/>
  <c r="J290" i="50"/>
  <c r="J291" i="50"/>
  <c r="J292" i="50"/>
  <c r="J293" i="50"/>
  <c r="F293" i="50" s="1"/>
  <c r="J294" i="50"/>
  <c r="F294" i="50" s="1"/>
  <c r="J298" i="50"/>
  <c r="F298" i="50" s="1"/>
  <c r="J300" i="50"/>
  <c r="F300" i="50" s="1"/>
  <c r="J301" i="50"/>
  <c r="J329" i="50"/>
  <c r="J323" i="50"/>
  <c r="J112" i="50"/>
  <c r="J164" i="50"/>
  <c r="K307" i="50"/>
  <c r="K126" i="50"/>
  <c r="K165" i="50" s="1"/>
  <c r="K164" i="50"/>
  <c r="I247" i="50"/>
  <c r="F247" i="50" s="1"/>
  <c r="I248" i="50"/>
  <c r="F248" i="50" s="1"/>
  <c r="I249" i="50"/>
  <c r="F249" i="50" s="1"/>
  <c r="I250" i="50"/>
  <c r="F250" i="50" s="1"/>
  <c r="I251" i="50"/>
  <c r="I252" i="50"/>
  <c r="F252" i="50" s="1"/>
  <c r="I253" i="50"/>
  <c r="F253" i="50" s="1"/>
  <c r="I254" i="50"/>
  <c r="F254" i="50" s="1"/>
  <c r="I255" i="50"/>
  <c r="F255" i="50" s="1"/>
  <c r="I256" i="50"/>
  <c r="F256" i="50" s="1"/>
  <c r="I257" i="50"/>
  <c r="I258" i="50"/>
  <c r="I259" i="50"/>
  <c r="I260" i="50"/>
  <c r="I261" i="50"/>
  <c r="F261" i="50" s="1"/>
  <c r="I262" i="50"/>
  <c r="F262" i="50" s="1"/>
  <c r="I263" i="50"/>
  <c r="F263" i="50" s="1"/>
  <c r="I264" i="50"/>
  <c r="F264" i="50" s="1"/>
  <c r="I265" i="50"/>
  <c r="F265" i="50" s="1"/>
  <c r="I266" i="50"/>
  <c r="F266" i="50" s="1"/>
  <c r="I267" i="50"/>
  <c r="F267" i="50" s="1"/>
  <c r="I268" i="50"/>
  <c r="I269" i="50"/>
  <c r="I270" i="50"/>
  <c r="F270" i="50" s="1"/>
  <c r="I271" i="50"/>
  <c r="F271" i="50" s="1"/>
  <c r="I272" i="50"/>
  <c r="F272" i="50" s="1"/>
  <c r="I282" i="50"/>
  <c r="F282" i="50" s="1"/>
  <c r="I283" i="50"/>
  <c r="F283" i="50" s="1"/>
  <c r="I284" i="50"/>
  <c r="I285" i="50"/>
  <c r="F285" i="50" s="1"/>
  <c r="I286" i="50"/>
  <c r="I287" i="50"/>
  <c r="F287" i="50" s="1"/>
  <c r="I288" i="50"/>
  <c r="F288" i="50" s="1"/>
  <c r="I289" i="50"/>
  <c r="F289" i="50" s="1"/>
  <c r="I297" i="50"/>
  <c r="I299" i="50"/>
  <c r="I302" i="50"/>
  <c r="I303" i="50"/>
  <c r="F303" i="50" s="1"/>
  <c r="I304" i="50"/>
  <c r="F304" i="50" s="1"/>
  <c r="I305" i="50"/>
  <c r="F305" i="50" s="1"/>
  <c r="I306" i="50"/>
  <c r="I327" i="50"/>
  <c r="I328" i="50"/>
  <c r="I329" i="50"/>
  <c r="C311" i="50"/>
  <c r="I311" i="50" s="1"/>
  <c r="E311" i="50"/>
  <c r="I312" i="50"/>
  <c r="F312" i="50" s="1"/>
  <c r="I313" i="50"/>
  <c r="F313" i="50" s="1"/>
  <c r="I204" i="50"/>
  <c r="F204" i="50" s="1"/>
  <c r="I205" i="50"/>
  <c r="F205" i="50" s="1"/>
  <c r="I206" i="50"/>
  <c r="F206" i="50" s="1"/>
  <c r="I207" i="50"/>
  <c r="I208" i="50"/>
  <c r="F208" i="50" s="1"/>
  <c r="I209" i="50"/>
  <c r="F209" i="50" s="1"/>
  <c r="I210" i="50"/>
  <c r="F210" i="50" s="1"/>
  <c r="I220" i="50"/>
  <c r="I221" i="50"/>
  <c r="I222" i="50"/>
  <c r="F222" i="50" s="1"/>
  <c r="I229" i="50"/>
  <c r="I233" i="50"/>
  <c r="I234" i="50"/>
  <c r="F234" i="50" s="1"/>
  <c r="I235" i="50"/>
  <c r="F235" i="50" s="1"/>
  <c r="I236" i="50"/>
  <c r="F236" i="50" s="1"/>
  <c r="I237" i="50"/>
  <c r="I238" i="50"/>
  <c r="F238" i="50" s="1"/>
  <c r="I96" i="50"/>
  <c r="F96" i="50" s="1"/>
  <c r="I97" i="50"/>
  <c r="F97" i="50" s="1"/>
  <c r="I98" i="50"/>
  <c r="I99" i="50"/>
  <c r="I100" i="50"/>
  <c r="I101" i="50"/>
  <c r="F101" i="50" s="1"/>
  <c r="I102" i="50"/>
  <c r="F102" i="50" s="1"/>
  <c r="I103" i="50"/>
  <c r="F103" i="50" s="1"/>
  <c r="I104" i="50"/>
  <c r="F104" i="50" s="1"/>
  <c r="I105" i="50"/>
  <c r="F105" i="50" s="1"/>
  <c r="I106" i="50"/>
  <c r="I107" i="50"/>
  <c r="F107" i="50" s="1"/>
  <c r="I108" i="50"/>
  <c r="F108" i="50" s="1"/>
  <c r="I109" i="50"/>
  <c r="F109" i="50" s="1"/>
  <c r="I110" i="50"/>
  <c r="F110" i="50" s="1"/>
  <c r="I111" i="50"/>
  <c r="I113" i="50"/>
  <c r="I114" i="50"/>
  <c r="I115" i="50"/>
  <c r="F115" i="50" s="1"/>
  <c r="I116" i="50"/>
  <c r="F116" i="50" s="1"/>
  <c r="I117" i="50"/>
  <c r="F117" i="50" s="1"/>
  <c r="I118" i="50"/>
  <c r="F118" i="50" s="1"/>
  <c r="I119" i="50"/>
  <c r="I124" i="50"/>
  <c r="F124" i="50" s="1"/>
  <c r="I149" i="50"/>
  <c r="I150" i="50"/>
  <c r="F150" i="50" s="1"/>
  <c r="I151" i="50"/>
  <c r="F151" i="50" s="1"/>
  <c r="I152" i="50"/>
  <c r="I153" i="50"/>
  <c r="I154" i="50"/>
  <c r="F154" i="50" s="1"/>
  <c r="I155" i="50"/>
  <c r="I156" i="50"/>
  <c r="F156" i="50" s="1"/>
  <c r="I157" i="50"/>
  <c r="F157" i="50" s="1"/>
  <c r="I158" i="50"/>
  <c r="F158" i="50" s="1"/>
  <c r="I159" i="50"/>
  <c r="I160" i="50"/>
  <c r="I161" i="50"/>
  <c r="F161" i="50" s="1"/>
  <c r="I162" i="50"/>
  <c r="F162" i="50" s="1"/>
  <c r="I163" i="50"/>
  <c r="C137" i="50"/>
  <c r="E137" i="50"/>
  <c r="I137" i="50"/>
  <c r="I138" i="50"/>
  <c r="F138" i="50" s="1"/>
  <c r="I139" i="50"/>
  <c r="F139" i="50" s="1"/>
  <c r="C140" i="50"/>
  <c r="I141" i="50"/>
  <c r="F141" i="50" s="1"/>
  <c r="I142" i="50"/>
  <c r="I143" i="50"/>
  <c r="F143" i="50" s="1"/>
  <c r="I145" i="50"/>
  <c r="F145" i="50" s="1"/>
  <c r="I12" i="50"/>
  <c r="I13" i="50"/>
  <c r="I14" i="50"/>
  <c r="F14" i="50" s="1"/>
  <c r="I15" i="50"/>
  <c r="F15" i="50" s="1"/>
  <c r="I16" i="50"/>
  <c r="F16" i="50" s="1"/>
  <c r="I17" i="50"/>
  <c r="I18" i="50"/>
  <c r="F18" i="50" s="1"/>
  <c r="I19" i="50"/>
  <c r="F19" i="50" s="1"/>
  <c r="I20" i="50"/>
  <c r="F20" i="50" s="1"/>
  <c r="I21" i="50"/>
  <c r="I22" i="50"/>
  <c r="F22" i="50" s="1"/>
  <c r="I23" i="50"/>
  <c r="F23" i="50" s="1"/>
  <c r="I24" i="50"/>
  <c r="F24" i="50" s="1"/>
  <c r="I25" i="50"/>
  <c r="I26" i="50"/>
  <c r="I27" i="50"/>
  <c r="I28" i="50"/>
  <c r="I29" i="50"/>
  <c r="F29" i="50" s="1"/>
  <c r="I30" i="50"/>
  <c r="F30" i="50" s="1"/>
  <c r="I31" i="50"/>
  <c r="F31" i="50" s="1"/>
  <c r="I32" i="50"/>
  <c r="F32" i="50" s="1"/>
  <c r="I33" i="50"/>
  <c r="I34" i="50"/>
  <c r="I35" i="50"/>
  <c r="I36" i="50"/>
  <c r="F36" i="50" s="1"/>
  <c r="I37" i="50"/>
  <c r="F37" i="50" s="1"/>
  <c r="I38" i="50"/>
  <c r="F38" i="50" s="1"/>
  <c r="I39" i="50"/>
  <c r="F39" i="50" s="1"/>
  <c r="I40" i="50"/>
  <c r="F40" i="50" s="1"/>
  <c r="I41" i="50"/>
  <c r="I42" i="50"/>
  <c r="F42" i="50" s="1"/>
  <c r="I43" i="50"/>
  <c r="F43" i="50" s="1"/>
  <c r="I44" i="50"/>
  <c r="F44" i="50" s="1"/>
  <c r="I45" i="50"/>
  <c r="I46" i="50"/>
  <c r="F46" i="50" s="1"/>
  <c r="I55" i="50"/>
  <c r="I56" i="50"/>
  <c r="F56" i="50" s="1"/>
  <c r="I57" i="50"/>
  <c r="F57" i="50" s="1"/>
  <c r="I58" i="50"/>
  <c r="F58" i="50" s="1"/>
  <c r="I59" i="50"/>
  <c r="I60" i="50"/>
  <c r="I61" i="50"/>
  <c r="F61" i="50" s="1"/>
  <c r="I62" i="50"/>
  <c r="F62" i="50" s="1"/>
  <c r="I68" i="50"/>
  <c r="C69" i="50"/>
  <c r="E69" i="50"/>
  <c r="E91" i="50" s="1"/>
  <c r="I70" i="50"/>
  <c r="I71" i="50"/>
  <c r="F71" i="50" s="1"/>
  <c r="I72" i="50"/>
  <c r="F72" i="50" s="1"/>
  <c r="I73" i="50"/>
  <c r="I74" i="50"/>
  <c r="I75" i="50"/>
  <c r="I76" i="50"/>
  <c r="F76" i="50" s="1"/>
  <c r="I77" i="50"/>
  <c r="I78" i="50"/>
  <c r="F78" i="50" s="1"/>
  <c r="I79" i="50"/>
  <c r="F79" i="50" s="1"/>
  <c r="I80" i="50"/>
  <c r="F80" i="50" s="1"/>
  <c r="I81" i="50"/>
  <c r="F81" i="50" s="1"/>
  <c r="I82" i="50"/>
  <c r="F82" i="50" s="1"/>
  <c r="L330" i="50"/>
  <c r="H247" i="50"/>
  <c r="H248" i="50"/>
  <c r="H249" i="50"/>
  <c r="H250" i="50"/>
  <c r="H251" i="50"/>
  <c r="H252" i="50"/>
  <c r="H253" i="50"/>
  <c r="H254" i="50"/>
  <c r="H255" i="50"/>
  <c r="H256" i="50"/>
  <c r="H257" i="50"/>
  <c r="H258" i="50"/>
  <c r="H259" i="50"/>
  <c r="H260" i="50"/>
  <c r="H261" i="50"/>
  <c r="H262" i="50"/>
  <c r="H263" i="50"/>
  <c r="H264" i="50"/>
  <c r="H265" i="50"/>
  <c r="H266" i="50"/>
  <c r="H267" i="50"/>
  <c r="H268" i="50"/>
  <c r="H269" i="50"/>
  <c r="H270" i="50"/>
  <c r="H271" i="50"/>
  <c r="H272" i="50"/>
  <c r="H282" i="50"/>
  <c r="H283" i="50"/>
  <c r="H284" i="50"/>
  <c r="H285" i="50"/>
  <c r="H286" i="50"/>
  <c r="H287" i="50"/>
  <c r="H288" i="50"/>
  <c r="H289" i="50"/>
  <c r="H290" i="50"/>
  <c r="H291" i="50"/>
  <c r="H292" i="50"/>
  <c r="H293" i="50"/>
  <c r="H294" i="50"/>
  <c r="H297" i="50"/>
  <c r="H298" i="50"/>
  <c r="H299" i="50"/>
  <c r="H300" i="50"/>
  <c r="H301" i="50"/>
  <c r="H302" i="50"/>
  <c r="H303" i="50"/>
  <c r="H304" i="50"/>
  <c r="H305" i="50"/>
  <c r="H306" i="50"/>
  <c r="H307" i="50"/>
  <c r="H327" i="50"/>
  <c r="H328" i="50"/>
  <c r="D311" i="50"/>
  <c r="H312" i="50"/>
  <c r="H313" i="50"/>
  <c r="H204" i="50"/>
  <c r="H205" i="50"/>
  <c r="H206" i="50"/>
  <c r="H207" i="50"/>
  <c r="H208" i="50"/>
  <c r="H209" i="50"/>
  <c r="H210" i="50"/>
  <c r="H220" i="50"/>
  <c r="H221" i="50"/>
  <c r="H222" i="50"/>
  <c r="H229" i="50"/>
  <c r="H233" i="50"/>
  <c r="H234" i="50"/>
  <c r="H235" i="50"/>
  <c r="H236" i="50"/>
  <c r="H237" i="50"/>
  <c r="H238" i="50"/>
  <c r="H96" i="50"/>
  <c r="H97" i="50"/>
  <c r="H98" i="50"/>
  <c r="H99" i="50"/>
  <c r="H100" i="50"/>
  <c r="H101" i="50"/>
  <c r="H102" i="50"/>
  <c r="H103" i="50"/>
  <c r="H104" i="50"/>
  <c r="H105" i="50"/>
  <c r="H106" i="50"/>
  <c r="H107" i="50"/>
  <c r="H108" i="50"/>
  <c r="H109" i="50"/>
  <c r="H110" i="50"/>
  <c r="H111" i="50"/>
  <c r="H112" i="50"/>
  <c r="H113" i="50"/>
  <c r="H114" i="50"/>
  <c r="H115" i="50"/>
  <c r="H116" i="50"/>
  <c r="H117" i="50"/>
  <c r="H118" i="50"/>
  <c r="H119" i="50"/>
  <c r="H124" i="50"/>
  <c r="H149" i="50"/>
  <c r="H150" i="50"/>
  <c r="H151" i="50"/>
  <c r="H152" i="50"/>
  <c r="H153" i="50"/>
  <c r="H154" i="50"/>
  <c r="H155" i="50"/>
  <c r="H156" i="50"/>
  <c r="H157" i="50"/>
  <c r="H158" i="50"/>
  <c r="H159" i="50"/>
  <c r="H160" i="50"/>
  <c r="H161" i="50"/>
  <c r="H162" i="50"/>
  <c r="H163" i="50"/>
  <c r="D137" i="50"/>
  <c r="H137" i="50" s="1"/>
  <c r="H138" i="50"/>
  <c r="H139" i="50"/>
  <c r="D140" i="50"/>
  <c r="H141" i="50"/>
  <c r="H142" i="50"/>
  <c r="H143" i="50"/>
  <c r="H145" i="50"/>
  <c r="H12" i="50"/>
  <c r="H13" i="50"/>
  <c r="H14" i="50"/>
  <c r="H15" i="50"/>
  <c r="H16" i="50"/>
  <c r="H17" i="50"/>
  <c r="H18" i="50"/>
  <c r="H19" i="50"/>
  <c r="H20" i="50"/>
  <c r="H21" i="50"/>
  <c r="H22" i="50"/>
  <c r="H23" i="50"/>
  <c r="H24" i="50"/>
  <c r="H25" i="50"/>
  <c r="H26" i="50"/>
  <c r="H27" i="50"/>
  <c r="H28" i="50"/>
  <c r="H29" i="50"/>
  <c r="H30" i="50"/>
  <c r="H31" i="50"/>
  <c r="H32" i="50"/>
  <c r="H33" i="50"/>
  <c r="H34" i="50"/>
  <c r="H35" i="50"/>
  <c r="H36" i="50"/>
  <c r="H37" i="50"/>
  <c r="H38" i="50"/>
  <c r="H39" i="50"/>
  <c r="H40" i="50"/>
  <c r="H41" i="50"/>
  <c r="H42" i="50"/>
  <c r="H43" i="50"/>
  <c r="H44" i="50"/>
  <c r="H46" i="50"/>
  <c r="H55" i="50"/>
  <c r="H56" i="50"/>
  <c r="H57" i="50"/>
  <c r="H58" i="50"/>
  <c r="H63" i="50" s="1"/>
  <c r="H59" i="50"/>
  <c r="H60" i="50"/>
  <c r="H62" i="50"/>
  <c r="H68" i="50"/>
  <c r="D69" i="50"/>
  <c r="H70" i="50"/>
  <c r="H71" i="50"/>
  <c r="H72" i="50"/>
  <c r="H73" i="50"/>
  <c r="H74" i="50"/>
  <c r="H75" i="50"/>
  <c r="H76" i="50"/>
  <c r="H77" i="50"/>
  <c r="H78" i="50"/>
  <c r="H79" i="50"/>
  <c r="H80" i="50"/>
  <c r="H81" i="50"/>
  <c r="H82" i="50"/>
  <c r="G273" i="50"/>
  <c r="G295" i="50"/>
  <c r="G308" i="50"/>
  <c r="G329" i="50"/>
  <c r="G323" i="50"/>
  <c r="G211" i="50"/>
  <c r="G223" i="50"/>
  <c r="G229" i="50"/>
  <c r="G338" i="50" s="1"/>
  <c r="G239" i="50"/>
  <c r="G126" i="50"/>
  <c r="G164" i="50"/>
  <c r="G146" i="50"/>
  <c r="G165" i="50"/>
  <c r="G48" i="50"/>
  <c r="G63" i="50"/>
  <c r="G83" i="50"/>
  <c r="F251" i="50"/>
  <c r="F257" i="50"/>
  <c r="F258" i="50"/>
  <c r="F259" i="50"/>
  <c r="F260" i="50"/>
  <c r="F268" i="50"/>
  <c r="F269" i="50"/>
  <c r="F284" i="50"/>
  <c r="F286" i="50"/>
  <c r="F290" i="50"/>
  <c r="F291" i="50"/>
  <c r="F292" i="50"/>
  <c r="F297" i="50"/>
  <c r="F299" i="50"/>
  <c r="F301" i="50"/>
  <c r="F302" i="50"/>
  <c r="F306" i="50"/>
  <c r="F327" i="50"/>
  <c r="F328" i="50"/>
  <c r="F317" i="50"/>
  <c r="F318" i="50"/>
  <c r="F321" i="50"/>
  <c r="F322" i="50"/>
  <c r="F207" i="50"/>
  <c r="F220" i="50"/>
  <c r="F229" i="50"/>
  <c r="F338" i="50" s="1"/>
  <c r="F233" i="50"/>
  <c r="F98" i="50"/>
  <c r="F99" i="50"/>
  <c r="F100" i="50"/>
  <c r="F106" i="50"/>
  <c r="F111" i="50"/>
  <c r="F113" i="50"/>
  <c r="F114" i="50"/>
  <c r="F119" i="50"/>
  <c r="F149" i="50"/>
  <c r="F152" i="50"/>
  <c r="F153" i="50"/>
  <c r="F155" i="50"/>
  <c r="F159" i="50"/>
  <c r="F160" i="50"/>
  <c r="F163" i="50"/>
  <c r="F142" i="50"/>
  <c r="F12" i="50"/>
  <c r="F13" i="50"/>
  <c r="F17" i="50"/>
  <c r="F21" i="50"/>
  <c r="F25" i="50"/>
  <c r="F26" i="50"/>
  <c r="F27" i="50"/>
  <c r="F28" i="50"/>
  <c r="F33" i="50"/>
  <c r="F34" i="50"/>
  <c r="F35" i="50"/>
  <c r="F41" i="50"/>
  <c r="F45" i="50"/>
  <c r="F59" i="50"/>
  <c r="F60" i="50"/>
  <c r="F68" i="50"/>
  <c r="F70" i="50"/>
  <c r="F73" i="50"/>
  <c r="F74" i="50"/>
  <c r="F75" i="50"/>
  <c r="F77" i="50"/>
  <c r="E164" i="50"/>
  <c r="E165" i="50" s="1"/>
  <c r="E341" i="50"/>
  <c r="D164" i="50"/>
  <c r="D339" i="50" s="1"/>
  <c r="D165" i="50"/>
  <c r="D341" i="50" s="1"/>
  <c r="C164" i="50"/>
  <c r="C165" i="50" s="1"/>
  <c r="C341" i="50" s="1"/>
  <c r="P339" i="50"/>
  <c r="O339" i="50"/>
  <c r="N339" i="50"/>
  <c r="M339" i="50"/>
  <c r="L339" i="50"/>
  <c r="K339" i="50"/>
  <c r="E339" i="50"/>
  <c r="P338" i="50"/>
  <c r="O338" i="50"/>
  <c r="N338" i="50"/>
  <c r="M338" i="50"/>
  <c r="L338" i="50"/>
  <c r="K338" i="50"/>
  <c r="J338" i="50"/>
  <c r="E338" i="50"/>
  <c r="D338" i="50"/>
  <c r="C338" i="50"/>
  <c r="P337" i="50"/>
  <c r="O337" i="50"/>
  <c r="N337" i="50"/>
  <c r="M337" i="50"/>
  <c r="L337" i="50"/>
  <c r="I188" i="50"/>
  <c r="F188" i="50" s="1"/>
  <c r="I189" i="50"/>
  <c r="F189" i="50" s="1"/>
  <c r="I190" i="50"/>
  <c r="F190" i="50" s="1"/>
  <c r="I191" i="50"/>
  <c r="C192" i="50"/>
  <c r="E192" i="50"/>
  <c r="I193" i="50"/>
  <c r="F193" i="50" s="1"/>
  <c r="I194" i="50"/>
  <c r="F194" i="50" s="1"/>
  <c r="H188" i="50"/>
  <c r="H189" i="50"/>
  <c r="H190" i="50"/>
  <c r="H191" i="50"/>
  <c r="D192" i="50"/>
  <c r="H193" i="50"/>
  <c r="H194" i="50"/>
  <c r="G195" i="50"/>
  <c r="E295" i="50"/>
  <c r="E337" i="50"/>
  <c r="D295" i="50"/>
  <c r="D337" i="50" s="1"/>
  <c r="C295" i="50"/>
  <c r="K336" i="50"/>
  <c r="I171" i="50"/>
  <c r="F171" i="50"/>
  <c r="I172" i="50"/>
  <c r="F172" i="50" s="1"/>
  <c r="I173" i="50"/>
  <c r="I174" i="50"/>
  <c r="F174" i="50" s="1"/>
  <c r="I175" i="50"/>
  <c r="F175" i="50" s="1"/>
  <c r="I176" i="50"/>
  <c r="F176" i="50" s="1"/>
  <c r="I177" i="50"/>
  <c r="F177" i="50"/>
  <c r="I178" i="50"/>
  <c r="F178" i="50" s="1"/>
  <c r="I179" i="50"/>
  <c r="F179" i="50" s="1"/>
  <c r="I180" i="50"/>
  <c r="F180" i="50" s="1"/>
  <c r="I181" i="50"/>
  <c r="F181" i="50"/>
  <c r="C182" i="50"/>
  <c r="E182" i="50"/>
  <c r="I183" i="50"/>
  <c r="F183" i="50" s="1"/>
  <c r="I184" i="50"/>
  <c r="H171" i="50"/>
  <c r="H172" i="50"/>
  <c r="H173" i="50"/>
  <c r="H174" i="50"/>
  <c r="H175" i="50"/>
  <c r="H176" i="50"/>
  <c r="H177" i="50"/>
  <c r="H178" i="50"/>
  <c r="H179" i="50"/>
  <c r="H180" i="50"/>
  <c r="H181" i="50"/>
  <c r="D182" i="50"/>
  <c r="H183" i="50"/>
  <c r="H184" i="50"/>
  <c r="G185" i="50"/>
  <c r="F184" i="50"/>
  <c r="E273" i="50"/>
  <c r="E336" i="50" s="1"/>
  <c r="D273" i="50"/>
  <c r="C273" i="50"/>
  <c r="C336" i="50"/>
  <c r="E333" i="50"/>
  <c r="E326" i="50"/>
  <c r="D333" i="50"/>
  <c r="D326" i="50"/>
  <c r="C333" i="50"/>
  <c r="C326" i="50"/>
  <c r="E212" i="50"/>
  <c r="E242" i="50" s="1"/>
  <c r="E225" i="50"/>
  <c r="E231" i="50"/>
  <c r="E241" i="50"/>
  <c r="D212" i="50"/>
  <c r="D225" i="50"/>
  <c r="D242" i="50"/>
  <c r="D231" i="50"/>
  <c r="D241" i="50"/>
  <c r="C212" i="50"/>
  <c r="C225" i="50"/>
  <c r="C231" i="50"/>
  <c r="C241" i="50"/>
  <c r="C198" i="50"/>
  <c r="E198" i="50"/>
  <c r="D198" i="50"/>
  <c r="E120" i="50"/>
  <c r="D120" i="50"/>
  <c r="C120" i="50"/>
  <c r="E54" i="50"/>
  <c r="E89" i="50"/>
  <c r="D54" i="50"/>
  <c r="D91" i="50" s="1"/>
  <c r="D89" i="50"/>
  <c r="C54" i="50"/>
  <c r="C89" i="50"/>
  <c r="J290" i="49"/>
  <c r="F290" i="49" s="1"/>
  <c r="J291" i="49"/>
  <c r="F291" i="49" s="1"/>
  <c r="J292" i="49"/>
  <c r="F292" i="49" s="1"/>
  <c r="J293" i="49"/>
  <c r="F293" i="49" s="1"/>
  <c r="J294" i="49"/>
  <c r="J298" i="49"/>
  <c r="J300" i="49"/>
  <c r="J301" i="49"/>
  <c r="F301" i="49" s="1"/>
  <c r="J329" i="49"/>
  <c r="J323" i="49"/>
  <c r="J112" i="49"/>
  <c r="J126" i="49"/>
  <c r="J164" i="49"/>
  <c r="K307" i="49"/>
  <c r="F307" i="49" s="1"/>
  <c r="K308" i="49"/>
  <c r="K126" i="49"/>
  <c r="K164" i="49"/>
  <c r="K339" i="49" s="1"/>
  <c r="I247" i="49"/>
  <c r="I248" i="49"/>
  <c r="I249" i="49"/>
  <c r="I250" i="49"/>
  <c r="F250" i="49" s="1"/>
  <c r="I251" i="49"/>
  <c r="F251" i="49" s="1"/>
  <c r="I252" i="49"/>
  <c r="F252" i="49" s="1"/>
  <c r="I253" i="49"/>
  <c r="I254" i="49"/>
  <c r="F254" i="49" s="1"/>
  <c r="I255" i="49"/>
  <c r="F255" i="49" s="1"/>
  <c r="I256" i="49"/>
  <c r="F256" i="49" s="1"/>
  <c r="I257" i="49"/>
  <c r="I258" i="49"/>
  <c r="F258" i="49" s="1"/>
  <c r="I259" i="49"/>
  <c r="F259" i="49" s="1"/>
  <c r="I260" i="49"/>
  <c r="F260" i="49" s="1"/>
  <c r="I261" i="49"/>
  <c r="I262" i="49"/>
  <c r="I263" i="49"/>
  <c r="I264" i="49"/>
  <c r="I265" i="49"/>
  <c r="I266" i="49"/>
  <c r="F266" i="49" s="1"/>
  <c r="I267" i="49"/>
  <c r="F267" i="49" s="1"/>
  <c r="I268" i="49"/>
  <c r="F268" i="49" s="1"/>
  <c r="I269" i="49"/>
  <c r="I270" i="49"/>
  <c r="F270" i="49" s="1"/>
  <c r="I271" i="49"/>
  <c r="I272" i="49"/>
  <c r="F272" i="49" s="1"/>
  <c r="I282" i="49"/>
  <c r="F282" i="49" s="1"/>
  <c r="I283" i="49"/>
  <c r="F283" i="49" s="1"/>
  <c r="I284" i="49"/>
  <c r="I285" i="49"/>
  <c r="F285" i="49" s="1"/>
  <c r="I286" i="49"/>
  <c r="I287" i="49"/>
  <c r="I288" i="49"/>
  <c r="F288" i="49" s="1"/>
  <c r="I289" i="49"/>
  <c r="F289" i="49" s="1"/>
  <c r="I297" i="49"/>
  <c r="I299" i="49"/>
  <c r="F299" i="49" s="1"/>
  <c r="I302" i="49"/>
  <c r="I303" i="49"/>
  <c r="F303" i="49" s="1"/>
  <c r="I304" i="49"/>
  <c r="I305" i="49"/>
  <c r="I306" i="49"/>
  <c r="I327" i="49"/>
  <c r="I328" i="49"/>
  <c r="C311" i="49"/>
  <c r="E311" i="49"/>
  <c r="I311" i="49"/>
  <c r="I312" i="49"/>
  <c r="I313" i="49"/>
  <c r="F313" i="49" s="1"/>
  <c r="I204" i="49"/>
  <c r="I205" i="49"/>
  <c r="I206" i="49"/>
  <c r="F206" i="49" s="1"/>
  <c r="I207" i="49"/>
  <c r="F207" i="49" s="1"/>
  <c r="I208" i="49"/>
  <c r="I209" i="49"/>
  <c r="I210" i="49"/>
  <c r="F210" i="49" s="1"/>
  <c r="I220" i="49"/>
  <c r="F220" i="49" s="1"/>
  <c r="I221" i="49"/>
  <c r="F221" i="49" s="1"/>
  <c r="I222" i="49"/>
  <c r="F222" i="49" s="1"/>
  <c r="I229" i="49"/>
  <c r="I233" i="49"/>
  <c r="F233" i="49" s="1"/>
  <c r="I234" i="49"/>
  <c r="I235" i="49"/>
  <c r="I236" i="49"/>
  <c r="I237" i="49"/>
  <c r="F237" i="49" s="1"/>
  <c r="I238" i="49"/>
  <c r="I96" i="49"/>
  <c r="I97" i="49"/>
  <c r="I98" i="49"/>
  <c r="I99" i="49"/>
  <c r="F99" i="49" s="1"/>
  <c r="I100" i="49"/>
  <c r="F100" i="49" s="1"/>
  <c r="I101" i="49"/>
  <c r="I102" i="49"/>
  <c r="F102" i="49" s="1"/>
  <c r="I103" i="49"/>
  <c r="F103" i="49" s="1"/>
  <c r="I104" i="49"/>
  <c r="I105" i="49"/>
  <c r="I106" i="49"/>
  <c r="I107" i="49"/>
  <c r="F107" i="49" s="1"/>
  <c r="I108" i="49"/>
  <c r="I109" i="49"/>
  <c r="F109" i="49" s="1"/>
  <c r="I110" i="49"/>
  <c r="I111" i="49"/>
  <c r="I113" i="49"/>
  <c r="F113" i="49" s="1"/>
  <c r="I114" i="49"/>
  <c r="I115" i="49"/>
  <c r="F115" i="49" s="1"/>
  <c r="I116" i="49"/>
  <c r="F116" i="49" s="1"/>
  <c r="I117" i="49"/>
  <c r="F117" i="49" s="1"/>
  <c r="I118" i="49"/>
  <c r="I119" i="49"/>
  <c r="I124" i="49"/>
  <c r="F124" i="49"/>
  <c r="I149" i="49"/>
  <c r="I164" i="49" s="1"/>
  <c r="I150" i="49"/>
  <c r="I151" i="49"/>
  <c r="F151" i="49" s="1"/>
  <c r="I152" i="49"/>
  <c r="F152" i="49" s="1"/>
  <c r="I153" i="49"/>
  <c r="F153" i="49" s="1"/>
  <c r="I154" i="49"/>
  <c r="I155" i="49"/>
  <c r="F155" i="49" s="1"/>
  <c r="I156" i="49"/>
  <c r="I157" i="49"/>
  <c r="I158" i="49"/>
  <c r="F158" i="49" s="1"/>
  <c r="I159" i="49"/>
  <c r="F159" i="49" s="1"/>
  <c r="I160" i="49"/>
  <c r="F160" i="49" s="1"/>
  <c r="I161" i="49"/>
  <c r="F161" i="49" s="1"/>
  <c r="I162" i="49"/>
  <c r="I163" i="49"/>
  <c r="F163" i="49"/>
  <c r="C137" i="49"/>
  <c r="E137" i="49"/>
  <c r="I138" i="49"/>
  <c r="I139" i="49"/>
  <c r="F139" i="49" s="1"/>
  <c r="E140" i="49"/>
  <c r="I141" i="49"/>
  <c r="F141" i="49" s="1"/>
  <c r="I142" i="49"/>
  <c r="F142" i="49" s="1"/>
  <c r="I143" i="49"/>
  <c r="F143" i="49" s="1"/>
  <c r="I145" i="49"/>
  <c r="I12" i="49"/>
  <c r="F12" i="49" s="1"/>
  <c r="I13" i="49"/>
  <c r="F13" i="49" s="1"/>
  <c r="I14" i="49"/>
  <c r="F14" i="49" s="1"/>
  <c r="I15" i="49"/>
  <c r="F15" i="49" s="1"/>
  <c r="I16" i="49"/>
  <c r="F16" i="49" s="1"/>
  <c r="I17" i="49"/>
  <c r="I18" i="49"/>
  <c r="I19" i="49"/>
  <c r="F19" i="49" s="1"/>
  <c r="I20" i="49"/>
  <c r="F20" i="49" s="1"/>
  <c r="I21" i="49"/>
  <c r="F21" i="49" s="1"/>
  <c r="I22" i="49"/>
  <c r="I23" i="49"/>
  <c r="F23" i="49" s="1"/>
  <c r="I24" i="49"/>
  <c r="F24" i="49" s="1"/>
  <c r="I25" i="49"/>
  <c r="I26" i="49"/>
  <c r="F26" i="49" s="1"/>
  <c r="I27" i="49"/>
  <c r="I28" i="49"/>
  <c r="I29" i="49"/>
  <c r="I30" i="49"/>
  <c r="I31" i="49"/>
  <c r="F31" i="49" s="1"/>
  <c r="I32" i="49"/>
  <c r="F32" i="49" s="1"/>
  <c r="I33" i="49"/>
  <c r="I34" i="49"/>
  <c r="F34" i="49" s="1"/>
  <c r="I35" i="49"/>
  <c r="I36" i="49"/>
  <c r="F36" i="49" s="1"/>
  <c r="I37" i="49"/>
  <c r="F37" i="49" s="1"/>
  <c r="I38" i="49"/>
  <c r="F38" i="49" s="1"/>
  <c r="I39" i="49"/>
  <c r="F39" i="49" s="1"/>
  <c r="I40" i="49"/>
  <c r="F40" i="49" s="1"/>
  <c r="I41" i="49"/>
  <c r="I42" i="49"/>
  <c r="I43" i="49"/>
  <c r="F43" i="49" s="1"/>
  <c r="I44" i="49"/>
  <c r="F44" i="49" s="1"/>
  <c r="I45" i="49"/>
  <c r="I46" i="49"/>
  <c r="I55" i="49"/>
  <c r="I56" i="49"/>
  <c r="F56" i="49" s="1"/>
  <c r="I57" i="49"/>
  <c r="F57" i="49" s="1"/>
  <c r="I58" i="49"/>
  <c r="F58" i="49" s="1"/>
  <c r="I59" i="49"/>
  <c r="F59" i="49" s="1"/>
  <c r="I60" i="49"/>
  <c r="I61" i="49"/>
  <c r="F61" i="49" s="1"/>
  <c r="I62" i="49"/>
  <c r="F62" i="49" s="1"/>
  <c r="I68" i="49"/>
  <c r="C69" i="49"/>
  <c r="I69" i="49" s="1"/>
  <c r="F69" i="49" s="1"/>
  <c r="E69" i="49"/>
  <c r="I70" i="49"/>
  <c r="I71" i="49"/>
  <c r="F71" i="49"/>
  <c r="I72" i="49"/>
  <c r="F72" i="49" s="1"/>
  <c r="I73" i="49"/>
  <c r="F73" i="49" s="1"/>
  <c r="I74" i="49"/>
  <c r="I75" i="49"/>
  <c r="F75" i="49" s="1"/>
  <c r="I76" i="49"/>
  <c r="I77" i="49"/>
  <c r="F77" i="49" s="1"/>
  <c r="I78" i="49"/>
  <c r="F78" i="49" s="1"/>
  <c r="I79" i="49"/>
  <c r="F79" i="49" s="1"/>
  <c r="I80" i="49"/>
  <c r="I81" i="49"/>
  <c r="F81" i="49" s="1"/>
  <c r="I82" i="49"/>
  <c r="F82" i="49" s="1"/>
  <c r="L330" i="49"/>
  <c r="H247" i="49"/>
  <c r="H248" i="49"/>
  <c r="H249" i="49"/>
  <c r="H250" i="49"/>
  <c r="H251" i="49"/>
  <c r="H252" i="49"/>
  <c r="H253" i="49"/>
  <c r="H254" i="49"/>
  <c r="H255" i="49"/>
  <c r="H256" i="49"/>
  <c r="H257" i="49"/>
  <c r="H258" i="49"/>
  <c r="H259" i="49"/>
  <c r="H260" i="49"/>
  <c r="H261" i="49"/>
  <c r="H262" i="49"/>
  <c r="H263" i="49"/>
  <c r="H264" i="49"/>
  <c r="H265" i="49"/>
  <c r="H266" i="49"/>
  <c r="H267" i="49"/>
  <c r="H268" i="49"/>
  <c r="H269" i="49"/>
  <c r="H270" i="49"/>
  <c r="H271" i="49"/>
  <c r="H272" i="49"/>
  <c r="H282" i="49"/>
  <c r="H283" i="49"/>
  <c r="H284" i="49"/>
  <c r="H285" i="49"/>
  <c r="H286" i="49"/>
  <c r="H287" i="49"/>
  <c r="H288" i="49"/>
  <c r="H289" i="49"/>
  <c r="H290" i="49"/>
  <c r="H291" i="49"/>
  <c r="H292" i="49"/>
  <c r="H293" i="49"/>
  <c r="H294" i="49"/>
  <c r="H297" i="49"/>
  <c r="H298" i="49"/>
  <c r="H299" i="49"/>
  <c r="H300" i="49"/>
  <c r="H301" i="49"/>
  <c r="H302" i="49"/>
  <c r="H303" i="49"/>
  <c r="H304" i="49"/>
  <c r="H305" i="49"/>
  <c r="H306" i="49"/>
  <c r="H307" i="49"/>
  <c r="H327" i="49"/>
  <c r="H328" i="49"/>
  <c r="H329" i="49"/>
  <c r="D311" i="49"/>
  <c r="H312" i="49"/>
  <c r="H313" i="49"/>
  <c r="H204" i="49"/>
  <c r="H205" i="49"/>
  <c r="H206" i="49"/>
  <c r="H207" i="49"/>
  <c r="H208" i="49"/>
  <c r="H209" i="49"/>
  <c r="H210" i="49"/>
  <c r="H220" i="49"/>
  <c r="H221" i="49"/>
  <c r="H222" i="49"/>
  <c r="H229" i="49"/>
  <c r="H233" i="49"/>
  <c r="H234" i="49"/>
  <c r="H235" i="49"/>
  <c r="H236" i="49"/>
  <c r="H237" i="49"/>
  <c r="H238" i="49"/>
  <c r="H96" i="49"/>
  <c r="H97" i="49"/>
  <c r="H98" i="49"/>
  <c r="H99" i="49"/>
  <c r="H100" i="49"/>
  <c r="H101" i="49"/>
  <c r="H102" i="49"/>
  <c r="H103" i="49"/>
  <c r="H104" i="49"/>
  <c r="H105" i="49"/>
  <c r="H106" i="49"/>
  <c r="H107" i="49"/>
  <c r="H108" i="49"/>
  <c r="H109" i="49"/>
  <c r="H110" i="49"/>
  <c r="H111" i="49"/>
  <c r="H112" i="49"/>
  <c r="H113" i="49"/>
  <c r="H114" i="49"/>
  <c r="H115" i="49"/>
  <c r="H116" i="49"/>
  <c r="H117" i="49"/>
  <c r="H118" i="49"/>
  <c r="H119" i="49"/>
  <c r="H124" i="49"/>
  <c r="H149" i="49"/>
  <c r="H150" i="49"/>
  <c r="H151" i="49"/>
  <c r="H152" i="49"/>
  <c r="H153" i="49"/>
  <c r="H154" i="49"/>
  <c r="H155" i="49"/>
  <c r="H156" i="49"/>
  <c r="H157" i="49"/>
  <c r="H158" i="49"/>
  <c r="H159" i="49"/>
  <c r="H160" i="49"/>
  <c r="H161" i="49"/>
  <c r="H162" i="49"/>
  <c r="H163" i="49"/>
  <c r="D137" i="49"/>
  <c r="D140" i="49" s="1"/>
  <c r="H138" i="49"/>
  <c r="H139" i="49"/>
  <c r="H141" i="49"/>
  <c r="H142" i="49"/>
  <c r="H143" i="49"/>
  <c r="H145" i="49"/>
  <c r="H12" i="49"/>
  <c r="H13" i="49"/>
  <c r="H14" i="49"/>
  <c r="H15" i="49"/>
  <c r="H16" i="49"/>
  <c r="H17" i="49"/>
  <c r="H18" i="49"/>
  <c r="H19" i="49"/>
  <c r="H20" i="49"/>
  <c r="H21" i="49"/>
  <c r="H22" i="49"/>
  <c r="H23" i="49"/>
  <c r="H24" i="49"/>
  <c r="H25" i="49"/>
  <c r="H26" i="49"/>
  <c r="H27" i="49"/>
  <c r="H28" i="49"/>
  <c r="H29" i="49"/>
  <c r="H30" i="49"/>
  <c r="H31" i="49"/>
  <c r="H32" i="49"/>
  <c r="H33" i="49"/>
  <c r="H34" i="49"/>
  <c r="H35" i="49"/>
  <c r="H36" i="49"/>
  <c r="H37" i="49"/>
  <c r="H38" i="49"/>
  <c r="H39" i="49"/>
  <c r="H40" i="49"/>
  <c r="H41" i="49"/>
  <c r="H42" i="49"/>
  <c r="H43" i="49"/>
  <c r="H44" i="49"/>
  <c r="H46" i="49"/>
  <c r="H55" i="49"/>
  <c r="H56" i="49"/>
  <c r="H57" i="49"/>
  <c r="H58" i="49"/>
  <c r="H59" i="49"/>
  <c r="H60" i="49"/>
  <c r="H62" i="49"/>
  <c r="H68" i="49"/>
  <c r="D69" i="49"/>
  <c r="H70" i="49"/>
  <c r="H71" i="49"/>
  <c r="H72" i="49"/>
  <c r="H73" i="49"/>
  <c r="H74" i="49"/>
  <c r="H75" i="49"/>
  <c r="H76" i="49"/>
  <c r="H77" i="49"/>
  <c r="H78" i="49"/>
  <c r="H79" i="49"/>
  <c r="H80" i="49"/>
  <c r="H81" i="49"/>
  <c r="H82" i="49"/>
  <c r="G273" i="49"/>
  <c r="G295" i="49"/>
  <c r="G308" i="49"/>
  <c r="G329" i="49"/>
  <c r="G323" i="49"/>
  <c r="G211" i="49"/>
  <c r="G223" i="49"/>
  <c r="G229" i="49"/>
  <c r="G338" i="49" s="1"/>
  <c r="G239" i="49"/>
  <c r="G339" i="49"/>
  <c r="G126" i="49"/>
  <c r="G164" i="49"/>
  <c r="G146" i="49"/>
  <c r="G48" i="49"/>
  <c r="G63" i="49"/>
  <c r="G83" i="49"/>
  <c r="F247" i="49"/>
  <c r="F248" i="49"/>
  <c r="F249" i="49"/>
  <c r="F253" i="49"/>
  <c r="F257" i="49"/>
  <c r="F261" i="49"/>
  <c r="F262" i="49"/>
  <c r="F263" i="49"/>
  <c r="F264" i="49"/>
  <c r="F265" i="49"/>
  <c r="F269" i="49"/>
  <c r="F271" i="49"/>
  <c r="F284" i="49"/>
  <c r="F287" i="49"/>
  <c r="F294" i="49"/>
  <c r="F297" i="49"/>
  <c r="F298" i="49"/>
  <c r="F300" i="49"/>
  <c r="F304" i="49"/>
  <c r="F305" i="49"/>
  <c r="F306" i="49"/>
  <c r="F327" i="49"/>
  <c r="F312" i="49"/>
  <c r="F317" i="49"/>
  <c r="F318" i="49"/>
  <c r="F321" i="49"/>
  <c r="F322" i="49"/>
  <c r="F204" i="49"/>
  <c r="F208" i="49"/>
  <c r="F209" i="49"/>
  <c r="F229" i="49"/>
  <c r="F234" i="49"/>
  <c r="F235" i="49"/>
  <c r="F236" i="49"/>
  <c r="F238" i="49"/>
  <c r="F96" i="49"/>
  <c r="F97" i="49"/>
  <c r="F98" i="49"/>
  <c r="F101" i="49"/>
  <c r="F104" i="49"/>
  <c r="F105" i="49"/>
  <c r="F106" i="49"/>
  <c r="F108" i="49"/>
  <c r="F110" i="49"/>
  <c r="F111" i="49"/>
  <c r="F112" i="49"/>
  <c r="F114" i="49"/>
  <c r="F118" i="49"/>
  <c r="F119" i="49"/>
  <c r="F149" i="49"/>
  <c r="F150" i="49"/>
  <c r="F154" i="49"/>
  <c r="F156" i="49"/>
  <c r="F157" i="49"/>
  <c r="F162" i="49"/>
  <c r="F138" i="49"/>
  <c r="F145" i="49"/>
  <c r="F17" i="49"/>
  <c r="F18" i="49"/>
  <c r="F22" i="49"/>
  <c r="F25" i="49"/>
  <c r="F27" i="49"/>
  <c r="F28" i="49"/>
  <c r="F29" i="49"/>
  <c r="F30" i="49"/>
  <c r="F33" i="49"/>
  <c r="F35" i="49"/>
  <c r="F41" i="49"/>
  <c r="F42" i="49"/>
  <c r="F45" i="49"/>
  <c r="F46" i="49"/>
  <c r="F60" i="49"/>
  <c r="F70" i="49"/>
  <c r="F74" i="49"/>
  <c r="F76" i="49"/>
  <c r="F80" i="49"/>
  <c r="E164" i="49"/>
  <c r="E339" i="49" s="1"/>
  <c r="E165" i="49"/>
  <c r="E341" i="49" s="1"/>
  <c r="D164" i="49"/>
  <c r="D339" i="49" s="1"/>
  <c r="C164" i="49"/>
  <c r="C339" i="49" s="1"/>
  <c r="C165" i="49"/>
  <c r="C341" i="49"/>
  <c r="P339" i="49"/>
  <c r="O339" i="49"/>
  <c r="N339" i="49"/>
  <c r="M339" i="49"/>
  <c r="L339" i="49"/>
  <c r="P338" i="49"/>
  <c r="O338" i="49"/>
  <c r="N338" i="49"/>
  <c r="M338" i="49"/>
  <c r="L338" i="49"/>
  <c r="K338" i="49"/>
  <c r="J338" i="49"/>
  <c r="E338" i="49"/>
  <c r="D338" i="49"/>
  <c r="C338" i="49"/>
  <c r="P337" i="49"/>
  <c r="O337" i="49"/>
  <c r="N337" i="49"/>
  <c r="M337" i="49"/>
  <c r="L337" i="49"/>
  <c r="I188" i="49"/>
  <c r="F188" i="49"/>
  <c r="I189" i="49"/>
  <c r="F189" i="49" s="1"/>
  <c r="I190" i="49"/>
  <c r="F190" i="49" s="1"/>
  <c r="I191" i="49"/>
  <c r="F191" i="49" s="1"/>
  <c r="C192" i="49"/>
  <c r="E192" i="49"/>
  <c r="I193" i="49"/>
  <c r="F193" i="49" s="1"/>
  <c r="I194" i="49"/>
  <c r="F194" i="49"/>
  <c r="H188" i="49"/>
  <c r="H189" i="49"/>
  <c r="H190" i="49"/>
  <c r="H191" i="49"/>
  <c r="D192" i="49"/>
  <c r="H193" i="49"/>
  <c r="H194" i="49"/>
  <c r="G195" i="49"/>
  <c r="E295" i="49"/>
  <c r="D295" i="49"/>
  <c r="D337" i="49"/>
  <c r="C295" i="49"/>
  <c r="C337" i="49"/>
  <c r="J336" i="49"/>
  <c r="I171" i="49"/>
  <c r="F171" i="49" s="1"/>
  <c r="I172" i="49"/>
  <c r="F172" i="49" s="1"/>
  <c r="I173" i="49"/>
  <c r="F173" i="49" s="1"/>
  <c r="I174" i="49"/>
  <c r="F174" i="49" s="1"/>
  <c r="I175" i="49"/>
  <c r="I176" i="49"/>
  <c r="F176" i="49"/>
  <c r="I177" i="49"/>
  <c r="F177" i="49" s="1"/>
  <c r="I178" i="49"/>
  <c r="F178" i="49"/>
  <c r="I179" i="49"/>
  <c r="F179" i="49" s="1"/>
  <c r="I180" i="49"/>
  <c r="F180" i="49" s="1"/>
  <c r="I181" i="49"/>
  <c r="C182" i="49"/>
  <c r="E182" i="49"/>
  <c r="I183" i="49"/>
  <c r="F183" i="49" s="1"/>
  <c r="I184" i="49"/>
  <c r="F184" i="49"/>
  <c r="H171" i="49"/>
  <c r="H172" i="49"/>
  <c r="H173" i="49"/>
  <c r="H174" i="49"/>
  <c r="H175" i="49"/>
  <c r="H176" i="49"/>
  <c r="H177" i="49"/>
  <c r="H178" i="49"/>
  <c r="H179" i="49"/>
  <c r="H180" i="49"/>
  <c r="H181" i="49"/>
  <c r="D182" i="49"/>
  <c r="D199" i="49" s="1"/>
  <c r="H183" i="49"/>
  <c r="H184" i="49"/>
  <c r="G185" i="49"/>
  <c r="F175" i="49"/>
  <c r="F181" i="49"/>
  <c r="E273" i="49"/>
  <c r="E336" i="49" s="1"/>
  <c r="D273" i="49"/>
  <c r="D336" i="49"/>
  <c r="C273" i="49"/>
  <c r="C336" i="49" s="1"/>
  <c r="E333" i="49"/>
  <c r="E326" i="49"/>
  <c r="D333" i="49"/>
  <c r="D326" i="49"/>
  <c r="D334" i="49" s="1"/>
  <c r="C333" i="49"/>
  <c r="C326" i="49"/>
  <c r="E212" i="49"/>
  <c r="E225" i="49"/>
  <c r="E231" i="49"/>
  <c r="E241" i="49"/>
  <c r="D212" i="49"/>
  <c r="D225" i="49"/>
  <c r="D231" i="49"/>
  <c r="D241" i="49"/>
  <c r="C212" i="49"/>
  <c r="C225" i="49"/>
  <c r="C231" i="49"/>
  <c r="C241" i="49"/>
  <c r="C198" i="49"/>
  <c r="E198" i="49"/>
  <c r="D198" i="49"/>
  <c r="E120" i="49"/>
  <c r="D120" i="49"/>
  <c r="C120" i="49"/>
  <c r="E54" i="49"/>
  <c r="E89" i="49"/>
  <c r="E91" i="49" s="1"/>
  <c r="D54" i="49"/>
  <c r="D89" i="49"/>
  <c r="C54" i="49"/>
  <c r="C91" i="49" s="1"/>
  <c r="C89" i="49"/>
  <c r="J290" i="48"/>
  <c r="J291" i="48"/>
  <c r="F291" i="48" s="1"/>
  <c r="J292" i="48"/>
  <c r="J293" i="48"/>
  <c r="J294" i="48"/>
  <c r="J298" i="48"/>
  <c r="F298" i="48" s="1"/>
  <c r="J300" i="48"/>
  <c r="F300" i="48" s="1"/>
  <c r="J308" i="48"/>
  <c r="J301" i="48"/>
  <c r="J329" i="48"/>
  <c r="J323" i="48"/>
  <c r="J112" i="48"/>
  <c r="J126" i="48"/>
  <c r="J164" i="48"/>
  <c r="K307" i="48"/>
  <c r="K308" i="48" s="1"/>
  <c r="K126" i="48"/>
  <c r="K164" i="48"/>
  <c r="K339" i="48" s="1"/>
  <c r="K165" i="48"/>
  <c r="I247" i="48"/>
  <c r="I248" i="48"/>
  <c r="F248" i="48" s="1"/>
  <c r="I249" i="48"/>
  <c r="I250" i="48"/>
  <c r="I251" i="48"/>
  <c r="I252" i="48"/>
  <c r="F252" i="48" s="1"/>
  <c r="I253" i="48"/>
  <c r="F253" i="48" s="1"/>
  <c r="I254" i="48"/>
  <c r="F254" i="48" s="1"/>
  <c r="I255" i="48"/>
  <c r="F255" i="48" s="1"/>
  <c r="I256" i="48"/>
  <c r="I257" i="48"/>
  <c r="I258" i="48"/>
  <c r="I259" i="48"/>
  <c r="I260" i="48"/>
  <c r="I261" i="48"/>
  <c r="F261" i="48" s="1"/>
  <c r="I262" i="48"/>
  <c r="F262" i="48" s="1"/>
  <c r="I263" i="48"/>
  <c r="F263" i="48" s="1"/>
  <c r="I264" i="48"/>
  <c r="F264" i="48" s="1"/>
  <c r="I265" i="48"/>
  <c r="F265" i="48" s="1"/>
  <c r="I266" i="48"/>
  <c r="I267" i="48"/>
  <c r="F267" i="48" s="1"/>
  <c r="I268" i="48"/>
  <c r="I269" i="48"/>
  <c r="F269" i="48" s="1"/>
  <c r="I270" i="48"/>
  <c r="F270" i="48" s="1"/>
  <c r="I271" i="48"/>
  <c r="F271" i="48" s="1"/>
  <c r="I272" i="48"/>
  <c r="I282" i="48"/>
  <c r="I283" i="48"/>
  <c r="I284" i="48"/>
  <c r="I285" i="48"/>
  <c r="F285" i="48" s="1"/>
  <c r="I286" i="48"/>
  <c r="F286" i="48" s="1"/>
  <c r="I287" i="48"/>
  <c r="F287" i="48" s="1"/>
  <c r="I288" i="48"/>
  <c r="F288" i="48" s="1"/>
  <c r="I289" i="48"/>
  <c r="I297" i="48"/>
  <c r="F297" i="48" s="1"/>
  <c r="I299" i="48"/>
  <c r="F299" i="48" s="1"/>
  <c r="I302" i="48"/>
  <c r="F302" i="48" s="1"/>
  <c r="I303" i="48"/>
  <c r="I304" i="48"/>
  <c r="F304" i="48" s="1"/>
  <c r="I305" i="48"/>
  <c r="F305" i="48" s="1"/>
  <c r="I306" i="48"/>
  <c r="I327" i="48"/>
  <c r="I328" i="48"/>
  <c r="C311" i="48"/>
  <c r="E311" i="48"/>
  <c r="I312" i="48"/>
  <c r="F312" i="48" s="1"/>
  <c r="I313" i="48"/>
  <c r="F313" i="48" s="1"/>
  <c r="I204" i="48"/>
  <c r="F204" i="48" s="1"/>
  <c r="I205" i="48"/>
  <c r="I206" i="48"/>
  <c r="I207" i="48"/>
  <c r="I208" i="48"/>
  <c r="F208" i="48" s="1"/>
  <c r="I209" i="48"/>
  <c r="F209" i="48" s="1"/>
  <c r="I210" i="48"/>
  <c r="I220" i="48"/>
  <c r="I223" i="48" s="1"/>
  <c r="I221" i="48"/>
  <c r="F221" i="48" s="1"/>
  <c r="I222" i="48"/>
  <c r="F222" i="48" s="1"/>
  <c r="I229" i="48"/>
  <c r="I233" i="48"/>
  <c r="I234" i="48"/>
  <c r="F234" i="48" s="1"/>
  <c r="I235" i="48"/>
  <c r="I236" i="48"/>
  <c r="F236" i="48" s="1"/>
  <c r="I237" i="48"/>
  <c r="F237" i="48" s="1"/>
  <c r="I238" i="48"/>
  <c r="F238" i="48" s="1"/>
  <c r="I96" i="48"/>
  <c r="F96" i="48" s="1"/>
  <c r="I97" i="48"/>
  <c r="I98" i="48"/>
  <c r="I99" i="48"/>
  <c r="I100" i="48"/>
  <c r="F100" i="48" s="1"/>
  <c r="I101" i="48"/>
  <c r="F101" i="48" s="1"/>
  <c r="I102" i="48"/>
  <c r="F102" i="48" s="1"/>
  <c r="I103" i="48"/>
  <c r="F103" i="48" s="1"/>
  <c r="I104" i="48"/>
  <c r="I105" i="48"/>
  <c r="I106" i="48"/>
  <c r="I107" i="48"/>
  <c r="I108" i="48"/>
  <c r="F108" i="48" s="1"/>
  <c r="I109" i="48"/>
  <c r="F109" i="48" s="1"/>
  <c r="I110" i="48"/>
  <c r="F110" i="48" s="1"/>
  <c r="I111" i="48"/>
  <c r="F111" i="48" s="1"/>
  <c r="I113" i="48"/>
  <c r="I114" i="48"/>
  <c r="I115" i="48"/>
  <c r="F115" i="48" s="1"/>
  <c r="I116" i="48"/>
  <c r="F116" i="48" s="1"/>
  <c r="I117" i="48"/>
  <c r="I118" i="48"/>
  <c r="F118" i="48" s="1"/>
  <c r="I119" i="48"/>
  <c r="F119" i="48" s="1"/>
  <c r="I124" i="48"/>
  <c r="I149" i="48"/>
  <c r="F149" i="48" s="1"/>
  <c r="I150" i="48"/>
  <c r="F150" i="48" s="1"/>
  <c r="I151" i="48"/>
  <c r="F151" i="48" s="1"/>
  <c r="I152" i="48"/>
  <c r="F152" i="48" s="1"/>
  <c r="I153" i="48"/>
  <c r="F153" i="48" s="1"/>
  <c r="I154" i="48"/>
  <c r="F154" i="48" s="1"/>
  <c r="I155" i="48"/>
  <c r="F155" i="48" s="1"/>
  <c r="I156" i="48"/>
  <c r="F156" i="48" s="1"/>
  <c r="I157" i="48"/>
  <c r="I158" i="48"/>
  <c r="I159" i="48"/>
  <c r="I160" i="48"/>
  <c r="I161" i="48"/>
  <c r="F161" i="48" s="1"/>
  <c r="I162" i="48"/>
  <c r="F162" i="48" s="1"/>
  <c r="I163" i="48"/>
  <c r="F163" i="48" s="1"/>
  <c r="C137" i="48"/>
  <c r="C140" i="48" s="1"/>
  <c r="E137" i="48"/>
  <c r="I137" i="48"/>
  <c r="F137" i="48" s="1"/>
  <c r="I138" i="48"/>
  <c r="I139" i="48"/>
  <c r="F139" i="48" s="1"/>
  <c r="I141" i="48"/>
  <c r="I142" i="48"/>
  <c r="I143" i="48"/>
  <c r="I145" i="48"/>
  <c r="F145" i="48" s="1"/>
  <c r="I12" i="48"/>
  <c r="F12" i="48" s="1"/>
  <c r="I13" i="48"/>
  <c r="F13" i="48" s="1"/>
  <c r="I14" i="48"/>
  <c r="I15" i="48"/>
  <c r="F15" i="48" s="1"/>
  <c r="I16" i="48"/>
  <c r="I17" i="48"/>
  <c r="I18" i="48"/>
  <c r="F18" i="48" s="1"/>
  <c r="I19" i="48"/>
  <c r="I20" i="48"/>
  <c r="I21" i="48"/>
  <c r="I22" i="48"/>
  <c r="F22" i="48" s="1"/>
  <c r="I23" i="48"/>
  <c r="F23" i="48" s="1"/>
  <c r="I24" i="48"/>
  <c r="F24" i="48" s="1"/>
  <c r="I25" i="48"/>
  <c r="I26" i="48"/>
  <c r="F26" i="48" s="1"/>
  <c r="I27" i="48"/>
  <c r="I28" i="48"/>
  <c r="F28" i="48" s="1"/>
  <c r="I29" i="48"/>
  <c r="F29" i="48" s="1"/>
  <c r="I30" i="48"/>
  <c r="F30" i="48" s="1"/>
  <c r="I31" i="48"/>
  <c r="F31" i="48" s="1"/>
  <c r="I32" i="48"/>
  <c r="I33" i="48"/>
  <c r="I34" i="48"/>
  <c r="I35" i="48"/>
  <c r="I36" i="48"/>
  <c r="F36" i="48" s="1"/>
  <c r="I37" i="48"/>
  <c r="I38" i="48"/>
  <c r="F38" i="48" s="1"/>
  <c r="I39" i="48"/>
  <c r="F39" i="48" s="1"/>
  <c r="I40" i="48"/>
  <c r="I41" i="48"/>
  <c r="F41" i="48" s="1"/>
  <c r="I42" i="48"/>
  <c r="F42" i="48" s="1"/>
  <c r="I43" i="48"/>
  <c r="I44" i="48"/>
  <c r="I45" i="48"/>
  <c r="I46" i="48"/>
  <c r="F46" i="48" s="1"/>
  <c r="I55" i="48"/>
  <c r="F55" i="48" s="1"/>
  <c r="I56" i="48"/>
  <c r="F56" i="48" s="1"/>
  <c r="I57" i="48"/>
  <c r="I58" i="48"/>
  <c r="F58" i="48" s="1"/>
  <c r="I59" i="48"/>
  <c r="I60" i="48"/>
  <c r="F60" i="48" s="1"/>
  <c r="I61" i="48"/>
  <c r="F61" i="48" s="1"/>
  <c r="I62" i="48"/>
  <c r="I68" i="48"/>
  <c r="C69" i="48"/>
  <c r="E69" i="48"/>
  <c r="I69" i="48" s="1"/>
  <c r="F69" i="48" s="1"/>
  <c r="I70" i="48"/>
  <c r="I71" i="48"/>
  <c r="F71" i="48" s="1"/>
  <c r="I72" i="48"/>
  <c r="I73" i="48"/>
  <c r="F73" i="48" s="1"/>
  <c r="I74" i="48"/>
  <c r="I75" i="48"/>
  <c r="F75" i="48" s="1"/>
  <c r="I76" i="48"/>
  <c r="F76" i="48"/>
  <c r="I77" i="48"/>
  <c r="I78" i="48"/>
  <c r="I79" i="48"/>
  <c r="I80" i="48"/>
  <c r="F80" i="48" s="1"/>
  <c r="I81" i="48"/>
  <c r="F81" i="48" s="1"/>
  <c r="I82" i="48"/>
  <c r="F82" i="48" s="1"/>
  <c r="L330" i="48"/>
  <c r="L240" i="48"/>
  <c r="H247" i="48"/>
  <c r="H248" i="48"/>
  <c r="H249" i="48"/>
  <c r="H250" i="48"/>
  <c r="H251" i="48"/>
  <c r="H252" i="48"/>
  <c r="H253" i="48"/>
  <c r="H254" i="48"/>
  <c r="H255" i="48"/>
  <c r="H256" i="48"/>
  <c r="H257" i="48"/>
  <c r="H258" i="48"/>
  <c r="H259" i="48"/>
  <c r="H260" i="48"/>
  <c r="H261" i="48"/>
  <c r="H262" i="48"/>
  <c r="H263" i="48"/>
  <c r="H264" i="48"/>
  <c r="H265" i="48"/>
  <c r="H266" i="48"/>
  <c r="H267" i="48"/>
  <c r="H268" i="48"/>
  <c r="H269" i="48"/>
  <c r="H270" i="48"/>
  <c r="H271" i="48"/>
  <c r="H272" i="48"/>
  <c r="H282" i="48"/>
  <c r="H283" i="48"/>
  <c r="H284" i="48"/>
  <c r="H285" i="48"/>
  <c r="H286" i="48"/>
  <c r="H287" i="48"/>
  <c r="H288" i="48"/>
  <c r="H289" i="48"/>
  <c r="H290" i="48"/>
  <c r="H291" i="48"/>
  <c r="H292" i="48"/>
  <c r="H293" i="48"/>
  <c r="H294" i="48"/>
  <c r="H297" i="48"/>
  <c r="H298" i="48"/>
  <c r="H299" i="48"/>
  <c r="H300" i="48"/>
  <c r="H301" i="48"/>
  <c r="H302" i="48"/>
  <c r="H303" i="48"/>
  <c r="H304" i="48"/>
  <c r="H305" i="48"/>
  <c r="H306" i="48"/>
  <c r="H307" i="48"/>
  <c r="H327" i="48"/>
  <c r="H329" i="48" s="1"/>
  <c r="H328" i="48"/>
  <c r="D311" i="48"/>
  <c r="H312" i="48"/>
  <c r="H313" i="48"/>
  <c r="H204" i="48"/>
  <c r="H205" i="48"/>
  <c r="H206" i="48"/>
  <c r="H207" i="48"/>
  <c r="H208" i="48"/>
  <c r="H209" i="48"/>
  <c r="H210" i="48"/>
  <c r="H220" i="48"/>
  <c r="H223" i="48" s="1"/>
  <c r="H221" i="48"/>
  <c r="H222" i="48"/>
  <c r="H229" i="48"/>
  <c r="H233" i="48"/>
  <c r="H234" i="48"/>
  <c r="H235" i="48"/>
  <c r="H236" i="48"/>
  <c r="H237" i="48"/>
  <c r="H238" i="48"/>
  <c r="H96" i="48"/>
  <c r="H97" i="48"/>
  <c r="H98" i="48"/>
  <c r="H99" i="48"/>
  <c r="H100" i="48"/>
  <c r="H101" i="48"/>
  <c r="H102" i="48"/>
  <c r="H103" i="48"/>
  <c r="H104" i="48"/>
  <c r="H105" i="48"/>
  <c r="H106" i="48"/>
  <c r="H107" i="48"/>
  <c r="H108" i="48"/>
  <c r="H109" i="48"/>
  <c r="H110" i="48"/>
  <c r="H111" i="48"/>
  <c r="H112" i="48"/>
  <c r="H113" i="48"/>
  <c r="H114" i="48"/>
  <c r="H115" i="48"/>
  <c r="H116" i="48"/>
  <c r="H117" i="48"/>
  <c r="H118" i="48"/>
  <c r="H119" i="48"/>
  <c r="H124" i="48"/>
  <c r="H149" i="48"/>
  <c r="H150" i="48"/>
  <c r="H151" i="48"/>
  <c r="H152" i="48"/>
  <c r="H153" i="48"/>
  <c r="H154" i="48"/>
  <c r="H155" i="48"/>
  <c r="H156" i="48"/>
  <c r="H157" i="48"/>
  <c r="H158" i="48"/>
  <c r="H159" i="48"/>
  <c r="H160" i="48"/>
  <c r="H161" i="48"/>
  <c r="H162" i="48"/>
  <c r="H163" i="48"/>
  <c r="D137" i="48"/>
  <c r="H138" i="48"/>
  <c r="H139" i="48"/>
  <c r="D140" i="48"/>
  <c r="H141" i="48"/>
  <c r="H142" i="48"/>
  <c r="H143" i="48"/>
  <c r="H145" i="48"/>
  <c r="H12" i="48"/>
  <c r="H13" i="48"/>
  <c r="H14" i="48"/>
  <c r="H15" i="48"/>
  <c r="H16" i="48"/>
  <c r="H17" i="48"/>
  <c r="H18" i="48"/>
  <c r="H19" i="48"/>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6" i="48"/>
  <c r="H55" i="48"/>
  <c r="H56" i="48"/>
  <c r="H63" i="48" s="1"/>
  <c r="H57" i="48"/>
  <c r="H58" i="48"/>
  <c r="H59" i="48"/>
  <c r="H60" i="48"/>
  <c r="H62" i="48"/>
  <c r="H68" i="48"/>
  <c r="D69" i="48"/>
  <c r="H69" i="48"/>
  <c r="H83" i="48" s="1"/>
  <c r="H70" i="48"/>
  <c r="H71" i="48"/>
  <c r="H72" i="48"/>
  <c r="H73" i="48"/>
  <c r="H74" i="48"/>
  <c r="H75" i="48"/>
  <c r="H76" i="48"/>
  <c r="H77" i="48"/>
  <c r="H78" i="48"/>
  <c r="H79" i="48"/>
  <c r="H80" i="48"/>
  <c r="H81" i="48"/>
  <c r="H82" i="48"/>
  <c r="G273" i="48"/>
  <c r="G295" i="48"/>
  <c r="G308" i="48"/>
  <c r="G330" i="48" s="1"/>
  <c r="G329" i="48"/>
  <c r="G323" i="48"/>
  <c r="G211" i="48"/>
  <c r="G223" i="48"/>
  <c r="G229" i="48"/>
  <c r="G338" i="48" s="1"/>
  <c r="G239" i="48"/>
  <c r="G339" i="48" s="1"/>
  <c r="G126" i="48"/>
  <c r="G164" i="48"/>
  <c r="G146" i="48"/>
  <c r="G48" i="48"/>
  <c r="G63" i="48"/>
  <c r="G83" i="48"/>
  <c r="F249" i="48"/>
  <c r="F250" i="48"/>
  <c r="F251" i="48"/>
  <c r="F256" i="48"/>
  <c r="F257" i="48"/>
  <c r="F258" i="48"/>
  <c r="F259" i="48"/>
  <c r="F260" i="48"/>
  <c r="F266" i="48"/>
  <c r="F268" i="48"/>
  <c r="F272" i="48"/>
  <c r="F282" i="48"/>
  <c r="F283" i="48"/>
  <c r="F284" i="48"/>
  <c r="F289" i="48"/>
  <c r="F292" i="48"/>
  <c r="F293" i="48"/>
  <c r="F294" i="48"/>
  <c r="F301" i="48"/>
  <c r="F303" i="48"/>
  <c r="F306" i="48"/>
  <c r="F307" i="48"/>
  <c r="F328" i="48"/>
  <c r="F317" i="48"/>
  <c r="F318" i="48"/>
  <c r="F321" i="48"/>
  <c r="F322" i="48"/>
  <c r="F205" i="48"/>
  <c r="F206" i="48"/>
  <c r="F207" i="48"/>
  <c r="F210" i="48"/>
  <c r="F229" i="48"/>
  <c r="F235" i="48"/>
  <c r="F97" i="48"/>
  <c r="F98" i="48"/>
  <c r="F99" i="48"/>
  <c r="F104" i="48"/>
  <c r="F105" i="48"/>
  <c r="F106" i="48"/>
  <c r="F107" i="48"/>
  <c r="F112" i="48"/>
  <c r="F113" i="48"/>
  <c r="F114" i="48"/>
  <c r="F117" i="48"/>
  <c r="F124" i="48"/>
  <c r="F157" i="48"/>
  <c r="F158" i="48"/>
  <c r="F159" i="48"/>
  <c r="F160" i="48"/>
  <c r="F138" i="48"/>
  <c r="F141" i="48"/>
  <c r="F142" i="48"/>
  <c r="F143" i="48"/>
  <c r="F16" i="48"/>
  <c r="F17" i="48"/>
  <c r="F19" i="48"/>
  <c r="F20" i="48"/>
  <c r="F21" i="48"/>
  <c r="F25" i="48"/>
  <c r="F27" i="48"/>
  <c r="F32" i="48"/>
  <c r="F33" i="48"/>
  <c r="F34" i="48"/>
  <c r="F35" i="48"/>
  <c r="F37" i="48"/>
  <c r="F40" i="48"/>
  <c r="F43" i="48"/>
  <c r="F44" i="48"/>
  <c r="F45" i="48"/>
  <c r="F57" i="48"/>
  <c r="F59" i="48"/>
  <c r="F62" i="48"/>
  <c r="F68" i="48"/>
  <c r="F70" i="48"/>
  <c r="F74" i="48"/>
  <c r="F77" i="48"/>
  <c r="F78" i="48"/>
  <c r="F79" i="48"/>
  <c r="E164" i="48"/>
  <c r="E339" i="48" s="1"/>
  <c r="E165" i="48"/>
  <c r="E341" i="48" s="1"/>
  <c r="D164" i="48"/>
  <c r="D165" i="48" s="1"/>
  <c r="D341" i="48" s="1"/>
  <c r="C164" i="48"/>
  <c r="P339" i="48"/>
  <c r="O339" i="48"/>
  <c r="N339" i="48"/>
  <c r="M339" i="48"/>
  <c r="L339" i="48"/>
  <c r="J339" i="48"/>
  <c r="P338" i="48"/>
  <c r="O338" i="48"/>
  <c r="N338" i="48"/>
  <c r="M338" i="48"/>
  <c r="L338" i="48"/>
  <c r="K338" i="48"/>
  <c r="J338" i="48"/>
  <c r="E338" i="48"/>
  <c r="D338" i="48"/>
  <c r="C338" i="48"/>
  <c r="P337" i="48"/>
  <c r="O337" i="48"/>
  <c r="N337" i="48"/>
  <c r="M337" i="48"/>
  <c r="L337" i="48"/>
  <c r="I188" i="48"/>
  <c r="I189" i="48"/>
  <c r="F189" i="48" s="1"/>
  <c r="I190" i="48"/>
  <c r="I191" i="48"/>
  <c r="F191" i="48" s="1"/>
  <c r="C192" i="48"/>
  <c r="E192" i="48"/>
  <c r="I193" i="48"/>
  <c r="F193" i="48" s="1"/>
  <c r="I194" i="48"/>
  <c r="F194" i="48" s="1"/>
  <c r="H188" i="48"/>
  <c r="H189" i="48"/>
  <c r="H190" i="48"/>
  <c r="H191" i="48"/>
  <c r="D192" i="48"/>
  <c r="H193" i="48"/>
  <c r="H194" i="48"/>
  <c r="G195" i="48"/>
  <c r="F188" i="48"/>
  <c r="F190" i="48"/>
  <c r="E295" i="48"/>
  <c r="D295" i="48"/>
  <c r="D337" i="48"/>
  <c r="C295" i="48"/>
  <c r="K336" i="48"/>
  <c r="I171" i="48"/>
  <c r="F171" i="48" s="1"/>
  <c r="I172" i="48"/>
  <c r="F172" i="48" s="1"/>
  <c r="F185" i="48" s="1"/>
  <c r="I173" i="48"/>
  <c r="F173" i="48" s="1"/>
  <c r="I174" i="48"/>
  <c r="F174" i="48" s="1"/>
  <c r="I175" i="48"/>
  <c r="F175" i="48" s="1"/>
  <c r="I176" i="48"/>
  <c r="I177" i="48"/>
  <c r="F177" i="48" s="1"/>
  <c r="I178" i="48"/>
  <c r="I179" i="48"/>
  <c r="F179" i="48"/>
  <c r="I180" i="48"/>
  <c r="I181" i="48"/>
  <c r="F181" i="48" s="1"/>
  <c r="C182" i="48"/>
  <c r="H182" i="48" s="1"/>
  <c r="E182" i="48"/>
  <c r="I183" i="48"/>
  <c r="I184" i="48"/>
  <c r="F184" i="48" s="1"/>
  <c r="H171" i="48"/>
  <c r="H172" i="48"/>
  <c r="H173" i="48"/>
  <c r="H174" i="48"/>
  <c r="H175" i="48"/>
  <c r="H176" i="48"/>
  <c r="H177" i="48"/>
  <c r="H178" i="48"/>
  <c r="H179" i="48"/>
  <c r="H180" i="48"/>
  <c r="H181" i="48"/>
  <c r="D182" i="48"/>
  <c r="H183" i="48"/>
  <c r="H184" i="48"/>
  <c r="G185" i="48"/>
  <c r="F176" i="48"/>
  <c r="F178" i="48"/>
  <c r="F180" i="48"/>
  <c r="F183" i="48"/>
  <c r="E273" i="48"/>
  <c r="E336" i="48"/>
  <c r="D273" i="48"/>
  <c r="D336" i="48" s="1"/>
  <c r="C273" i="48"/>
  <c r="C336" i="48" s="1"/>
  <c r="E333" i="48"/>
  <c r="E326" i="48"/>
  <c r="D333" i="48"/>
  <c r="D326" i="48"/>
  <c r="C333" i="48"/>
  <c r="C326" i="48"/>
  <c r="E212" i="48"/>
  <c r="E225" i="48"/>
  <c r="E242" i="48" s="1"/>
  <c r="E231" i="48"/>
  <c r="E241" i="48"/>
  <c r="D212" i="48"/>
  <c r="D225" i="48"/>
  <c r="D231" i="48"/>
  <c r="D241" i="48"/>
  <c r="C212" i="48"/>
  <c r="C242" i="48" s="1"/>
  <c r="C225" i="48"/>
  <c r="C231" i="48"/>
  <c r="C241" i="48"/>
  <c r="C198" i="48"/>
  <c r="E198" i="48"/>
  <c r="D198" i="48"/>
  <c r="E120" i="48"/>
  <c r="D120" i="48"/>
  <c r="C120" i="48"/>
  <c r="E54" i="48"/>
  <c r="E89" i="48"/>
  <c r="D54" i="48"/>
  <c r="D91" i="48" s="1"/>
  <c r="D89" i="48"/>
  <c r="C54" i="48"/>
  <c r="C89" i="48"/>
  <c r="E212" i="42"/>
  <c r="E242" i="42" s="1"/>
  <c r="E225" i="42"/>
  <c r="E231" i="42"/>
  <c r="E241" i="42"/>
  <c r="D212" i="42"/>
  <c r="D225" i="42"/>
  <c r="D231" i="42"/>
  <c r="D241" i="42"/>
  <c r="C212" i="42"/>
  <c r="C225" i="42"/>
  <c r="C231" i="42"/>
  <c r="C241" i="42"/>
  <c r="E182" i="42"/>
  <c r="E192" i="42"/>
  <c r="E198" i="42"/>
  <c r="D182" i="42"/>
  <c r="D192" i="42"/>
  <c r="D198" i="42"/>
  <c r="C182" i="42"/>
  <c r="C192" i="42"/>
  <c r="C198" i="42"/>
  <c r="E273" i="42"/>
  <c r="E295" i="42"/>
  <c r="E337" i="42" s="1"/>
  <c r="E311" i="42"/>
  <c r="I311" i="42" s="1"/>
  <c r="F311" i="42" s="1"/>
  <c r="F323" i="42" s="1"/>
  <c r="F338" i="42" s="1"/>
  <c r="E333" i="42"/>
  <c r="E326" i="42"/>
  <c r="D273" i="42"/>
  <c r="D295" i="42"/>
  <c r="D311" i="42"/>
  <c r="D333" i="42"/>
  <c r="D326" i="42"/>
  <c r="C273" i="42"/>
  <c r="C295" i="42"/>
  <c r="C311" i="42"/>
  <c r="C333" i="42"/>
  <c r="C326" i="42"/>
  <c r="E54" i="42"/>
  <c r="E69" i="42"/>
  <c r="E89" i="42"/>
  <c r="D54" i="42"/>
  <c r="D69" i="42"/>
  <c r="D89" i="42"/>
  <c r="C54" i="42"/>
  <c r="C91" i="42" s="1"/>
  <c r="C69" i="42"/>
  <c r="C89" i="42"/>
  <c r="E137" i="42"/>
  <c r="E140" i="42"/>
  <c r="D137" i="42"/>
  <c r="D140" i="42" s="1"/>
  <c r="C137" i="42"/>
  <c r="C140" i="42" s="1"/>
  <c r="E120" i="42"/>
  <c r="D120" i="42"/>
  <c r="C120" i="42"/>
  <c r="I16" i="38"/>
  <c r="I20" i="38"/>
  <c r="I22" i="38"/>
  <c r="J25" i="38"/>
  <c r="D33" i="19"/>
  <c r="N17" i="7"/>
  <c r="G34" i="20"/>
  <c r="G33" i="20" s="1"/>
  <c r="F33" i="20"/>
  <c r="E33" i="20"/>
  <c r="I221" i="42"/>
  <c r="I222" i="42"/>
  <c r="F222" i="42" s="1"/>
  <c r="I220" i="42"/>
  <c r="I184" i="42"/>
  <c r="F184" i="42" s="1"/>
  <c r="I138" i="42"/>
  <c r="F138" i="42" s="1"/>
  <c r="I139" i="42"/>
  <c r="I141" i="42"/>
  <c r="I142" i="42"/>
  <c r="F142" i="42" s="1"/>
  <c r="I143" i="42"/>
  <c r="F143" i="42" s="1"/>
  <c r="I111" i="42"/>
  <c r="F111" i="42" s="1"/>
  <c r="I56" i="42"/>
  <c r="I57" i="42"/>
  <c r="F57" i="42" s="1"/>
  <c r="I58" i="42"/>
  <c r="F58" i="42" s="1"/>
  <c r="I59" i="42"/>
  <c r="I60" i="42"/>
  <c r="F60" i="42" s="1"/>
  <c r="I55" i="42"/>
  <c r="I38" i="42"/>
  <c r="I24" i="42"/>
  <c r="I283" i="42"/>
  <c r="F283" i="42" s="1"/>
  <c r="I284" i="42"/>
  <c r="I285" i="42"/>
  <c r="I286" i="42"/>
  <c r="F286" i="42" s="1"/>
  <c r="I287" i="42"/>
  <c r="F287" i="42" s="1"/>
  <c r="I288" i="42"/>
  <c r="F288" i="42" s="1"/>
  <c r="I289" i="42"/>
  <c r="I282" i="42"/>
  <c r="J291" i="42"/>
  <c r="J292" i="42"/>
  <c r="F292" i="42" s="1"/>
  <c r="J293" i="42"/>
  <c r="J294" i="42"/>
  <c r="J290" i="42"/>
  <c r="I183" i="42"/>
  <c r="I145" i="42"/>
  <c r="F145" i="42" s="1"/>
  <c r="I124" i="42"/>
  <c r="F124" i="42" s="1"/>
  <c r="I46" i="42"/>
  <c r="F46" i="42" s="1"/>
  <c r="I62" i="42"/>
  <c r="F62" i="42" s="1"/>
  <c r="I68" i="42"/>
  <c r="I70" i="42"/>
  <c r="I72" i="42"/>
  <c r="F72" i="42" s="1"/>
  <c r="I73" i="42"/>
  <c r="F73" i="42" s="1"/>
  <c r="I74" i="42"/>
  <c r="I71" i="42"/>
  <c r="I75" i="42"/>
  <c r="I76" i="42"/>
  <c r="I77" i="42"/>
  <c r="F77" i="42" s="1"/>
  <c r="I78" i="42"/>
  <c r="F78" i="42" s="1"/>
  <c r="I79" i="42"/>
  <c r="F79" i="42" s="1"/>
  <c r="I80" i="42"/>
  <c r="F80" i="42" s="1"/>
  <c r="I81" i="42"/>
  <c r="I82" i="42"/>
  <c r="I61" i="42"/>
  <c r="F61" i="42" s="1"/>
  <c r="I149" i="42"/>
  <c r="F149" i="42" s="1"/>
  <c r="I150" i="42"/>
  <c r="F150" i="42" s="1"/>
  <c r="I151" i="42"/>
  <c r="I152" i="42"/>
  <c r="I153" i="42"/>
  <c r="I154" i="42"/>
  <c r="I155" i="42"/>
  <c r="I156" i="42"/>
  <c r="I157" i="42"/>
  <c r="F157" i="42" s="1"/>
  <c r="I158" i="42"/>
  <c r="F158" i="42" s="1"/>
  <c r="I159" i="42"/>
  <c r="I160" i="42"/>
  <c r="F160" i="42" s="1"/>
  <c r="I161" i="42"/>
  <c r="F161" i="42" s="1"/>
  <c r="I162" i="42"/>
  <c r="I163" i="42"/>
  <c r="I96" i="42"/>
  <c r="I97" i="42"/>
  <c r="F97" i="42" s="1"/>
  <c r="I98" i="42"/>
  <c r="I99" i="42"/>
  <c r="F99" i="42" s="1"/>
  <c r="I100" i="42"/>
  <c r="I101" i="42"/>
  <c r="I102" i="42"/>
  <c r="I103" i="42"/>
  <c r="I104" i="42"/>
  <c r="F104" i="42" s="1"/>
  <c r="I105" i="42"/>
  <c r="F105" i="42" s="1"/>
  <c r="I106" i="42"/>
  <c r="I107" i="42"/>
  <c r="F107" i="42" s="1"/>
  <c r="I108" i="42"/>
  <c r="I109" i="42"/>
  <c r="I110" i="42"/>
  <c r="F110" i="42" s="1"/>
  <c r="I113" i="42"/>
  <c r="F113" i="42" s="1"/>
  <c r="I114" i="42"/>
  <c r="F114" i="42" s="1"/>
  <c r="I115" i="42"/>
  <c r="F115" i="42" s="1"/>
  <c r="I116" i="42"/>
  <c r="I117" i="42"/>
  <c r="F117" i="42" s="1"/>
  <c r="I118" i="42"/>
  <c r="F118" i="42" s="1"/>
  <c r="I119" i="42"/>
  <c r="F119" i="42" s="1"/>
  <c r="I233" i="42"/>
  <c r="I234" i="42"/>
  <c r="I235" i="42"/>
  <c r="F235" i="42" s="1"/>
  <c r="I236" i="42"/>
  <c r="I237" i="42"/>
  <c r="F237" i="42" s="1"/>
  <c r="I238" i="42"/>
  <c r="I204" i="42"/>
  <c r="I205" i="42"/>
  <c r="I206" i="42"/>
  <c r="I207" i="42"/>
  <c r="F207" i="42" s="1"/>
  <c r="I208" i="42"/>
  <c r="F208" i="42" s="1"/>
  <c r="I209" i="42"/>
  <c r="F209" i="42" s="1"/>
  <c r="I210" i="42"/>
  <c r="I229" i="42"/>
  <c r="I328" i="42"/>
  <c r="I327" i="42"/>
  <c r="I247" i="42"/>
  <c r="I248" i="42"/>
  <c r="F248" i="42" s="1"/>
  <c r="I249" i="42"/>
  <c r="F249" i="42" s="1"/>
  <c r="I250" i="42"/>
  <c r="F250" i="42" s="1"/>
  <c r="I251" i="42"/>
  <c r="F251" i="42" s="1"/>
  <c r="I252" i="42"/>
  <c r="F252" i="42"/>
  <c r="I253" i="42"/>
  <c r="F253" i="42" s="1"/>
  <c r="I254" i="42"/>
  <c r="I255" i="42"/>
  <c r="I256" i="42"/>
  <c r="F256" i="42" s="1"/>
  <c r="I257" i="42"/>
  <c r="F257" i="42" s="1"/>
  <c r="I258" i="42"/>
  <c r="F258" i="42" s="1"/>
  <c r="I259" i="42"/>
  <c r="F259" i="42" s="1"/>
  <c r="I260" i="42"/>
  <c r="F260" i="42" s="1"/>
  <c r="I261" i="42"/>
  <c r="I262" i="42"/>
  <c r="F262" i="42" s="1"/>
  <c r="I263" i="42"/>
  <c r="F263" i="42" s="1"/>
  <c r="I264" i="42"/>
  <c r="F264" i="42" s="1"/>
  <c r="I265" i="42"/>
  <c r="I266" i="42"/>
  <c r="I267" i="42"/>
  <c r="I268" i="42"/>
  <c r="F268" i="42"/>
  <c r="I269" i="42"/>
  <c r="F269" i="42" s="1"/>
  <c r="I270" i="42"/>
  <c r="F270" i="42" s="1"/>
  <c r="I271" i="42"/>
  <c r="F271" i="42" s="1"/>
  <c r="I272" i="42"/>
  <c r="F272" i="42" s="1"/>
  <c r="I312" i="42"/>
  <c r="F312" i="42" s="1"/>
  <c r="I313" i="42"/>
  <c r="F313" i="42" s="1"/>
  <c r="I297" i="42"/>
  <c r="I299" i="42"/>
  <c r="I302" i="42"/>
  <c r="I303" i="42"/>
  <c r="I304" i="42"/>
  <c r="F304" i="42" s="1"/>
  <c r="I305" i="42"/>
  <c r="I306" i="42"/>
  <c r="F306" i="42" s="1"/>
  <c r="J298" i="42"/>
  <c r="J300" i="42"/>
  <c r="F300" i="42" s="1"/>
  <c r="J301" i="42"/>
  <c r="F301" i="42" s="1"/>
  <c r="J329" i="42"/>
  <c r="J339" i="42" s="1"/>
  <c r="J323" i="42"/>
  <c r="J338" i="42" s="1"/>
  <c r="J112" i="42"/>
  <c r="J126" i="42" s="1"/>
  <c r="J165" i="42" s="1"/>
  <c r="J164" i="42"/>
  <c r="K307" i="42"/>
  <c r="K308" i="42" s="1"/>
  <c r="K126" i="42"/>
  <c r="K164" i="42"/>
  <c r="H12" i="42"/>
  <c r="H13" i="42"/>
  <c r="H14" i="42"/>
  <c r="H15" i="42"/>
  <c r="H16" i="42"/>
  <c r="H17" i="42"/>
  <c r="H18" i="42"/>
  <c r="H19" i="42"/>
  <c r="H20" i="42"/>
  <c r="H21" i="42"/>
  <c r="H22" i="42"/>
  <c r="H23" i="42"/>
  <c r="H24" i="42"/>
  <c r="H25" i="42"/>
  <c r="H26" i="42"/>
  <c r="H27" i="42"/>
  <c r="H28" i="42"/>
  <c r="H29" i="42"/>
  <c r="H30" i="42"/>
  <c r="H31" i="42"/>
  <c r="H32" i="42"/>
  <c r="H33" i="42"/>
  <c r="H34" i="42"/>
  <c r="H35" i="42"/>
  <c r="H36" i="42"/>
  <c r="H37" i="42"/>
  <c r="H38" i="42"/>
  <c r="H39" i="42"/>
  <c r="H40" i="42"/>
  <c r="H41" i="42"/>
  <c r="H42" i="42"/>
  <c r="H43" i="42"/>
  <c r="H44" i="42"/>
  <c r="H46" i="42"/>
  <c r="H171" i="42"/>
  <c r="H172" i="42"/>
  <c r="H173" i="42"/>
  <c r="H174" i="42"/>
  <c r="H175" i="42"/>
  <c r="H176" i="42"/>
  <c r="H177" i="42"/>
  <c r="H178" i="42"/>
  <c r="H179" i="42"/>
  <c r="H180" i="42"/>
  <c r="H181" i="42"/>
  <c r="H183" i="42"/>
  <c r="H184" i="42"/>
  <c r="H204" i="42"/>
  <c r="H205" i="42"/>
  <c r="H206" i="42"/>
  <c r="H207" i="42"/>
  <c r="H208" i="42"/>
  <c r="H209" i="42"/>
  <c r="H210" i="42"/>
  <c r="H247" i="42"/>
  <c r="H248" i="42"/>
  <c r="H249" i="42"/>
  <c r="H250" i="42"/>
  <c r="H251" i="42"/>
  <c r="H252" i="42"/>
  <c r="H253" i="42"/>
  <c r="H254" i="42"/>
  <c r="H255" i="42"/>
  <c r="H256" i="42"/>
  <c r="H257" i="42"/>
  <c r="H258" i="42"/>
  <c r="H259" i="42"/>
  <c r="H260" i="42"/>
  <c r="H261" i="42"/>
  <c r="H262" i="42"/>
  <c r="H263" i="42"/>
  <c r="H264" i="42"/>
  <c r="H265" i="42"/>
  <c r="H266" i="42"/>
  <c r="H267" i="42"/>
  <c r="H268" i="42"/>
  <c r="H269" i="42"/>
  <c r="H270" i="42"/>
  <c r="H271" i="42"/>
  <c r="H272" i="42"/>
  <c r="H96" i="42"/>
  <c r="H126" i="42" s="1"/>
  <c r="H97" i="42"/>
  <c r="H98" i="42"/>
  <c r="H99" i="42"/>
  <c r="H100" i="42"/>
  <c r="H101" i="42"/>
  <c r="H102" i="42"/>
  <c r="H103" i="42"/>
  <c r="H104" i="42"/>
  <c r="H105" i="42"/>
  <c r="H106" i="42"/>
  <c r="H107" i="42"/>
  <c r="H108" i="42"/>
  <c r="H109" i="42"/>
  <c r="H110" i="42"/>
  <c r="H111" i="42"/>
  <c r="H112" i="42"/>
  <c r="H113" i="42"/>
  <c r="H114" i="42"/>
  <c r="H115" i="42"/>
  <c r="H116" i="42"/>
  <c r="H117" i="42"/>
  <c r="H118" i="42"/>
  <c r="H119" i="42"/>
  <c r="H124" i="42"/>
  <c r="H297" i="42"/>
  <c r="H298" i="42"/>
  <c r="H299" i="42"/>
  <c r="H300" i="42"/>
  <c r="H301" i="42"/>
  <c r="H302" i="42"/>
  <c r="H303" i="42"/>
  <c r="H304" i="42"/>
  <c r="H305" i="42"/>
  <c r="H306" i="42"/>
  <c r="H307" i="42"/>
  <c r="H282" i="42"/>
  <c r="H283" i="42"/>
  <c r="H284" i="42"/>
  <c r="H285" i="42"/>
  <c r="H286" i="42"/>
  <c r="H287" i="42"/>
  <c r="H288" i="42"/>
  <c r="H289" i="42"/>
  <c r="H290" i="42"/>
  <c r="H291" i="42"/>
  <c r="H292" i="42"/>
  <c r="H293" i="42"/>
  <c r="H294" i="42"/>
  <c r="H220" i="42"/>
  <c r="H221" i="42"/>
  <c r="H222" i="42"/>
  <c r="H188" i="42"/>
  <c r="H189" i="42"/>
  <c r="H190" i="42"/>
  <c r="H191" i="42"/>
  <c r="H193" i="42"/>
  <c r="H194" i="42"/>
  <c r="H55" i="42"/>
  <c r="H56" i="42"/>
  <c r="H57" i="42"/>
  <c r="H58" i="42"/>
  <c r="H59" i="42"/>
  <c r="H60" i="42"/>
  <c r="H62" i="42"/>
  <c r="H138" i="42"/>
  <c r="H139" i="42"/>
  <c r="H141" i="42"/>
  <c r="H142" i="42"/>
  <c r="H143" i="42"/>
  <c r="H145" i="42"/>
  <c r="I171" i="42"/>
  <c r="F171" i="42" s="1"/>
  <c r="I172" i="42"/>
  <c r="I173" i="42"/>
  <c r="F173" i="42" s="1"/>
  <c r="I174" i="42"/>
  <c r="F174" i="42" s="1"/>
  <c r="I175" i="42"/>
  <c r="F175" i="42" s="1"/>
  <c r="I176" i="42"/>
  <c r="F176" i="42" s="1"/>
  <c r="I177" i="42"/>
  <c r="F177" i="42" s="1"/>
  <c r="I178" i="42"/>
  <c r="F178" i="42" s="1"/>
  <c r="I179" i="42"/>
  <c r="F179" i="42" s="1"/>
  <c r="I180" i="42"/>
  <c r="F180" i="42" s="1"/>
  <c r="I181" i="42"/>
  <c r="F181" i="42" s="1"/>
  <c r="I188" i="42"/>
  <c r="F188" i="42" s="1"/>
  <c r="I189" i="42"/>
  <c r="F189" i="42" s="1"/>
  <c r="I190" i="42"/>
  <c r="I191" i="42"/>
  <c r="F191" i="42" s="1"/>
  <c r="I192" i="42"/>
  <c r="F192" i="42" s="1"/>
  <c r="I193" i="42"/>
  <c r="F193" i="42" s="1"/>
  <c r="I194" i="42"/>
  <c r="F194" i="42" s="1"/>
  <c r="I12" i="42"/>
  <c r="F12" i="42" s="1"/>
  <c r="I13" i="42"/>
  <c r="F13" i="42" s="1"/>
  <c r="I14" i="42"/>
  <c r="F14" i="42" s="1"/>
  <c r="I15" i="42"/>
  <c r="F15" i="42" s="1"/>
  <c r="I16" i="42"/>
  <c r="F16" i="42" s="1"/>
  <c r="I17" i="42"/>
  <c r="I18" i="42"/>
  <c r="F18" i="42" s="1"/>
  <c r="I19" i="42"/>
  <c r="I20" i="42"/>
  <c r="F20" i="42" s="1"/>
  <c r="I21" i="42"/>
  <c r="I22" i="42"/>
  <c r="F22" i="42" s="1"/>
  <c r="I23" i="42"/>
  <c r="I25" i="42"/>
  <c r="F25" i="42" s="1"/>
  <c r="I26" i="42"/>
  <c r="I27" i="42"/>
  <c r="F27" i="42" s="1"/>
  <c r="I28" i="42"/>
  <c r="F28" i="42" s="1"/>
  <c r="I29" i="42"/>
  <c r="F29" i="42" s="1"/>
  <c r="I30" i="42"/>
  <c r="F30" i="42" s="1"/>
  <c r="I31" i="42"/>
  <c r="F31" i="42" s="1"/>
  <c r="I32" i="42"/>
  <c r="F32" i="42" s="1"/>
  <c r="I33" i="42"/>
  <c r="F33" i="42" s="1"/>
  <c r="I34" i="42"/>
  <c r="F34" i="42" s="1"/>
  <c r="I35" i="42"/>
  <c r="I36" i="42"/>
  <c r="I37" i="42"/>
  <c r="F37" i="42" s="1"/>
  <c r="I39" i="42"/>
  <c r="F39" i="42" s="1"/>
  <c r="I40" i="42"/>
  <c r="F40" i="42" s="1"/>
  <c r="I41" i="42"/>
  <c r="F41" i="42" s="1"/>
  <c r="I42" i="42"/>
  <c r="F42" i="42"/>
  <c r="I43" i="42"/>
  <c r="I44" i="42"/>
  <c r="I45" i="42"/>
  <c r="F45" i="42" s="1"/>
  <c r="H327" i="42"/>
  <c r="H329" i="42" s="1"/>
  <c r="H328" i="42"/>
  <c r="H233" i="42"/>
  <c r="H234" i="42"/>
  <c r="H235" i="42"/>
  <c r="H236" i="42"/>
  <c r="H237" i="42"/>
  <c r="H238" i="42"/>
  <c r="H149" i="42"/>
  <c r="H150" i="42"/>
  <c r="H151" i="42"/>
  <c r="H152" i="42"/>
  <c r="H153" i="42"/>
  <c r="H154" i="42"/>
  <c r="H155" i="42"/>
  <c r="H156" i="42"/>
  <c r="H157" i="42"/>
  <c r="H158" i="42"/>
  <c r="H159" i="42"/>
  <c r="H160" i="42"/>
  <c r="H161" i="42"/>
  <c r="H162" i="42"/>
  <c r="H163" i="42"/>
  <c r="H68" i="42"/>
  <c r="H70" i="42"/>
  <c r="H71" i="42"/>
  <c r="H72" i="42"/>
  <c r="H73" i="42"/>
  <c r="H74" i="42"/>
  <c r="H75" i="42"/>
  <c r="H76" i="42"/>
  <c r="H77" i="42"/>
  <c r="H78" i="42"/>
  <c r="H79" i="42"/>
  <c r="H80" i="42"/>
  <c r="H81" i="42"/>
  <c r="H82" i="42"/>
  <c r="C9" i="18"/>
  <c r="C17" i="18"/>
  <c r="F307" i="42"/>
  <c r="F303" i="42"/>
  <c r="F305" i="42"/>
  <c r="F302" i="42"/>
  <c r="F297" i="42"/>
  <c r="C33" i="19"/>
  <c r="F327" i="42"/>
  <c r="F317" i="42"/>
  <c r="F318" i="42"/>
  <c r="F321" i="42"/>
  <c r="F322" i="42"/>
  <c r="F284" i="42"/>
  <c r="F285" i="42"/>
  <c r="F289" i="42"/>
  <c r="F290" i="42"/>
  <c r="F293" i="42"/>
  <c r="F294" i="42"/>
  <c r="F282" i="42"/>
  <c r="F254" i="42"/>
  <c r="F255" i="42"/>
  <c r="F261" i="42"/>
  <c r="F265" i="42"/>
  <c r="F266" i="42"/>
  <c r="F267" i="42"/>
  <c r="F247" i="42"/>
  <c r="F236" i="42"/>
  <c r="F238" i="42"/>
  <c r="F233" i="42"/>
  <c r="F220" i="42"/>
  <c r="F205" i="42"/>
  <c r="F211" i="42" s="1"/>
  <c r="F206" i="42"/>
  <c r="F210" i="42"/>
  <c r="F204" i="42"/>
  <c r="F190" i="42"/>
  <c r="F183" i="42"/>
  <c r="F151" i="42"/>
  <c r="F152" i="42"/>
  <c r="F153" i="42"/>
  <c r="F154" i="42"/>
  <c r="F155" i="42"/>
  <c r="F156" i="42"/>
  <c r="F159" i="42"/>
  <c r="F162" i="42"/>
  <c r="F163" i="42"/>
  <c r="F139" i="42"/>
  <c r="F141" i="42"/>
  <c r="F100" i="42"/>
  <c r="F101" i="42"/>
  <c r="F102" i="42"/>
  <c r="F103" i="42"/>
  <c r="F106" i="42"/>
  <c r="F108" i="42"/>
  <c r="F109" i="42"/>
  <c r="F112" i="42"/>
  <c r="F116" i="42"/>
  <c r="F98" i="42"/>
  <c r="F96" i="42"/>
  <c r="F70" i="42"/>
  <c r="F71" i="42"/>
  <c r="F74" i="42"/>
  <c r="F75" i="42"/>
  <c r="F76" i="42"/>
  <c r="F81" i="42"/>
  <c r="F82" i="42"/>
  <c r="F68" i="42"/>
  <c r="F56" i="42"/>
  <c r="F59" i="42"/>
  <c r="F17" i="42"/>
  <c r="F19" i="42"/>
  <c r="F21" i="42"/>
  <c r="F23" i="42"/>
  <c r="F24" i="42"/>
  <c r="F26" i="42"/>
  <c r="F35" i="42"/>
  <c r="F36" i="42"/>
  <c r="F38" i="42"/>
  <c r="F43" i="42"/>
  <c r="F44" i="42"/>
  <c r="G48" i="42"/>
  <c r="N24" i="39"/>
  <c r="I17" i="41"/>
  <c r="J20" i="41"/>
  <c r="I22" i="37" s="1"/>
  <c r="H22" i="40"/>
  <c r="G20" i="37" s="1"/>
  <c r="I16" i="40"/>
  <c r="I19" i="40"/>
  <c r="E16" i="40"/>
  <c r="I17" i="39"/>
  <c r="I21" i="39"/>
  <c r="E18" i="39"/>
  <c r="E20" i="39"/>
  <c r="E22" i="39"/>
  <c r="E23" i="39"/>
  <c r="I21" i="7"/>
  <c r="I14" i="7"/>
  <c r="I16" i="37"/>
  <c r="E14" i="7"/>
  <c r="E17" i="7"/>
  <c r="E20" i="7"/>
  <c r="D164" i="42"/>
  <c r="E164" i="42"/>
  <c r="G329" i="42"/>
  <c r="G239" i="42"/>
  <c r="G164" i="42"/>
  <c r="G83" i="42"/>
  <c r="G85" i="42" s="1"/>
  <c r="K339" i="42"/>
  <c r="L339" i="42"/>
  <c r="M339" i="42"/>
  <c r="N339" i="42"/>
  <c r="O339" i="42"/>
  <c r="P339" i="42"/>
  <c r="C164" i="42"/>
  <c r="C339" i="42"/>
  <c r="C165" i="42"/>
  <c r="C341" i="42" s="1"/>
  <c r="G63" i="42"/>
  <c r="G195" i="42"/>
  <c r="J336" i="42"/>
  <c r="G308" i="42"/>
  <c r="G146" i="42"/>
  <c r="G185" i="42"/>
  <c r="G211" i="42"/>
  <c r="G273" i="42"/>
  <c r="G126" i="42"/>
  <c r="G295" i="42"/>
  <c r="G223" i="42"/>
  <c r="D338" i="42"/>
  <c r="F229" i="42"/>
  <c r="G323" i="42"/>
  <c r="G338" i="42" s="1"/>
  <c r="G229" i="42"/>
  <c r="H312" i="42"/>
  <c r="H313" i="42"/>
  <c r="H229" i="42"/>
  <c r="C337" i="42"/>
  <c r="G52" i="20"/>
  <c r="L240" i="42"/>
  <c r="L85" i="42"/>
  <c r="K338" i="42"/>
  <c r="M337" i="42"/>
  <c r="N337" i="42"/>
  <c r="O337" i="42"/>
  <c r="P337" i="42"/>
  <c r="L337" i="42"/>
  <c r="L338" i="42"/>
  <c r="M338" i="42"/>
  <c r="N338" i="42"/>
  <c r="O338" i="42"/>
  <c r="P338" i="42"/>
  <c r="D336" i="42"/>
  <c r="E336" i="42"/>
  <c r="E338" i="42"/>
  <c r="E21" i="7"/>
  <c r="E19" i="7"/>
  <c r="D337" i="42"/>
  <c r="C338" i="42"/>
  <c r="I23" i="39"/>
  <c r="I15" i="40"/>
  <c r="M20" i="39"/>
  <c r="I20" i="39"/>
  <c r="M23" i="39"/>
  <c r="I19" i="39"/>
  <c r="I18" i="40"/>
  <c r="E16" i="41"/>
  <c r="L20" i="41"/>
  <c r="K22" i="37" s="1"/>
  <c r="I16" i="41"/>
  <c r="F299" i="42"/>
  <c r="F298" i="42"/>
  <c r="G49" i="20"/>
  <c r="G42" i="20" s="1"/>
  <c r="K330" i="49"/>
  <c r="K337" i="49"/>
  <c r="I182" i="48"/>
  <c r="F182" i="48" s="1"/>
  <c r="C199" i="49"/>
  <c r="E337" i="49"/>
  <c r="F173" i="50"/>
  <c r="H192" i="50"/>
  <c r="H195" i="50" s="1"/>
  <c r="F311" i="50"/>
  <c r="F323" i="50"/>
  <c r="I323" i="50"/>
  <c r="I338" i="50" s="1"/>
  <c r="E140" i="48"/>
  <c r="H140" i="48" s="1"/>
  <c r="F191" i="50"/>
  <c r="F137" i="50"/>
  <c r="F69" i="51"/>
  <c r="K330" i="51"/>
  <c r="K337" i="51"/>
  <c r="C199" i="51"/>
  <c r="E337" i="51"/>
  <c r="E140" i="50"/>
  <c r="H182" i="51"/>
  <c r="N22" i="40"/>
  <c r="M170" i="52" s="1"/>
  <c r="L19" i="7"/>
  <c r="P19" i="7" s="1"/>
  <c r="L20" i="40"/>
  <c r="O17" i="7"/>
  <c r="M17" i="7" s="1"/>
  <c r="O19" i="39"/>
  <c r="L212" i="52"/>
  <c r="F148" i="53"/>
  <c r="O18" i="39"/>
  <c r="H140" i="50"/>
  <c r="H146" i="50"/>
  <c r="M330" i="48"/>
  <c r="I17" i="7"/>
  <c r="I329" i="48" l="1"/>
  <c r="F327" i="48"/>
  <c r="F329" i="48" s="1"/>
  <c r="F72" i="48"/>
  <c r="I83" i="48"/>
  <c r="K330" i="42"/>
  <c r="K337" i="42"/>
  <c r="E15" i="7"/>
  <c r="F83" i="48"/>
  <c r="C334" i="50"/>
  <c r="C337" i="50"/>
  <c r="H185" i="51"/>
  <c r="M14" i="7"/>
  <c r="M21" i="39"/>
  <c r="F137" i="51"/>
  <c r="G380" i="53"/>
  <c r="F239" i="49"/>
  <c r="M19" i="39"/>
  <c r="F83" i="49"/>
  <c r="F73" i="51"/>
  <c r="I83" i="51"/>
  <c r="M330" i="42"/>
  <c r="M330" i="49"/>
  <c r="M375" i="53"/>
  <c r="M18" i="37"/>
  <c r="M291" i="52"/>
  <c r="M330" i="50"/>
  <c r="M330" i="51"/>
  <c r="H48" i="50"/>
  <c r="H85" i="50" s="1"/>
  <c r="J126" i="50"/>
  <c r="J336" i="50" s="1"/>
  <c r="F112" i="50"/>
  <c r="F126" i="50" s="1"/>
  <c r="F164" i="50"/>
  <c r="F68" i="49"/>
  <c r="I83" i="49"/>
  <c r="F295" i="50"/>
  <c r="M17" i="40"/>
  <c r="F195" i="50"/>
  <c r="G165" i="48"/>
  <c r="G336" i="48"/>
  <c r="P19" i="39"/>
  <c r="E19" i="39"/>
  <c r="L336" i="50"/>
  <c r="F308" i="42"/>
  <c r="F48" i="50"/>
  <c r="J336" i="48"/>
  <c r="J165" i="48"/>
  <c r="F211" i="50"/>
  <c r="I150" i="53"/>
  <c r="I20" i="40"/>
  <c r="E17" i="39"/>
  <c r="I63" i="42"/>
  <c r="H164" i="49"/>
  <c r="H223" i="49"/>
  <c r="C242" i="50"/>
  <c r="H192" i="51"/>
  <c r="H48" i="51"/>
  <c r="O21" i="39"/>
  <c r="E21" i="39"/>
  <c r="F74" i="53"/>
  <c r="J352" i="53"/>
  <c r="K341" i="51"/>
  <c r="C339" i="50"/>
  <c r="K22" i="40"/>
  <c r="J20" i="37" s="1"/>
  <c r="G165" i="42"/>
  <c r="E14" i="37"/>
  <c r="E24" i="37" s="1"/>
  <c r="C165" i="48"/>
  <c r="C341" i="48" s="1"/>
  <c r="C339" i="48"/>
  <c r="F329" i="50"/>
  <c r="C242" i="51"/>
  <c r="P15" i="41"/>
  <c r="M15" i="41" s="1"/>
  <c r="D375" i="53"/>
  <c r="E278" i="53"/>
  <c r="F184" i="53"/>
  <c r="F297" i="53"/>
  <c r="K24" i="38"/>
  <c r="E24" i="38"/>
  <c r="I22" i="39"/>
  <c r="E15" i="41"/>
  <c r="I21" i="38"/>
  <c r="F273" i="49"/>
  <c r="I239" i="49"/>
  <c r="J308" i="50"/>
  <c r="F298" i="51"/>
  <c r="I367" i="53"/>
  <c r="I379" i="53" s="1"/>
  <c r="J278" i="53"/>
  <c r="J24" i="7"/>
  <c r="I14" i="37" s="1"/>
  <c r="I24" i="37" s="1"/>
  <c r="F83" i="51"/>
  <c r="K341" i="49"/>
  <c r="H25" i="39"/>
  <c r="G18" i="37" s="1"/>
  <c r="I69" i="50"/>
  <c r="D294" i="52"/>
  <c r="F162" i="53"/>
  <c r="F55" i="42"/>
  <c r="F63" i="42" s="1"/>
  <c r="E91" i="48"/>
  <c r="I239" i="48"/>
  <c r="F233" i="48"/>
  <c r="L25" i="38"/>
  <c r="K16" i="37" s="1"/>
  <c r="K18" i="41"/>
  <c r="I18" i="41" s="1"/>
  <c r="I20" i="41" s="1"/>
  <c r="H22" i="37" s="1"/>
  <c r="E18" i="41"/>
  <c r="E20" i="41" s="1"/>
  <c r="D22" i="37" s="1"/>
  <c r="H243" i="53"/>
  <c r="G295" i="52"/>
  <c r="G291" i="52"/>
  <c r="E20" i="38"/>
  <c r="O20" i="38"/>
  <c r="M20" i="38" s="1"/>
  <c r="E18" i="40"/>
  <c r="E22" i="40" s="1"/>
  <c r="D20" i="37" s="1"/>
  <c r="D199" i="42"/>
  <c r="H192" i="42"/>
  <c r="H195" i="42" s="1"/>
  <c r="E334" i="49"/>
  <c r="K165" i="51"/>
  <c r="H25" i="38"/>
  <c r="G16" i="37" s="1"/>
  <c r="J22" i="40"/>
  <c r="I20" i="37" s="1"/>
  <c r="L131" i="52"/>
  <c r="L165" i="42"/>
  <c r="E339" i="42"/>
  <c r="E165" i="42"/>
  <c r="E341" i="42" s="1"/>
  <c r="I15" i="41"/>
  <c r="H223" i="42"/>
  <c r="D334" i="42"/>
  <c r="I192" i="48"/>
  <c r="H126" i="48"/>
  <c r="G165" i="49"/>
  <c r="H311" i="49"/>
  <c r="H323" i="49" s="1"/>
  <c r="H338" i="49" s="1"/>
  <c r="G240" i="51"/>
  <c r="E16" i="38"/>
  <c r="O16" i="38"/>
  <c r="F333" i="53"/>
  <c r="I162" i="53"/>
  <c r="I16" i="39"/>
  <c r="J25" i="39"/>
  <c r="I18" i="37" s="1"/>
  <c r="H211" i="42"/>
  <c r="H240" i="42" s="1"/>
  <c r="L78" i="52"/>
  <c r="L85" i="50"/>
  <c r="L85" i="49"/>
  <c r="L341" i="49" s="1"/>
  <c r="N20" i="41"/>
  <c r="M278" i="53" s="1"/>
  <c r="P20" i="40"/>
  <c r="M20" i="40" s="1"/>
  <c r="D242" i="42"/>
  <c r="H69" i="50"/>
  <c r="H83" i="50" s="1"/>
  <c r="I211" i="50"/>
  <c r="O19" i="38"/>
  <c r="M19" i="38" s="1"/>
  <c r="I19" i="38"/>
  <c r="J268" i="52"/>
  <c r="H69" i="49"/>
  <c r="H83" i="49" s="1"/>
  <c r="H20" i="41"/>
  <c r="G22" i="37" s="1"/>
  <c r="L85" i="48"/>
  <c r="D242" i="49"/>
  <c r="I329" i="49"/>
  <c r="F328" i="49"/>
  <c r="H295" i="50"/>
  <c r="K15" i="38"/>
  <c r="I15" i="38" s="1"/>
  <c r="G25" i="38"/>
  <c r="F16" i="37" s="1"/>
  <c r="E15" i="38"/>
  <c r="E20" i="37"/>
  <c r="L170" i="52"/>
  <c r="I103" i="53"/>
  <c r="J150" i="53"/>
  <c r="J185" i="53" s="1"/>
  <c r="F134" i="53"/>
  <c r="F150" i="53" s="1"/>
  <c r="F185" i="53" s="1"/>
  <c r="G25" i="39"/>
  <c r="F18" i="37" s="1"/>
  <c r="I137" i="49"/>
  <c r="F137" i="49" s="1"/>
  <c r="C140" i="49"/>
  <c r="K336" i="49"/>
  <c r="K165" i="49"/>
  <c r="H211" i="50"/>
  <c r="I211" i="42"/>
  <c r="I240" i="42" s="1"/>
  <c r="I239" i="51"/>
  <c r="L185" i="53"/>
  <c r="L382" i="53" s="1"/>
  <c r="L165" i="50"/>
  <c r="L165" i="49"/>
  <c r="L165" i="48"/>
  <c r="F246" i="52"/>
  <c r="G20" i="41"/>
  <c r="F22" i="37" s="1"/>
  <c r="H63" i="42"/>
  <c r="H140" i="42"/>
  <c r="H137" i="49"/>
  <c r="H329" i="50"/>
  <c r="G336" i="51"/>
  <c r="F233" i="51"/>
  <c r="F239" i="51" s="1"/>
  <c r="H137" i="51"/>
  <c r="C140" i="51"/>
  <c r="H311" i="51"/>
  <c r="H323" i="51" s="1"/>
  <c r="H338" i="51" s="1"/>
  <c r="I311" i="51"/>
  <c r="H24" i="7"/>
  <c r="G14" i="37" s="1"/>
  <c r="G24" i="37" s="1"/>
  <c r="O20" i="40"/>
  <c r="E20" i="40"/>
  <c r="L278" i="53"/>
  <c r="L240" i="50"/>
  <c r="L240" i="49"/>
  <c r="E22" i="37"/>
  <c r="F367" i="53"/>
  <c r="F379" i="53" s="1"/>
  <c r="H217" i="53"/>
  <c r="I74" i="53"/>
  <c r="M20" i="37"/>
  <c r="M225" i="53"/>
  <c r="C199" i="50"/>
  <c r="H182" i="50"/>
  <c r="I140" i="50"/>
  <c r="H311" i="42"/>
  <c r="H323" i="42" s="1"/>
  <c r="H338" i="42" s="1"/>
  <c r="I17" i="40"/>
  <c r="G330" i="42"/>
  <c r="H273" i="42"/>
  <c r="D334" i="48"/>
  <c r="F329" i="51"/>
  <c r="K16" i="7"/>
  <c r="I16" i="7" s="1"/>
  <c r="E16" i="7"/>
  <c r="E19" i="40"/>
  <c r="O19" i="40"/>
  <c r="L375" i="53"/>
  <c r="L291" i="52"/>
  <c r="E18" i="37"/>
  <c r="L330" i="42"/>
  <c r="G377" i="53"/>
  <c r="I184" i="53"/>
  <c r="K380" i="53"/>
  <c r="E295" i="52"/>
  <c r="E291" i="52"/>
  <c r="E298" i="52" s="1"/>
  <c r="F83" i="42"/>
  <c r="J308" i="42"/>
  <c r="I223" i="42"/>
  <c r="I311" i="48"/>
  <c r="C334" i="49"/>
  <c r="J339" i="50"/>
  <c r="G85" i="51"/>
  <c r="H273" i="51"/>
  <c r="P18" i="38"/>
  <c r="P16" i="40"/>
  <c r="C294" i="52"/>
  <c r="G278" i="53"/>
  <c r="H162" i="53"/>
  <c r="J225" i="53"/>
  <c r="G240" i="42"/>
  <c r="C91" i="48"/>
  <c r="G337" i="48"/>
  <c r="D165" i="49"/>
  <c r="D341" i="49" s="1"/>
  <c r="H273" i="49"/>
  <c r="H273" i="50"/>
  <c r="P19" i="40"/>
  <c r="M21" i="7"/>
  <c r="D131" i="52"/>
  <c r="H184" i="53"/>
  <c r="H367" i="53"/>
  <c r="H379" i="53" s="1"/>
  <c r="F349" i="53"/>
  <c r="D291" i="52"/>
  <c r="D295" i="52"/>
  <c r="H137" i="48"/>
  <c r="H146" i="48" s="1"/>
  <c r="F239" i="48"/>
  <c r="H192" i="49"/>
  <c r="H195" i="49" s="1"/>
  <c r="H63" i="49"/>
  <c r="C91" i="50"/>
  <c r="E334" i="50"/>
  <c r="I308" i="50"/>
  <c r="D242" i="51"/>
  <c r="H63" i="51"/>
  <c r="J339" i="51"/>
  <c r="G185" i="53"/>
  <c r="C295" i="52"/>
  <c r="C291" i="52"/>
  <c r="H268" i="52"/>
  <c r="D293" i="52"/>
  <c r="I308" i="42"/>
  <c r="I69" i="42"/>
  <c r="F69" i="42" s="1"/>
  <c r="E199" i="48"/>
  <c r="F329" i="49"/>
  <c r="H48" i="49"/>
  <c r="H85" i="49" s="1"/>
  <c r="I182" i="51"/>
  <c r="F182" i="51" s="1"/>
  <c r="F185" i="51" s="1"/>
  <c r="J170" i="52"/>
  <c r="D225" i="53"/>
  <c r="H224" i="53"/>
  <c r="H277" i="53"/>
  <c r="H352" i="53"/>
  <c r="F350" i="53"/>
  <c r="F6" i="11"/>
  <c r="F20" i="11" s="1"/>
  <c r="F164" i="42"/>
  <c r="H295" i="48"/>
  <c r="D91" i="49"/>
  <c r="C242" i="49"/>
  <c r="G330" i="49"/>
  <c r="J339" i="49"/>
  <c r="I192" i="50"/>
  <c r="F192" i="50" s="1"/>
  <c r="H195" i="51"/>
  <c r="H223" i="51"/>
  <c r="O18" i="7"/>
  <c r="G225" i="53"/>
  <c r="F238" i="52"/>
  <c r="I268" i="52"/>
  <c r="C17" i="17"/>
  <c r="G56" i="20"/>
  <c r="C11" i="18"/>
  <c r="F217" i="52"/>
  <c r="F235" i="52" s="1"/>
  <c r="I235" i="52"/>
  <c r="H235" i="52"/>
  <c r="H201" i="52"/>
  <c r="F168" i="52"/>
  <c r="F169" i="52" s="1"/>
  <c r="K283" i="52"/>
  <c r="K295" i="52" s="1"/>
  <c r="G294" i="52"/>
  <c r="G170" i="52"/>
  <c r="F130" i="52"/>
  <c r="H163" i="52"/>
  <c r="C131" i="52"/>
  <c r="H130" i="52"/>
  <c r="G212" i="52"/>
  <c r="E212" i="52"/>
  <c r="G293" i="52"/>
  <c r="K170" i="52"/>
  <c r="C78" i="52"/>
  <c r="K296" i="52"/>
  <c r="D170" i="52"/>
  <c r="F211" i="52"/>
  <c r="F183" i="52"/>
  <c r="E170" i="52"/>
  <c r="J131" i="52"/>
  <c r="K268" i="52"/>
  <c r="K291" i="52" s="1"/>
  <c r="K298" i="52" s="1"/>
  <c r="C296" i="52"/>
  <c r="F105" i="52"/>
  <c r="F117" i="52"/>
  <c r="J293" i="52"/>
  <c r="E131" i="52"/>
  <c r="H169" i="52"/>
  <c r="I183" i="52"/>
  <c r="D212" i="52"/>
  <c r="K293" i="52"/>
  <c r="I290" i="52"/>
  <c r="C212" i="52"/>
  <c r="J212" i="52"/>
  <c r="D78" i="52"/>
  <c r="H283" i="52"/>
  <c r="H295" i="52" s="1"/>
  <c r="G131" i="52"/>
  <c r="G296" i="52"/>
  <c r="D296" i="52"/>
  <c r="H183" i="52"/>
  <c r="F201" i="52"/>
  <c r="H117" i="52"/>
  <c r="E293" i="52"/>
  <c r="E17" i="38"/>
  <c r="O15" i="38"/>
  <c r="M16" i="38"/>
  <c r="P15" i="38"/>
  <c r="M15" i="38" s="1"/>
  <c r="N25" i="38"/>
  <c r="P17" i="41"/>
  <c r="M17" i="41" s="1"/>
  <c r="P16" i="41"/>
  <c r="P20" i="41" s="1"/>
  <c r="P278" i="53" s="1"/>
  <c r="M22" i="37"/>
  <c r="M240" i="51"/>
  <c r="M240" i="49"/>
  <c r="O16" i="41"/>
  <c r="O19" i="7"/>
  <c r="M19" i="7" s="1"/>
  <c r="I19" i="7"/>
  <c r="E18" i="7"/>
  <c r="G24" i="7"/>
  <c r="F14" i="37" s="1"/>
  <c r="F24" i="37" s="1"/>
  <c r="L24" i="7"/>
  <c r="K14" i="37" s="1"/>
  <c r="K24" i="37" s="1"/>
  <c r="N24" i="7"/>
  <c r="M85" i="50" s="1"/>
  <c r="O16" i="7"/>
  <c r="P16" i="7"/>
  <c r="H76" i="52"/>
  <c r="E78" i="52"/>
  <c r="E296" i="52"/>
  <c r="E294" i="52"/>
  <c r="H56" i="52"/>
  <c r="G78" i="52"/>
  <c r="F8" i="55"/>
  <c r="E41" i="20"/>
  <c r="D22" i="20"/>
  <c r="D7" i="20" s="1"/>
  <c r="G28" i="20"/>
  <c r="G23" i="20"/>
  <c r="F22" i="20"/>
  <c r="F7" i="20" s="1"/>
  <c r="G17" i="20"/>
  <c r="D50" i="20"/>
  <c r="D41" i="20" s="1"/>
  <c r="E22" i="20"/>
  <c r="E7" i="20" s="1"/>
  <c r="G9" i="20"/>
  <c r="E8" i="55"/>
  <c r="F273" i="42"/>
  <c r="I323" i="48"/>
  <c r="I338" i="48" s="1"/>
  <c r="F311" i="48"/>
  <c r="F323" i="48" s="1"/>
  <c r="F338" i="48" s="1"/>
  <c r="I48" i="48"/>
  <c r="F14" i="48"/>
  <c r="F126" i="49"/>
  <c r="I323" i="49"/>
  <c r="I338" i="49" s="1"/>
  <c r="F311" i="49"/>
  <c r="F323" i="49" s="1"/>
  <c r="F338" i="49" s="1"/>
  <c r="I126" i="42"/>
  <c r="C199" i="42"/>
  <c r="H182" i="42"/>
  <c r="H185" i="42" s="1"/>
  <c r="I182" i="42"/>
  <c r="F182" i="42" s="1"/>
  <c r="C242" i="42"/>
  <c r="G240" i="48"/>
  <c r="F211" i="48"/>
  <c r="J295" i="48"/>
  <c r="F290" i="48"/>
  <c r="I308" i="49"/>
  <c r="F302" i="49"/>
  <c r="F308" i="49" s="1"/>
  <c r="H48" i="42"/>
  <c r="I164" i="42"/>
  <c r="D165" i="42"/>
  <c r="D341" i="42" s="1"/>
  <c r="D339" i="42"/>
  <c r="G336" i="42"/>
  <c r="F329" i="42"/>
  <c r="I239" i="42"/>
  <c r="F234" i="42"/>
  <c r="F239" i="42" s="1"/>
  <c r="I140" i="42"/>
  <c r="F140" i="42" s="1"/>
  <c r="F126" i="48"/>
  <c r="I273" i="42"/>
  <c r="F195" i="42"/>
  <c r="F48" i="42"/>
  <c r="I195" i="42"/>
  <c r="I329" i="42"/>
  <c r="F328" i="42"/>
  <c r="D91" i="42"/>
  <c r="H69" i="42"/>
  <c r="H83" i="42" s="1"/>
  <c r="C337" i="48"/>
  <c r="C334" i="48"/>
  <c r="F274" i="53"/>
  <c r="I277" i="53"/>
  <c r="I185" i="48"/>
  <c r="G337" i="42"/>
  <c r="I48" i="42"/>
  <c r="H295" i="42"/>
  <c r="H308" i="42"/>
  <c r="I323" i="42"/>
  <c r="I338" i="42" s="1"/>
  <c r="C334" i="42"/>
  <c r="C336" i="42"/>
  <c r="E334" i="42"/>
  <c r="M23" i="38"/>
  <c r="J295" i="42"/>
  <c r="J330" i="42" s="1"/>
  <c r="J341" i="42" s="1"/>
  <c r="F291" i="42"/>
  <c r="F295" i="42" s="1"/>
  <c r="H48" i="48"/>
  <c r="F164" i="49"/>
  <c r="F307" i="50"/>
  <c r="F308" i="50" s="1"/>
  <c r="K308" i="50"/>
  <c r="I15" i="7"/>
  <c r="P15" i="7"/>
  <c r="F126" i="42"/>
  <c r="G339" i="42"/>
  <c r="H164" i="42"/>
  <c r="H239" i="42"/>
  <c r="H339" i="42" s="1"/>
  <c r="K165" i="42"/>
  <c r="K336" i="42"/>
  <c r="I295" i="42"/>
  <c r="I182" i="49"/>
  <c r="E199" i="49"/>
  <c r="H182" i="49"/>
  <c r="H185" i="49" s="1"/>
  <c r="I223" i="50"/>
  <c r="I240" i="50" s="1"/>
  <c r="F221" i="50"/>
  <c r="F223" i="50" s="1"/>
  <c r="F240" i="50" s="1"/>
  <c r="F190" i="51"/>
  <c r="J337" i="42"/>
  <c r="G341" i="42"/>
  <c r="F172" i="42"/>
  <c r="I239" i="50"/>
  <c r="F237" i="50"/>
  <c r="F239" i="50" s="1"/>
  <c r="I273" i="50"/>
  <c r="D199" i="48"/>
  <c r="D339" i="48"/>
  <c r="G85" i="48"/>
  <c r="G341" i="48" s="1"/>
  <c r="I126" i="48"/>
  <c r="H311" i="48"/>
  <c r="H323" i="48" s="1"/>
  <c r="H338" i="48" s="1"/>
  <c r="K330" i="48"/>
  <c r="K341" i="48" s="1"/>
  <c r="K337" i="48"/>
  <c r="H308" i="49"/>
  <c r="I63" i="49"/>
  <c r="F55" i="49"/>
  <c r="F63" i="49" s="1"/>
  <c r="G339" i="50"/>
  <c r="G330" i="50"/>
  <c r="I63" i="50"/>
  <c r="F55" i="50"/>
  <c r="F63" i="50" s="1"/>
  <c r="J126" i="51"/>
  <c r="F112" i="51"/>
  <c r="P18" i="7"/>
  <c r="M18" i="7" s="1"/>
  <c r="H137" i="42"/>
  <c r="H146" i="42" s="1"/>
  <c r="E334" i="48"/>
  <c r="E337" i="48"/>
  <c r="I164" i="48"/>
  <c r="I295" i="48"/>
  <c r="F223" i="49"/>
  <c r="H211" i="49"/>
  <c r="I48" i="49"/>
  <c r="H185" i="50"/>
  <c r="I48" i="50"/>
  <c r="I63" i="51"/>
  <c r="F55" i="51"/>
  <c r="F63" i="51" s="1"/>
  <c r="E380" i="53"/>
  <c r="I140" i="48"/>
  <c r="F221" i="42"/>
  <c r="F223" i="42" s="1"/>
  <c r="I137" i="42"/>
  <c r="E91" i="42"/>
  <c r="D242" i="48"/>
  <c r="C199" i="48"/>
  <c r="H192" i="48"/>
  <c r="H195" i="48" s="1"/>
  <c r="F295" i="48"/>
  <c r="H164" i="48"/>
  <c r="H165" i="48" s="1"/>
  <c r="H239" i="48"/>
  <c r="L336" i="48"/>
  <c r="L341" i="48"/>
  <c r="I63" i="48"/>
  <c r="I308" i="48"/>
  <c r="F48" i="49"/>
  <c r="H308" i="50"/>
  <c r="E225" i="53"/>
  <c r="E378" i="53"/>
  <c r="H185" i="48"/>
  <c r="F63" i="48"/>
  <c r="F48" i="48"/>
  <c r="I211" i="48"/>
  <c r="E242" i="49"/>
  <c r="I192" i="49"/>
  <c r="H211" i="48"/>
  <c r="H240" i="48" s="1"/>
  <c r="I273" i="48"/>
  <c r="J295" i="49"/>
  <c r="K212" i="52"/>
  <c r="E199" i="42"/>
  <c r="F164" i="48"/>
  <c r="F308" i="48"/>
  <c r="F247" i="48"/>
  <c r="F273" i="48" s="1"/>
  <c r="H308" i="48"/>
  <c r="H273" i="48"/>
  <c r="H330" i="48" s="1"/>
  <c r="G337" i="49"/>
  <c r="H126" i="49"/>
  <c r="F286" i="49"/>
  <c r="F295" i="49" s="1"/>
  <c r="I295" i="49"/>
  <c r="H223" i="50"/>
  <c r="H211" i="51"/>
  <c r="F62" i="52"/>
  <c r="F76" i="52" s="1"/>
  <c r="I76" i="52"/>
  <c r="I262" i="53"/>
  <c r="F254" i="53"/>
  <c r="F262" i="53" s="1"/>
  <c r="F243" i="53"/>
  <c r="G337" i="50"/>
  <c r="E242" i="51"/>
  <c r="G165" i="51"/>
  <c r="F285" i="51"/>
  <c r="I295" i="51"/>
  <c r="D105" i="53"/>
  <c r="D377" i="53"/>
  <c r="I243" i="53"/>
  <c r="G85" i="49"/>
  <c r="H239" i="49"/>
  <c r="I126" i="49"/>
  <c r="I211" i="49"/>
  <c r="D336" i="50"/>
  <c r="D334" i="50"/>
  <c r="I195" i="50"/>
  <c r="F273" i="50"/>
  <c r="F330" i="50" s="1"/>
  <c r="G339" i="51"/>
  <c r="H239" i="51"/>
  <c r="I48" i="51"/>
  <c r="I164" i="51"/>
  <c r="F302" i="51"/>
  <c r="F308" i="51" s="1"/>
  <c r="I308" i="51"/>
  <c r="D378" i="53"/>
  <c r="D278" i="53"/>
  <c r="F207" i="53"/>
  <c r="H150" i="53"/>
  <c r="F20" i="53"/>
  <c r="F63" i="53" s="1"/>
  <c r="I63" i="53"/>
  <c r="F211" i="53"/>
  <c r="F217" i="53" s="1"/>
  <c r="I217" i="53"/>
  <c r="F41" i="20"/>
  <c r="G240" i="49"/>
  <c r="J308" i="49"/>
  <c r="J337" i="49" s="1"/>
  <c r="I126" i="50"/>
  <c r="J295" i="50"/>
  <c r="D91" i="51"/>
  <c r="C165" i="51"/>
  <c r="C341" i="51" s="1"/>
  <c r="C339" i="51"/>
  <c r="H308" i="51"/>
  <c r="J377" i="53"/>
  <c r="C380" i="53"/>
  <c r="C375" i="53"/>
  <c r="C382" i="53" s="1"/>
  <c r="F223" i="53"/>
  <c r="I224" i="53"/>
  <c r="I223" i="49"/>
  <c r="H239" i="50"/>
  <c r="H339" i="50" s="1"/>
  <c r="I164" i="50"/>
  <c r="E334" i="51"/>
  <c r="H126" i="51"/>
  <c r="I126" i="51"/>
  <c r="I211" i="51"/>
  <c r="F206" i="51"/>
  <c r="F211" i="51" s="1"/>
  <c r="H63" i="53"/>
  <c r="G336" i="49"/>
  <c r="F205" i="49"/>
  <c r="F211" i="49" s="1"/>
  <c r="F240" i="49" s="1"/>
  <c r="I273" i="49"/>
  <c r="J165" i="49"/>
  <c r="H164" i="50"/>
  <c r="H311" i="50"/>
  <c r="H323" i="50" s="1"/>
  <c r="H338" i="50" s="1"/>
  <c r="C334" i="51"/>
  <c r="I192" i="51"/>
  <c r="F192" i="51" s="1"/>
  <c r="E199" i="51"/>
  <c r="F48" i="51"/>
  <c r="F96" i="51"/>
  <c r="F126" i="51" s="1"/>
  <c r="G337" i="51"/>
  <c r="H164" i="51"/>
  <c r="I223" i="51"/>
  <c r="F222" i="51"/>
  <c r="F223" i="51" s="1"/>
  <c r="I45" i="52"/>
  <c r="G378" i="53"/>
  <c r="C378" i="53"/>
  <c r="F220" i="48"/>
  <c r="F223" i="48" s="1"/>
  <c r="H295" i="49"/>
  <c r="D199" i="50"/>
  <c r="I182" i="50"/>
  <c r="E199" i="50"/>
  <c r="G85" i="50"/>
  <c r="G336" i="50"/>
  <c r="G240" i="50"/>
  <c r="H126" i="50"/>
  <c r="H165" i="50" s="1"/>
  <c r="I295" i="50"/>
  <c r="I273" i="51"/>
  <c r="F247" i="51"/>
  <c r="F273" i="51" s="1"/>
  <c r="F293" i="51"/>
  <c r="J295" i="51"/>
  <c r="K22" i="7"/>
  <c r="H211" i="52"/>
  <c r="F371" i="53"/>
  <c r="F374" i="53" s="1"/>
  <c r="I374" i="53"/>
  <c r="I130" i="52"/>
  <c r="C337" i="51"/>
  <c r="I329" i="51"/>
  <c r="P15" i="40"/>
  <c r="O18" i="38"/>
  <c r="H45" i="52"/>
  <c r="E105" i="53"/>
  <c r="F277" i="53"/>
  <c r="G105" i="53"/>
  <c r="H290" i="52"/>
  <c r="I211" i="52"/>
  <c r="H207" i="53"/>
  <c r="H225" i="53" s="1"/>
  <c r="C16" i="18"/>
  <c r="I153" i="52"/>
  <c r="F290" i="52"/>
  <c r="F163" i="52"/>
  <c r="F51" i="52"/>
  <c r="F56" i="52" s="1"/>
  <c r="I56" i="52"/>
  <c r="F151" i="51"/>
  <c r="F164" i="51" s="1"/>
  <c r="P18" i="39"/>
  <c r="M18" i="39" s="1"/>
  <c r="I352" i="53"/>
  <c r="H153" i="52"/>
  <c r="F153" i="52"/>
  <c r="P15" i="39"/>
  <c r="P25" i="39" s="1"/>
  <c r="I283" i="52"/>
  <c r="I295" i="52" s="1"/>
  <c r="F252" i="52"/>
  <c r="H105" i="52"/>
  <c r="I105" i="52"/>
  <c r="L330" i="51"/>
  <c r="F224" i="53"/>
  <c r="H103" i="53"/>
  <c r="H74" i="53"/>
  <c r="F352" i="53"/>
  <c r="F321" i="53"/>
  <c r="K162" i="53"/>
  <c r="E15" i="39"/>
  <c r="E25" i="39" s="1"/>
  <c r="D18" i="37" s="1"/>
  <c r="O15" i="39"/>
  <c r="K15" i="39"/>
  <c r="H321" i="53"/>
  <c r="I207" i="53"/>
  <c r="K278" i="53"/>
  <c r="J296" i="52"/>
  <c r="E22" i="38"/>
  <c r="G8" i="20"/>
  <c r="P16" i="39"/>
  <c r="M16" i="39" s="1"/>
  <c r="F272" i="52"/>
  <c r="F283" i="52" s="1"/>
  <c r="F295" i="52" s="1"/>
  <c r="I117" i="52"/>
  <c r="G17" i="55"/>
  <c r="F12" i="52"/>
  <c r="F45" i="52" s="1"/>
  <c r="O16" i="40"/>
  <c r="K117" i="52"/>
  <c r="K131" i="52" s="1"/>
  <c r="I163" i="52"/>
  <c r="I201" i="52"/>
  <c r="E19" i="38"/>
  <c r="F165" i="50" l="1"/>
  <c r="H337" i="42"/>
  <c r="H165" i="42"/>
  <c r="H330" i="42"/>
  <c r="I323" i="51"/>
  <c r="I338" i="51" s="1"/>
  <c r="F311" i="51"/>
  <c r="F323" i="51" s="1"/>
  <c r="F338" i="51" s="1"/>
  <c r="G341" i="49"/>
  <c r="H339" i="49"/>
  <c r="M240" i="48"/>
  <c r="I24" i="38"/>
  <c r="O24" i="38"/>
  <c r="M24" i="38" s="1"/>
  <c r="F375" i="53"/>
  <c r="I380" i="53"/>
  <c r="I240" i="48"/>
  <c r="I83" i="42"/>
  <c r="M240" i="50"/>
  <c r="K17" i="38"/>
  <c r="I17" i="38" s="1"/>
  <c r="I25" i="38" s="1"/>
  <c r="H16" i="37" s="1"/>
  <c r="H140" i="51"/>
  <c r="H146" i="51" s="1"/>
  <c r="H337" i="51" s="1"/>
  <c r="I140" i="51"/>
  <c r="L336" i="49"/>
  <c r="L341" i="50"/>
  <c r="F291" i="52"/>
  <c r="F298" i="52" s="1"/>
  <c r="I146" i="49"/>
  <c r="I165" i="49" s="1"/>
  <c r="M105" i="53"/>
  <c r="G382" i="53"/>
  <c r="E24" i="7"/>
  <c r="D14" i="37" s="1"/>
  <c r="M212" i="52"/>
  <c r="J165" i="50"/>
  <c r="F339" i="48"/>
  <c r="E25" i="38"/>
  <c r="D16" i="37" s="1"/>
  <c r="D24" i="37" s="1"/>
  <c r="C298" i="52"/>
  <c r="L298" i="52"/>
  <c r="I185" i="51"/>
  <c r="I336" i="51" s="1"/>
  <c r="H378" i="53"/>
  <c r="P25" i="38"/>
  <c r="I185" i="53"/>
  <c r="H199" i="50"/>
  <c r="I339" i="49"/>
  <c r="O18" i="41"/>
  <c r="M18" i="41" s="1"/>
  <c r="H330" i="50"/>
  <c r="P240" i="51"/>
  <c r="G298" i="52"/>
  <c r="F69" i="50"/>
  <c r="F83" i="50" s="1"/>
  <c r="F85" i="50" s="1"/>
  <c r="I83" i="50"/>
  <c r="I339" i="50" s="1"/>
  <c r="H85" i="51"/>
  <c r="K20" i="41"/>
  <c r="J22" i="37" s="1"/>
  <c r="I339" i="42"/>
  <c r="F192" i="48"/>
  <c r="F195" i="48" s="1"/>
  <c r="I195" i="48"/>
  <c r="F268" i="52"/>
  <c r="J378" i="53"/>
  <c r="J375" i="53"/>
  <c r="J382" i="53" s="1"/>
  <c r="H380" i="53"/>
  <c r="L341" i="42"/>
  <c r="L336" i="42"/>
  <c r="H330" i="49"/>
  <c r="G341" i="50"/>
  <c r="C28" i="17"/>
  <c r="I225" i="53"/>
  <c r="N225" i="53" s="1"/>
  <c r="H375" i="53"/>
  <c r="I330" i="51"/>
  <c r="D382" i="53"/>
  <c r="G341" i="51"/>
  <c r="I339" i="48"/>
  <c r="I185" i="42"/>
  <c r="I336" i="42" s="1"/>
  <c r="F339" i="49"/>
  <c r="F339" i="42"/>
  <c r="P240" i="48"/>
  <c r="H291" i="52"/>
  <c r="D298" i="52"/>
  <c r="M19" i="40"/>
  <c r="F140" i="50"/>
  <c r="F146" i="50" s="1"/>
  <c r="F337" i="50" s="1"/>
  <c r="I146" i="50"/>
  <c r="I330" i="49"/>
  <c r="I199" i="50"/>
  <c r="F199" i="50" s="1"/>
  <c r="H336" i="49"/>
  <c r="M240" i="42"/>
  <c r="N240" i="42" s="1"/>
  <c r="I22" i="40"/>
  <c r="H20" i="37" s="1"/>
  <c r="H185" i="53"/>
  <c r="J330" i="50"/>
  <c r="F330" i="49"/>
  <c r="I330" i="48"/>
  <c r="F240" i="42"/>
  <c r="F185" i="42"/>
  <c r="F336" i="42" s="1"/>
  <c r="K341" i="42"/>
  <c r="I291" i="52"/>
  <c r="I298" i="52" s="1"/>
  <c r="I140" i="49"/>
  <c r="F140" i="49" s="1"/>
  <c r="F146" i="49" s="1"/>
  <c r="F165" i="49" s="1"/>
  <c r="F341" i="49" s="1"/>
  <c r="H140" i="49"/>
  <c r="H146" i="49" s="1"/>
  <c r="H165" i="49" s="1"/>
  <c r="H278" i="53"/>
  <c r="D58" i="20"/>
  <c r="H170" i="52"/>
  <c r="H212" i="52"/>
  <c r="I131" i="52"/>
  <c r="H296" i="52"/>
  <c r="C12" i="19" s="1"/>
  <c r="E12" i="19" s="1"/>
  <c r="F131" i="52"/>
  <c r="I212" i="52"/>
  <c r="N212" i="52" s="1"/>
  <c r="F212" i="52"/>
  <c r="J294" i="52"/>
  <c r="J291" i="52"/>
  <c r="J298" i="52" s="1"/>
  <c r="H131" i="52"/>
  <c r="H294" i="52"/>
  <c r="C18" i="19" s="1"/>
  <c r="E18" i="19" s="1"/>
  <c r="O17" i="38"/>
  <c r="M17" i="38" s="1"/>
  <c r="K25" i="38"/>
  <c r="J16" i="37" s="1"/>
  <c r="M131" i="52"/>
  <c r="N131" i="52" s="1"/>
  <c r="M185" i="53"/>
  <c r="N185" i="53" s="1"/>
  <c r="M165" i="50"/>
  <c r="M341" i="50" s="1"/>
  <c r="M165" i="51"/>
  <c r="M165" i="48"/>
  <c r="M165" i="49"/>
  <c r="M165" i="42"/>
  <c r="M16" i="37"/>
  <c r="O22" i="37"/>
  <c r="P240" i="42"/>
  <c r="M16" i="41"/>
  <c r="P240" i="49"/>
  <c r="P212" i="52"/>
  <c r="P240" i="50"/>
  <c r="N240" i="50"/>
  <c r="M85" i="49"/>
  <c r="M85" i="51"/>
  <c r="M14" i="37"/>
  <c r="M85" i="42"/>
  <c r="M78" i="52"/>
  <c r="M85" i="48"/>
  <c r="M16" i="7"/>
  <c r="I296" i="52"/>
  <c r="F58" i="20"/>
  <c r="E58" i="20"/>
  <c r="G22" i="20"/>
  <c r="G41" i="20"/>
  <c r="F240" i="51"/>
  <c r="I337" i="42"/>
  <c r="H341" i="42"/>
  <c r="F294" i="52"/>
  <c r="I105" i="53"/>
  <c r="I377" i="53"/>
  <c r="F339" i="51"/>
  <c r="N330" i="48"/>
  <c r="I199" i="48"/>
  <c r="F199" i="48" s="1"/>
  <c r="H199" i="48"/>
  <c r="J330" i="48"/>
  <c r="J341" i="48" s="1"/>
  <c r="J342" i="48" s="1"/>
  <c r="J337" i="48"/>
  <c r="I165" i="42"/>
  <c r="F85" i="48"/>
  <c r="F336" i="48"/>
  <c r="I85" i="50"/>
  <c r="N85" i="50" s="1"/>
  <c r="H336" i="48"/>
  <c r="H85" i="48"/>
  <c r="H341" i="48" s="1"/>
  <c r="F240" i="48"/>
  <c r="F377" i="53"/>
  <c r="F105" i="53"/>
  <c r="N105" i="53" s="1"/>
  <c r="O22" i="40"/>
  <c r="M16" i="40"/>
  <c r="H78" i="52"/>
  <c r="H293" i="52"/>
  <c r="C9" i="19" s="1"/>
  <c r="E9" i="19" s="1"/>
  <c r="N330" i="51"/>
  <c r="H377" i="53"/>
  <c r="H105" i="53"/>
  <c r="H339" i="51"/>
  <c r="I278" i="53"/>
  <c r="N278" i="53" s="1"/>
  <c r="H240" i="51"/>
  <c r="H337" i="48"/>
  <c r="H336" i="50"/>
  <c r="P165" i="42"/>
  <c r="P165" i="49"/>
  <c r="P131" i="52"/>
  <c r="P165" i="50"/>
  <c r="P185" i="53"/>
  <c r="P165" i="48"/>
  <c r="O16" i="37"/>
  <c r="P165" i="51"/>
  <c r="F85" i="42"/>
  <c r="H85" i="42"/>
  <c r="H336" i="42"/>
  <c r="F378" i="53"/>
  <c r="I85" i="51"/>
  <c r="F78" i="52"/>
  <c r="F293" i="52"/>
  <c r="F296" i="52"/>
  <c r="F380" i="53"/>
  <c r="I337" i="50"/>
  <c r="F225" i="53"/>
  <c r="I240" i="49"/>
  <c r="N240" i="49" s="1"/>
  <c r="F330" i="48"/>
  <c r="F137" i="42"/>
  <c r="F146" i="42" s="1"/>
  <c r="F337" i="42" s="1"/>
  <c r="I146" i="42"/>
  <c r="P24" i="7"/>
  <c r="M15" i="7"/>
  <c r="I85" i="42"/>
  <c r="I85" i="48"/>
  <c r="I336" i="48"/>
  <c r="I15" i="39"/>
  <c r="I25" i="39" s="1"/>
  <c r="H18" i="37" s="1"/>
  <c r="K25" i="39"/>
  <c r="J18" i="37" s="1"/>
  <c r="I170" i="52"/>
  <c r="N170" i="52" s="1"/>
  <c r="I240" i="51"/>
  <c r="N240" i="51" s="1"/>
  <c r="F278" i="53"/>
  <c r="J337" i="50"/>
  <c r="H339" i="48"/>
  <c r="I85" i="49"/>
  <c r="N85" i="49" s="1"/>
  <c r="I336" i="49"/>
  <c r="H199" i="49"/>
  <c r="I199" i="49"/>
  <c r="F199" i="49" s="1"/>
  <c r="F330" i="42"/>
  <c r="I378" i="53"/>
  <c r="I375" i="53"/>
  <c r="F182" i="50"/>
  <c r="F185" i="50" s="1"/>
  <c r="F336" i="50" s="1"/>
  <c r="I185" i="50"/>
  <c r="I336" i="50" s="1"/>
  <c r="M15" i="39"/>
  <c r="M25" i="39" s="1"/>
  <c r="L18" i="37" s="1"/>
  <c r="O25" i="39"/>
  <c r="M18" i="38"/>
  <c r="I22" i="7"/>
  <c r="I24" i="7" s="1"/>
  <c r="H14" i="37" s="1"/>
  <c r="K24" i="7"/>
  <c r="J14" i="37" s="1"/>
  <c r="J24" i="37" s="1"/>
  <c r="I294" i="52"/>
  <c r="H240" i="50"/>
  <c r="E382" i="53"/>
  <c r="F140" i="48"/>
  <c r="F146" i="48" s="1"/>
  <c r="F165" i="48" s="1"/>
  <c r="I146" i="48"/>
  <c r="I165" i="48" s="1"/>
  <c r="H240" i="49"/>
  <c r="F182" i="49"/>
  <c r="F185" i="49" s="1"/>
  <c r="I185" i="49"/>
  <c r="H330" i="51"/>
  <c r="J342" i="42"/>
  <c r="I330" i="42"/>
  <c r="I199" i="51"/>
  <c r="F199" i="51" s="1"/>
  <c r="H199" i="51"/>
  <c r="I78" i="52"/>
  <c r="I293" i="52"/>
  <c r="L341" i="51"/>
  <c r="L336" i="51"/>
  <c r="P330" i="49"/>
  <c r="P330" i="50"/>
  <c r="P330" i="48"/>
  <c r="P375" i="53"/>
  <c r="P330" i="51"/>
  <c r="O18" i="37"/>
  <c r="P330" i="42"/>
  <c r="P291" i="52"/>
  <c r="M15" i="40"/>
  <c r="P22" i="40"/>
  <c r="O22" i="7"/>
  <c r="H165" i="51"/>
  <c r="J341" i="50"/>
  <c r="F295" i="51"/>
  <c r="K294" i="52"/>
  <c r="F192" i="49"/>
  <c r="F195" i="49" s="1"/>
  <c r="I195" i="49"/>
  <c r="H337" i="50"/>
  <c r="J165" i="51"/>
  <c r="J336" i="51"/>
  <c r="I330" i="50"/>
  <c r="I195" i="51"/>
  <c r="K330" i="50"/>
  <c r="K341" i="50" s="1"/>
  <c r="K337" i="50"/>
  <c r="H199" i="42"/>
  <c r="I199" i="42"/>
  <c r="F199" i="42" s="1"/>
  <c r="H336" i="51"/>
  <c r="K185" i="53"/>
  <c r="K382" i="53" s="1"/>
  <c r="J383" i="53" s="1"/>
  <c r="K378" i="53"/>
  <c r="F170" i="52"/>
  <c r="I339" i="51"/>
  <c r="J330" i="51"/>
  <c r="J341" i="51" s="1"/>
  <c r="J342" i="51" s="1"/>
  <c r="J337" i="51"/>
  <c r="F85" i="51"/>
  <c r="F336" i="51"/>
  <c r="N330" i="49"/>
  <c r="I165" i="50"/>
  <c r="N165" i="50" s="1"/>
  <c r="J330" i="49"/>
  <c r="J341" i="49" s="1"/>
  <c r="J342" i="49" s="1"/>
  <c r="F336" i="49"/>
  <c r="F85" i="49"/>
  <c r="F195" i="51"/>
  <c r="M336" i="50"/>
  <c r="F341" i="50" l="1"/>
  <c r="H382" i="53"/>
  <c r="M25" i="38"/>
  <c r="L16" i="37" s="1"/>
  <c r="H341" i="49"/>
  <c r="F337" i="49"/>
  <c r="H341" i="51"/>
  <c r="H337" i="49"/>
  <c r="F140" i="51"/>
  <c r="F146" i="51" s="1"/>
  <c r="F165" i="51" s="1"/>
  <c r="I146" i="51"/>
  <c r="I165" i="51" s="1"/>
  <c r="N165" i="51" s="1"/>
  <c r="N336" i="51" s="1"/>
  <c r="N85" i="51"/>
  <c r="M336" i="48"/>
  <c r="O20" i="41"/>
  <c r="O240" i="51" s="1"/>
  <c r="H341" i="50"/>
  <c r="O25" i="38"/>
  <c r="F339" i="50"/>
  <c r="F382" i="53"/>
  <c r="M298" i="52"/>
  <c r="H298" i="52"/>
  <c r="N240" i="48"/>
  <c r="N298" i="52"/>
  <c r="C10" i="17" s="1"/>
  <c r="C8" i="17" s="1"/>
  <c r="M22" i="40"/>
  <c r="L20" i="37" s="1"/>
  <c r="I337" i="49"/>
  <c r="N78" i="52"/>
  <c r="H24" i="37"/>
  <c r="N165" i="49"/>
  <c r="N341" i="49" s="1"/>
  <c r="M24" i="37"/>
  <c r="M382" i="53"/>
  <c r="N165" i="42"/>
  <c r="M341" i="48"/>
  <c r="M20" i="41"/>
  <c r="L22" i="37" s="1"/>
  <c r="M341" i="51"/>
  <c r="M336" i="51"/>
  <c r="N85" i="48"/>
  <c r="M341" i="42"/>
  <c r="M336" i="42"/>
  <c r="N85" i="42"/>
  <c r="M336" i="49"/>
  <c r="M341" i="49"/>
  <c r="C21" i="19"/>
  <c r="E21" i="19" s="1"/>
  <c r="G7" i="20"/>
  <c r="G58" i="20" s="1"/>
  <c r="N165" i="48"/>
  <c r="I341" i="48"/>
  <c r="O240" i="42"/>
  <c r="O240" i="50"/>
  <c r="O240" i="48"/>
  <c r="O278" i="53"/>
  <c r="O240" i="49"/>
  <c r="N22" i="37"/>
  <c r="O212" i="52"/>
  <c r="F330" i="51"/>
  <c r="I337" i="48"/>
  <c r="F341" i="48"/>
  <c r="F165" i="42"/>
  <c r="N20" i="37"/>
  <c r="O225" i="53"/>
  <c r="O170" i="52"/>
  <c r="N336" i="49"/>
  <c r="O165" i="48"/>
  <c r="O165" i="51"/>
  <c r="N16" i="37"/>
  <c r="O185" i="53"/>
  <c r="O131" i="52"/>
  <c r="O165" i="50"/>
  <c r="O165" i="49"/>
  <c r="O165" i="42"/>
  <c r="F341" i="42"/>
  <c r="F337" i="48"/>
  <c r="N375" i="53"/>
  <c r="N382" i="53" s="1"/>
  <c r="I382" i="53"/>
  <c r="C11" i="17"/>
  <c r="N330" i="42"/>
  <c r="I341" i="42"/>
  <c r="N330" i="50"/>
  <c r="I341" i="50"/>
  <c r="N291" i="52"/>
  <c r="C26" i="17"/>
  <c r="J299" i="52"/>
  <c r="O330" i="48"/>
  <c r="O330" i="50"/>
  <c r="O330" i="42"/>
  <c r="O330" i="51"/>
  <c r="O330" i="49"/>
  <c r="O375" i="53"/>
  <c r="N18" i="37"/>
  <c r="O291" i="52"/>
  <c r="P85" i="51"/>
  <c r="P336" i="51" s="1"/>
  <c r="P105" i="53"/>
  <c r="P382" i="53" s="1"/>
  <c r="P85" i="49"/>
  <c r="P341" i="49" s="1"/>
  <c r="P85" i="48"/>
  <c r="P336" i="48" s="1"/>
  <c r="P78" i="52"/>
  <c r="P85" i="50"/>
  <c r="P341" i="50" s="1"/>
  <c r="O14" i="37"/>
  <c r="P85" i="42"/>
  <c r="P336" i="42" s="1"/>
  <c r="M22" i="7"/>
  <c r="M24" i="7" s="1"/>
  <c r="L14" i="37" s="1"/>
  <c r="O24" i="7"/>
  <c r="P170" i="52"/>
  <c r="P298" i="52" s="1"/>
  <c r="O20" i="37"/>
  <c r="P225" i="53"/>
  <c r="I341" i="49"/>
  <c r="J342" i="50"/>
  <c r="L24" i="37" l="1"/>
  <c r="F341" i="51"/>
  <c r="I337" i="51"/>
  <c r="O24" i="37"/>
  <c r="F337" i="51"/>
  <c r="I341" i="51"/>
  <c r="C22" i="17"/>
  <c r="C34" i="17"/>
  <c r="C20" i="17" s="1"/>
  <c r="C41" i="17" s="1"/>
  <c r="E7" i="19"/>
  <c r="N341" i="51"/>
  <c r="N336" i="48"/>
  <c r="N341" i="48"/>
  <c r="P336" i="49"/>
  <c r="P336" i="50"/>
  <c r="P341" i="42"/>
  <c r="N336" i="50"/>
  <c r="N341" i="50"/>
  <c r="P341" i="51"/>
  <c r="P341" i="48"/>
  <c r="N341" i="42"/>
  <c r="N336" i="42"/>
  <c r="O85" i="48"/>
  <c r="O336" i="48" s="1"/>
  <c r="O78" i="52"/>
  <c r="O298" i="52" s="1"/>
  <c r="O105" i="53"/>
  <c r="O382" i="53" s="1"/>
  <c r="O85" i="50"/>
  <c r="O341" i="50" s="1"/>
  <c r="O85" i="51"/>
  <c r="O341" i="51" s="1"/>
  <c r="N14" i="37"/>
  <c r="N24" i="37" s="1"/>
  <c r="O85" i="49"/>
  <c r="O336" i="49" s="1"/>
  <c r="O85" i="42"/>
  <c r="O336" i="42" s="1"/>
  <c r="E36" i="19" l="1"/>
  <c r="C8" i="18"/>
  <c r="C14" i="18"/>
  <c r="O341" i="48"/>
  <c r="O341" i="42"/>
  <c r="O336" i="50"/>
  <c r="O336" i="51"/>
  <c r="C7" i="18"/>
  <c r="O341" i="49"/>
  <c r="C15" i="18" l="1"/>
  <c r="C13" i="18" s="1"/>
  <c r="C1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L7" authorId="0" shapeId="0" xr:uid="{00000000-0006-0000-02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<sst xmlns="http://schemas.openxmlformats.org/spreadsheetml/2006/main" count="6532" uniqueCount="1428">
  <si>
    <t>STT</t>
  </si>
  <si>
    <t>Đơn vị tính</t>
  </si>
  <si>
    <t>Ghi chú</t>
  </si>
  <si>
    <t>TRƯỜNG ĐẠI HỌC VINH</t>
  </si>
  <si>
    <t>Đại học chính quy</t>
  </si>
  <si>
    <t xml:space="preserve">        TRƯỞNG ĐƠN VỊ</t>
  </si>
  <si>
    <t>A</t>
  </si>
  <si>
    <t>I</t>
  </si>
  <si>
    <t>II</t>
  </si>
  <si>
    <t>Tổ bộ môn và họ tên giảng viên</t>
  </si>
  <si>
    <t>Chức danh</t>
  </si>
  <si>
    <t>Giờ giảng dạy</t>
  </si>
  <si>
    <t>Giờ NCKH</t>
  </si>
  <si>
    <t>Giờ HĐCM khác</t>
  </si>
  <si>
    <t>Cộng</t>
  </si>
  <si>
    <t>Số giờ chuẩn theo định mức</t>
  </si>
  <si>
    <t>Số giờ chuẩn còn phải đảm nhận</t>
  </si>
  <si>
    <t>Khác</t>
  </si>
  <si>
    <t>Lớp đảm nhận</t>
  </si>
  <si>
    <t>B</t>
  </si>
  <si>
    <t xml:space="preserve">Đơn vị tính: </t>
  </si>
  <si>
    <t>TRƯỞNG ĐƠN VỊ</t>
  </si>
  <si>
    <t>Tổng cộng toàn khoa:</t>
  </si>
  <si>
    <t>Số kinh phí đề nghị cấp</t>
  </si>
  <si>
    <t>Tổng cộng:</t>
  </si>
  <si>
    <t>III</t>
  </si>
  <si>
    <t>Hoạt động tại học kỳ</t>
  </si>
  <si>
    <t>Các nội dung cần mua sắm tài sản</t>
  </si>
  <si>
    <t>Đơn giá</t>
  </si>
  <si>
    <t>Thành tiền</t>
  </si>
  <si>
    <t>Biểu số 2</t>
  </si>
  <si>
    <t>Biểu số 4</t>
  </si>
  <si>
    <t>Biểu số 3</t>
  </si>
  <si>
    <t>Biểu số 5</t>
  </si>
  <si>
    <t>Biểu số 6</t>
  </si>
  <si>
    <t>Chức vụ</t>
  </si>
  <si>
    <t>IV</t>
  </si>
  <si>
    <t>Nội dung Nghiên cứu khoa học</t>
  </si>
  <si>
    <t>Số kinh phí</t>
  </si>
  <si>
    <t>Dự kiến thừa thiếu số giờ giảng dạy quy chuẩn</t>
  </si>
  <si>
    <t>V</t>
  </si>
  <si>
    <t>Nội dung</t>
  </si>
  <si>
    <t>Trang thiết bị văn phòng</t>
  </si>
  <si>
    <t>Mua sắm, sửa chữa</t>
  </si>
  <si>
    <t>Chi cho chuyên môn</t>
  </si>
  <si>
    <t>Chi cho con người</t>
  </si>
  <si>
    <t>Các khoản thu khác</t>
  </si>
  <si>
    <t>Dịch vụ</t>
  </si>
  <si>
    <t>Lệ phí</t>
  </si>
  <si>
    <t>Học phí</t>
  </si>
  <si>
    <t>A - CÁC KHOẢN THU</t>
  </si>
  <si>
    <t>TT</t>
  </si>
  <si>
    <t>Lệ phí tuyển sinh</t>
  </si>
  <si>
    <t>Đào tạo khác</t>
  </si>
  <si>
    <t>Sửa chữa trang thiết bị văn phòng</t>
  </si>
  <si>
    <t>Đoàn ra, đoàn vào</t>
  </si>
  <si>
    <t>Thuê giáo viên thính giảng, vận chuyển, thiết bị, chuyên gia</t>
  </si>
  <si>
    <t>Công tác phí</t>
  </si>
  <si>
    <t>Tổ chức các hội nghị, hội thi NVSP, các chuyên đề</t>
  </si>
  <si>
    <t>Tiền điện thoại, sách báo tạp chí, Internet</t>
  </si>
  <si>
    <t>Tiền VPP, mua sắm dụng cụ văn phòng</t>
  </si>
  <si>
    <t>Tiền điện, tiền nước, vệ sinh, xăng dầu</t>
  </si>
  <si>
    <t>Trợ cấp khó khăn, thăm viếng, nghỉ phép</t>
  </si>
  <si>
    <t>Tiền thưởng các loại (Cấp trường, tỉnh,bộ, cá nhân, tập thể…)</t>
  </si>
  <si>
    <t>Làm thêm giờ, trực đêm, ngày lễ, dạy thừa giờ</t>
  </si>
  <si>
    <t>Học viên</t>
  </si>
  <si>
    <t>Đào tạo Tiến sỹ</t>
  </si>
  <si>
    <t>Sinh viên</t>
  </si>
  <si>
    <t>Cộng toàn đơn vị</t>
  </si>
  <si>
    <t>Số tín chỉ (hoặc số tiết giảng dạy)</t>
  </si>
  <si>
    <t>Nội dung đào tạo, bồi dưỡng</t>
  </si>
  <si>
    <t>ĐVT: Nghìn đồng</t>
  </si>
  <si>
    <t xml:space="preserve">Số tiền </t>
  </si>
  <si>
    <t>Địa điểm đặt lớp (trong trường hay ngoài Trường)</t>
  </si>
  <si>
    <t>. - Không tổng hợp số giờ giảng dạy khác (đào tạo ngắn hạn cấp chứng chỉ, đào tạo khác) vào số giờ giảng dạy của Tổ bộ môn, Khoa</t>
  </si>
  <si>
    <t>Đơn vị tính: Tiết chuẩn</t>
  </si>
  <si>
    <t>Công tác thực hành thí nghiệm</t>
  </si>
  <si>
    <t>Hoạt động chung của khoa</t>
  </si>
  <si>
    <t xml:space="preserve">Trình độ, hình thức đào tạo </t>
  </si>
  <si>
    <r>
      <rPr>
        <b/>
        <sz val="11"/>
        <color indexed="8"/>
        <rFont val="Times New Roman"/>
        <family val="1"/>
      </rPr>
      <t>Ghi chú:</t>
    </r>
    <r>
      <rPr>
        <sz val="11"/>
        <color indexed="8"/>
        <rFont val="Times New Roman"/>
        <family val="1"/>
      </rPr>
      <t xml:space="preserve"> - Các giảng viên, cán bộ hiện đang đi học phải ghi rõ trình độ, hình thức đào tạo, trong nước hay nước ngoài và thời gian bắt đầu được cử đi học đến khi kết thúc khóa học theo Quyết định cử đi học. Dự kiến trong năm cử CB, GV nào đi học và trình độ, hình thức và ở trong nước hay nước ngoài.</t>
    </r>
  </si>
  <si>
    <t>Các đề tài dự án do Bộ Giáo dục và Đào tạo giao theo dự toán</t>
  </si>
  <si>
    <t>Các đề tài, dự án cấp Bộ</t>
  </si>
  <si>
    <t>Các đề tài, dự án cấp Nhà nước</t>
  </si>
  <si>
    <t>Các đề tài, dự án cấp tỉnh</t>
  </si>
  <si>
    <t>Đơn vị tính: Nghìn đồng</t>
  </si>
  <si>
    <t>Đại học Giáo dục từ xa</t>
  </si>
  <si>
    <t>Số giờ NCKH đăng ký thực hiện</t>
  </si>
  <si>
    <t>Số giờ HĐCM khác đăng ký thực hiện</t>
  </si>
  <si>
    <t>(11)=(9)+(10)</t>
  </si>
  <si>
    <t>Đơn vị</t>
  </si>
  <si>
    <t>Học phí THPT chuyên</t>
  </si>
  <si>
    <t>Học phí Trường THSP</t>
  </si>
  <si>
    <t>Trẻ nhà trẻ</t>
  </si>
  <si>
    <t>Trẻ mẫu giáo</t>
  </si>
  <si>
    <t>HS Tiểu học</t>
  </si>
  <si>
    <t>HS Trung học CS</t>
  </si>
  <si>
    <t xml:space="preserve">Học phí hệ đại học chính quy   </t>
  </si>
  <si>
    <t>Học phí hệ vừa làm vừa học</t>
  </si>
  <si>
    <t>Học phí hệ Đào tạo từ xa</t>
  </si>
  <si>
    <t xml:space="preserve">Học phí đào tạo SĐH </t>
  </si>
  <si>
    <t>Học phí đào tạo tiến sỹ</t>
  </si>
  <si>
    <t>GV khối HC Trường đảm nhận</t>
  </si>
  <si>
    <t>Công tác thực tập, kiến tập, thực tế, rèn nghề, hoạt động khác</t>
  </si>
  <si>
    <t>Tiếp khách</t>
  </si>
  <si>
    <t>Các khoản chi khác</t>
  </si>
  <si>
    <t>Chi khác</t>
  </si>
  <si>
    <t>BỘ GIÁO DỤC VÀ ĐÀO TẠO</t>
  </si>
  <si>
    <t>Tổng các khoản chi</t>
  </si>
  <si>
    <t>Các khoản đóng góp theo lương 22% lương đóng BHXH</t>
  </si>
  <si>
    <t>Nội dung hoạt động giáo dục, đào tạo</t>
  </si>
  <si>
    <t>CÁC KHOẢN THU CỦA ĐƠN VỊ</t>
  </si>
  <si>
    <t>Lệ phí khác</t>
  </si>
  <si>
    <t>Chủ trì đề tài, dự án</t>
  </si>
  <si>
    <t xml:space="preserve">Các đề tài, dự án do các đơn vị liên hệ và Trường ký hợp đồng </t>
  </si>
  <si>
    <t xml:space="preserve">    TRƯỞNG ĐƠN VỊ</t>
  </si>
  <si>
    <t>(1)</t>
  </si>
  <si>
    <t>(2)</t>
  </si>
  <si>
    <t>(3)</t>
  </si>
  <si>
    <t>(4)</t>
  </si>
  <si>
    <t>(5)</t>
  </si>
  <si>
    <t>(6)</t>
  </si>
  <si>
    <t>(7)</t>
  </si>
  <si>
    <t>(8)</t>
  </si>
  <si>
    <t>(9)</t>
  </si>
  <si>
    <t>1.1</t>
  </si>
  <si>
    <t>(10)</t>
  </si>
  <si>
    <t>(12)</t>
  </si>
  <si>
    <t>(13)</t>
  </si>
  <si>
    <t>(14)</t>
  </si>
  <si>
    <t>(15)</t>
  </si>
  <si>
    <t>(16)</t>
  </si>
  <si>
    <t>2.1</t>
  </si>
  <si>
    <t>2.2</t>
  </si>
  <si>
    <t>2.3</t>
  </si>
  <si>
    <t>(11)</t>
  </si>
  <si>
    <t xml:space="preserve">        TRƯỜNG ĐẠI HỌC VINH</t>
  </si>
  <si>
    <t xml:space="preserve">   TRƯỜNG ĐẠI HỌC VINH</t>
  </si>
  <si>
    <t xml:space="preserve">    TRƯỜNG ĐẠI HỌC VINH</t>
  </si>
  <si>
    <t xml:space="preserve">  TRƯỜNG ĐẠI HỌC VINH</t>
  </si>
  <si>
    <t>2.4</t>
  </si>
  <si>
    <t>2.5</t>
  </si>
  <si>
    <t>2.6</t>
  </si>
  <si>
    <t>2.7</t>
  </si>
  <si>
    <t>2.8</t>
  </si>
  <si>
    <t xml:space="preserve"> B - CÁC KHOẢN CHI</t>
  </si>
  <si>
    <t>CÁC KHOẢN CHI TRỰC TIẾP TẠI ĐƠN VỊ</t>
  </si>
  <si>
    <t>Lưu ý:</t>
  </si>
  <si>
    <t>a</t>
  </si>
  <si>
    <t>b</t>
  </si>
  <si>
    <t>.- Khóa 57</t>
  </si>
  <si>
    <t>Ghi chú: - KH giảng dạy lập cho cả các lớp dự kiến tuyển mới năm học 2017-2018</t>
  </si>
  <si>
    <t>Hướng dẫn thực tế, thực tập; luận văn và đổ án TN</t>
  </si>
  <si>
    <t>Số lớp TC dự kiến mở</t>
  </si>
  <si>
    <t>Tổ BM hướng dẫn đồ án TN</t>
  </si>
  <si>
    <t>Tổ BM Hướng dẫn luận văn TN</t>
  </si>
  <si>
    <t>Tổ BM hướng dẫn khóa luận TN</t>
  </si>
  <si>
    <t>Tổ BM hướng dẫn thực tập</t>
  </si>
  <si>
    <t>Tổ BM hướng dẫn đi thực tế</t>
  </si>
  <si>
    <t>GV thỉnh giảng</t>
  </si>
  <si>
    <t>Số tiết giảng dạy quy chuẩn</t>
  </si>
  <si>
    <t>GV trong đơn vị đảm nhận</t>
  </si>
  <si>
    <t xml:space="preserve">Giảng dạy ĐH chính quy </t>
  </si>
  <si>
    <t>Đại học chính quy (gồm cả trong và ngoài Trường)</t>
  </si>
  <si>
    <t>Giảng dạy ĐH vừa làm vừa học</t>
  </si>
  <si>
    <t>Đào tạo Cao học (gồm cả trong và ngoài Trường)</t>
  </si>
  <si>
    <t xml:space="preserve">Giảng dạy Thạc sỹ </t>
  </si>
  <si>
    <t>Đào tạo Nghiên cứu sinh</t>
  </si>
  <si>
    <t>Giảng dạy Nghiên cứu sinh</t>
  </si>
  <si>
    <t>Hướng dẫn chuyên đề</t>
  </si>
  <si>
    <t>c</t>
  </si>
  <si>
    <t>Hướng dẫn Luận án</t>
  </si>
  <si>
    <t xml:space="preserve">Tên học phần hoặc chuyên đề; hướng dẫn luận văn, đồ án, luận án </t>
  </si>
  <si>
    <t>Đào tạo Thạc sỹ (gồm cả trong và ngoài Trường)</t>
  </si>
  <si>
    <t>Bộ phận hành chính khoa, viện, trường</t>
  </si>
  <si>
    <t>Đơn giá các lớp ngành KHTN, kỹ thuật, CNTT</t>
  </si>
  <si>
    <t>Đơn giá các lớp ngành KHXH, Kinh tế, Luật,..</t>
  </si>
  <si>
    <t>Đơn giá các lớp bình quân TN và XH</t>
  </si>
  <si>
    <t>HS THPT chất lượng cao</t>
  </si>
  <si>
    <t>KẾ HOẠCH GIẢNG DẠY ĐÀO TẠO NGẮN HẠN CẤP CHỨNG CHỈ</t>
  </si>
  <si>
    <t>Nội dung đào tạo</t>
  </si>
  <si>
    <t>Đào tạo tiếng Anh theo khung tham chiếu Châu Âu</t>
  </si>
  <si>
    <t>Đào tạo chứng chỉ tin học</t>
  </si>
  <si>
    <t>Đào tạo cán bộ quản lý giáo dục</t>
  </si>
  <si>
    <t>Học phí bình quân/người học</t>
  </si>
  <si>
    <t>Số lượng HV, Chứng chỉ</t>
  </si>
  <si>
    <t>KP cấp chứng chỉ/cái</t>
  </si>
  <si>
    <t>Tổng kinh phí lương, các khoản có tính chất lương chi trả hàng tháng (chưa trừ BHXH)</t>
  </si>
  <si>
    <t>Các khoản phúc lợi khác (3 tháng lương cuối năm + 1,5 tháng phúc lợi lễ, tết)</t>
  </si>
  <si>
    <t xml:space="preserve">Phòng Đào tạo </t>
  </si>
  <si>
    <t xml:space="preserve">Phòng Đào tạo Sau Đại học </t>
  </si>
  <si>
    <t xml:space="preserve">Phòng Hành chính Tổng hợp </t>
  </si>
  <si>
    <t xml:space="preserve">Phòng Khoa học và Hợp tác quốc tế </t>
  </si>
  <si>
    <t xml:space="preserve">Trung tâm Công nghệ thông tin </t>
  </si>
  <si>
    <t xml:space="preserve">Trung tâm Đảm bảo chất lượng </t>
  </si>
  <si>
    <t xml:space="preserve">Trung tâm Giáo dục Thường xuyên </t>
  </si>
  <si>
    <t xml:space="preserve">Trung tâm Nội trú </t>
  </si>
  <si>
    <t xml:space="preserve">Trung tâm Thực hành - Thí nghiệm </t>
  </si>
  <si>
    <t xml:space="preserve">Viện Công nghệ Hóa sinh - Môi trường </t>
  </si>
  <si>
    <t xml:space="preserve">Viện Kỹ thuật - Công nghệ </t>
  </si>
  <si>
    <t>Các khoản chi lương, tiền công, phụ cấp, TN tăng thêm, phúc lợi, lễ tết và các khoản đóng góp BHXH</t>
  </si>
  <si>
    <t>Chi cho chuyên môn, nghiệp vụ</t>
  </si>
  <si>
    <t>Điều hoà, máy tinh, máy phôto, sửa chữa các công trình</t>
  </si>
  <si>
    <t xml:space="preserve">Học bổng sinh viên, trợ cấp xã hội, miễn giảm học phí </t>
  </si>
  <si>
    <t>Chi Bảo hộ LĐ, sinh viên đi thực tập, thực tế; hội đồng bảo vệ, hướng dẫn luận văn, học tập kinh nghiệm, chấm thi, kinh phí quản lý cấp khoa, cấp trường, tổ chức thi olimpic, học sinh giỏi, …….</t>
  </si>
  <si>
    <t>Số TC theo chương trình đào tạo</t>
  </si>
  <si>
    <t>Hệ số TC môn học tính học phí so với TC dạy lý thuyết trên lớp</t>
  </si>
  <si>
    <t>(17)</t>
  </si>
  <si>
    <t>Tổng số lượt tín chỉ/HSSV dự kiến đảm nhận</t>
  </si>
  <si>
    <t>Số SV, HV bình quân theo học/lớp TC</t>
  </si>
  <si>
    <t>Tổng số giờ giảng dạy quy chuẩn kế hoạch đăng ký thực hiện</t>
  </si>
  <si>
    <t>Số giờ chuẩn ĐM giảng dạy phải đảm nhận theo chức danh</t>
  </si>
  <si>
    <t>Số giờ chuẩn ĐM giảng dạy phải đảm nhận đã trừ miễn giảm</t>
  </si>
  <si>
    <t>Số giờ chuẩn được miễn giảm</t>
  </si>
  <si>
    <t xml:space="preserve">Đào tạo chính quy </t>
  </si>
  <si>
    <t>Đào tạo THPT chuyên</t>
  </si>
  <si>
    <t>Đào tạo Trường THSP</t>
  </si>
  <si>
    <t>Đào tạo không chính quy</t>
  </si>
  <si>
    <t xml:space="preserve">Đào tạo Thạc sỹ </t>
  </si>
  <si>
    <t>HS</t>
  </si>
  <si>
    <t>Trẻ, HS</t>
  </si>
  <si>
    <t>HSSV</t>
  </si>
  <si>
    <t>Số lượt TC theo KH đào tạo (ĐVT)</t>
  </si>
  <si>
    <t>Học phí bình quân/1 TC (Số lượng ĐVT)</t>
  </si>
  <si>
    <t>Đào tạo chinh quy (gồm cả trong và ngoài Trường)</t>
  </si>
  <si>
    <t>Đào tạo không chính quy (gồm cả trong, ngoài Trường)</t>
  </si>
  <si>
    <t>Đào tạo ĐH vừa làm vừa học</t>
  </si>
  <si>
    <t>a.1</t>
  </si>
  <si>
    <t>a.2</t>
  </si>
  <si>
    <t>a.3</t>
  </si>
  <si>
    <t>a.4</t>
  </si>
  <si>
    <t>a.5</t>
  </si>
  <si>
    <t>a.6</t>
  </si>
  <si>
    <t>b.1</t>
  </si>
  <si>
    <t>b.2</t>
  </si>
  <si>
    <t>b.3</t>
  </si>
  <si>
    <t>b.4</t>
  </si>
  <si>
    <t>b.5</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</si>
  <si>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</si>
  <si>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r>
      <rPr>
        <b/>
        <sz val="10"/>
        <color indexed="8"/>
        <rFont val="Times New Roman"/>
        <family val="1"/>
      </rPr>
      <t>Ghi chú:</t>
    </r>
    <r>
      <rPr>
        <sz val="10"/>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</si>
  <si>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Biểu số 7</t>
  </si>
  <si>
    <t>Biểu số 8</t>
  </si>
  <si>
    <t>Biểu số 9</t>
  </si>
  <si>
    <t>Biểu số 10</t>
  </si>
  <si>
    <t>Biểu số 1</t>
  </si>
  <si>
    <t>Biểu số 11</t>
  </si>
  <si>
    <t>Biểu số 12</t>
  </si>
  <si>
    <t>Giáo dục mầm non</t>
  </si>
  <si>
    <t>Giáo dục tiểu học</t>
  </si>
  <si>
    <t>Quản lý giáo dục</t>
  </si>
  <si>
    <t>Các PPĐG kết quả học tập môn Toán ở TH</t>
  </si>
  <si>
    <t>Thực hành giải toán ở tiểu học</t>
  </si>
  <si>
    <t>Phát triển chương trình giáo dục Tiểu học</t>
  </si>
  <si>
    <t>Bồi dưỡng năng lực cảm thụ văn học cho HSTH</t>
  </si>
  <si>
    <t>Thực hành giải bài tập Tiếng Việt ở tiểu học</t>
  </si>
  <si>
    <t>Thực tập sư phạm</t>
  </si>
  <si>
    <t>Thực hành phương pháp dạy học bộ môn</t>
  </si>
  <si>
    <t>Làm đồ chơi cho trẻ</t>
  </si>
  <si>
    <t>Lí luận văn học</t>
  </si>
  <si>
    <t>Văn học Việt Nam</t>
  </si>
  <si>
    <t>PPDH Tiếng Việt ở tiểu học</t>
  </si>
  <si>
    <t>Phương tiện KTDH và ƯDCNTT trong dạy học ở TH</t>
  </si>
  <si>
    <t>PPDH Tự nhiên - Xã hội</t>
  </si>
  <si>
    <t>PP tổ chức hoạt động tạo hình</t>
  </si>
  <si>
    <t>Tiếng Việt</t>
  </si>
  <si>
    <t>Kỹ thuật xây dựng văn bản hành chính thông dụng</t>
  </si>
  <si>
    <t>Toán sơ cấp</t>
  </si>
  <si>
    <t>Văn học thiếu nhi</t>
  </si>
  <si>
    <t>Ngữ dụng học</t>
  </si>
  <si>
    <t>Từ Hán Việt</t>
  </si>
  <si>
    <t>Ngữ pháp văn bản và dạy học Tập làm văn ở tiểu học</t>
  </si>
  <si>
    <t>Cơ sở ngôn ngữ học của dạy học Tiếng Việt ở tiểu học</t>
  </si>
  <si>
    <t>Cơ sở toán học của dạy học Toán ở tiểu học</t>
  </si>
  <si>
    <t>Bồi dưỡng hứng thú tiếng Việt cho học sinh tiểu học</t>
  </si>
  <si>
    <t>Một số vấn đề về phương pháp dạy học Toán tiểu học</t>
  </si>
  <si>
    <t>Phương pháp dạy học Tiếng Việt  ở tiểu học</t>
  </si>
  <si>
    <t>Cơ sở Tự nhiên xã hội 1</t>
  </si>
  <si>
    <t>Giáo dục lối sống cho HSTH</t>
  </si>
  <si>
    <t>Tổ chức hoạt động trải nghiệm sáng tạo cho HSTH</t>
  </si>
  <si>
    <t>Phương pháp dạy học Tự nhiên- Xã hội ở tiểu học</t>
  </si>
  <si>
    <t>Phương pháp dạy học Thủ công- Kỹ thuật</t>
  </si>
  <si>
    <t>Nghệ thuật tạo hình</t>
  </si>
  <si>
    <t>Giáo dục nghệ thuật cho HS tiểu học</t>
  </si>
  <si>
    <t>a.7</t>
  </si>
  <si>
    <t>a.8</t>
  </si>
  <si>
    <t>a.9</t>
  </si>
  <si>
    <t>a.10</t>
  </si>
  <si>
    <t>a.11</t>
  </si>
  <si>
    <t>Toán Cao cấp</t>
  </si>
  <si>
    <t>Phương pháp dạy học Toán ở tiểu học</t>
  </si>
  <si>
    <t>a.12</t>
  </si>
  <si>
    <t>a.13</t>
  </si>
  <si>
    <t>a.14</t>
  </si>
  <si>
    <t>a.15</t>
  </si>
  <si>
    <t>TS. Nguyễn Tiến Dũng</t>
  </si>
  <si>
    <t>Tổ bộ môn Giáo dục Tiểu học</t>
  </si>
  <si>
    <t>Hệ số lương</t>
  </si>
  <si>
    <t>Tên đơn vị: Khoa Giáo dục</t>
  </si>
  <si>
    <t>CBGD đảm nhận ĐM giờ tập sự (thử việc):0</t>
  </si>
  <si>
    <t>CBGD đảm nhận ĐM giờ giáo viên:0.</t>
  </si>
  <si>
    <t>Chu Thị Thủy An</t>
  </si>
  <si>
    <t>P. Khoa (-25%, +HDCM)</t>
  </si>
  <si>
    <t>Chu Thị Hà Thanh</t>
  </si>
  <si>
    <t>TBM (-20%, +HDCM)</t>
  </si>
  <si>
    <t>Nguyễn Tiến Dũng</t>
  </si>
  <si>
    <t>TLĐT (-15%, +HDCM)</t>
  </si>
  <si>
    <t>Phan Anh Tuấn</t>
  </si>
  <si>
    <t>Nguyễn Thị Phương Nhung B</t>
  </si>
  <si>
    <t>Nguyễn Thị Phương Nhung A</t>
  </si>
  <si>
    <t>NCS (- 70%, + NCKH)</t>
  </si>
  <si>
    <t>Nguyễn Thị Thanh Giang</t>
  </si>
  <si>
    <t>Thái Mạnh Thủy</t>
  </si>
  <si>
    <t>Nguyễn Thị Châu Giang</t>
  </si>
  <si>
    <t>PK</t>
  </si>
  <si>
    <t>TBM</t>
  </si>
  <si>
    <t>TLĐT</t>
  </si>
  <si>
    <t>Trần Thị Hoàng Yến</t>
  </si>
  <si>
    <t>Nguyễn Thị Thu Hạnh</t>
  </si>
  <si>
    <t>Phạm Thị Huyền</t>
  </si>
  <si>
    <t>Phạm Thị Hải Châu</t>
  </si>
  <si>
    <t>Trần Thị Thúy Nga</t>
  </si>
  <si>
    <t>Võ Trọng Vinh</t>
  </si>
  <si>
    <t>Lê Công Phượng</t>
  </si>
  <si>
    <t>Tổng cộng toàn tổ:</t>
  </si>
  <si>
    <t>Giảng viên Nguyễn Như An</t>
  </si>
  <si>
    <t>Giảng viên Nguyễn Thị Thu Hằng</t>
  </si>
  <si>
    <t>Giảng viên Bùi Văn Hùng</t>
  </si>
  <si>
    <t>Giảng viên Chế Thị Hải Linh</t>
  </si>
  <si>
    <t>Giảng viên Nguyễn Việt Phương</t>
  </si>
  <si>
    <t>Giảng viên Phạm Minh Hùng</t>
  </si>
  <si>
    <t>Đặng Thị Tình</t>
  </si>
  <si>
    <t>Nguyễn Thị Phương Thảo</t>
  </si>
  <si>
    <t>Cán bộ giảng dạy: ………6……….., gồm:</t>
  </si>
  <si>
    <t>CVHT</t>
  </si>
  <si>
    <t>Phan Quốc Lâm</t>
  </si>
  <si>
    <t>Dương Thị Thanh Thanh</t>
  </si>
  <si>
    <t>Lê Thục Anh</t>
  </si>
  <si>
    <t>Dương Thị Linh</t>
  </si>
  <si>
    <t>Hồ Thị Hạnh</t>
  </si>
  <si>
    <t>Trần Hằng Ly</t>
  </si>
  <si>
    <t>Nguyễn Thị Hường</t>
  </si>
  <si>
    <t>Nguyễn Thị Quỳnh Anh</t>
  </si>
  <si>
    <t>Nguyễn Thị Nhân</t>
  </si>
  <si>
    <t>Nguyễn Trung Kiền</t>
  </si>
  <si>
    <t>Cán bộ hành chính 2</t>
  </si>
  <si>
    <t xml:space="preserve">          Tên đơn vị:Khoa Giáo dục</t>
  </si>
  <si>
    <t>ĐHCQ</t>
  </si>
  <si>
    <t>ĐHV</t>
  </si>
  <si>
    <t>Hoạt động của các Tổ bộ môn</t>
  </si>
  <si>
    <t>Ngành Giáo dục Mầm non</t>
  </si>
  <si>
    <t>Ngành Giáo dục TIểu học</t>
  </si>
  <si>
    <t>TT sư phạm ngành GDTH</t>
  </si>
  <si>
    <t>TrươngTH</t>
  </si>
  <si>
    <t>Bộ môn Quản lý Giáo dục</t>
  </si>
  <si>
    <t>Tổng</t>
  </si>
  <si>
    <t>Có dự toán kèm theo</t>
  </si>
  <si>
    <t>Hội thi viết chữ đẹp - Giải Toán nhanh</t>
  </si>
  <si>
    <t>Toàn thể</t>
  </si>
  <si>
    <t>Chính quy</t>
  </si>
  <si>
    <t>Cán bộ văn phòng: 1</t>
  </si>
  <si>
    <t>Quản lí Sinh viên, học viên: 1</t>
  </si>
  <si>
    <t>Tổ bộ môn QLGD</t>
  </si>
  <si>
    <t>Có 6 Giảng viên, trong đó:</t>
  </si>
  <si>
    <t>GV</t>
  </si>
  <si>
    <t>Dự kiến số lượng giảng viên nghỉ hưu 0</t>
  </si>
  <si>
    <t>Tổ bộ môn Giáo dục mầm non</t>
  </si>
  <si>
    <t>Dự kiến số lượng giảng viên nghỉ hưu: 0</t>
  </si>
  <si>
    <t>Giảng viên</t>
  </si>
  <si>
    <t>Tổ bộ môn Giáo dục học</t>
  </si>
  <si>
    <t>Tổ bộ môn Tâm lý học</t>
  </si>
  <si>
    <t>1.1.</t>
  </si>
  <si>
    <t>cái</t>
  </si>
  <si>
    <t xml:space="preserve"> </t>
  </si>
  <si>
    <t xml:space="preserve"> cái</t>
  </si>
  <si>
    <t>Số lượng</t>
  </si>
  <si>
    <t>Tổng hợp của Tổ GDTH</t>
  </si>
  <si>
    <t>Tổ bộ môn GIÁO DỤC MẦM NON</t>
  </si>
  <si>
    <t>Tự chọn 3 - K56</t>
  </si>
  <si>
    <t xml:space="preserve"> I </t>
  </si>
  <si>
    <t xml:space="preserve"> Đào tạo chinh quy (gồm cả trong và ngoài Trường) </t>
  </si>
  <si>
    <t xml:space="preserve"> Đại học chính quy </t>
  </si>
  <si>
    <t>TỔNG</t>
  </si>
  <si>
    <t xml:space="preserve"> a </t>
  </si>
  <si>
    <t>Phương pháp hình thành BT toán - K57</t>
  </si>
  <si>
    <t>Âm nhạc - K57</t>
  </si>
  <si>
    <t>PP giáo dục âm nhạc cho trẻ - K57</t>
  </si>
  <si>
    <t>Bệnh học trẻ em - K57</t>
  </si>
  <si>
    <t>Bệnh học trẻ em - K58</t>
  </si>
  <si>
    <t>Phương pháp cho trẻ LMMTXQ - K57</t>
  </si>
  <si>
    <t>Phương pháp cho trẻ LMMTXQ - K58</t>
  </si>
  <si>
    <t>Phương pháp giáo duc thể chất cho trẻ - K57</t>
  </si>
  <si>
    <t xml:space="preserve">PP cho trẻ LQTPVH - K57 </t>
  </si>
  <si>
    <t>Âm nhạc và PPGD âm nhạc - K58</t>
  </si>
  <si>
    <t xml:space="preserve">TỔNG </t>
  </si>
  <si>
    <t>TỔNG HỢP CỦA TỔ GDMN</t>
  </si>
  <si>
    <t>a.16</t>
  </si>
  <si>
    <t>a.17</t>
  </si>
  <si>
    <t>a.18</t>
  </si>
  <si>
    <t>a.19</t>
  </si>
  <si>
    <t>a.20</t>
  </si>
  <si>
    <t>a.21</t>
  </si>
  <si>
    <t>a.22</t>
  </si>
  <si>
    <t>a.23</t>
  </si>
  <si>
    <t>a.24</t>
  </si>
  <si>
    <t>a.25</t>
  </si>
  <si>
    <t>a.26</t>
  </si>
  <si>
    <t>a.27</t>
  </si>
  <si>
    <t>a.28</t>
  </si>
  <si>
    <t>a.29</t>
  </si>
  <si>
    <t>a.30</t>
  </si>
  <si>
    <t>a.31</t>
  </si>
  <si>
    <t>a.32</t>
  </si>
  <si>
    <t>GD hòa nhập HS khuyết tật K55</t>
  </si>
  <si>
    <t>Tâm lí-giáo dục học quân sự K57</t>
  </si>
  <si>
    <t>Kiến tập sư phạm</t>
  </si>
  <si>
    <t>RLNVSPTX ngành GDTH 1 (128 sv)</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</si>
  <si>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</si>
  <si>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</si>
  <si>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</si>
  <si>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</si>
  <si>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</si>
  <si>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</si>
  <si>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</si>
  <si>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C</t>
  </si>
  <si>
    <t>Tổ bộ môn TÂM LÍ HỌC</t>
  </si>
  <si>
    <t>TỔNG HỢP CỦA TỔ TÂM LÍ HỌC</t>
  </si>
  <si>
    <t>PPNCKH MN</t>
  </si>
  <si>
    <t>PPNCKH TH</t>
  </si>
  <si>
    <t>Giáo dục học  TH</t>
  </si>
  <si>
    <t>GD học MN</t>
  </si>
  <si>
    <t>PPDH TN - XH</t>
  </si>
  <si>
    <t>Tổ chức hoạt động vui chơi cho trẻ MG</t>
  </si>
  <si>
    <t>D</t>
  </si>
  <si>
    <t>Tổ bộ môn: GIÁO DỤC HỌC</t>
  </si>
  <si>
    <t>Lãnh đạo và QL sự thay đổi NT</t>
  </si>
  <si>
    <t>Một số vấn đề về dạy TN - XH Ở TH</t>
  </si>
  <si>
    <t>QL giá dục giá trị và kỹ năng sống</t>
  </si>
  <si>
    <t>Giáo dục học  TH K 57</t>
  </si>
  <si>
    <t>PPNCKH  TH</t>
  </si>
  <si>
    <t>TỎNG</t>
  </si>
  <si>
    <t>TỔNG HỢP CỦA TỔ GIÁO DỤC HỌC</t>
  </si>
  <si>
    <t>Quản lý hành chính NN và QL ngành GD&amp;ĐT</t>
  </si>
  <si>
    <t>Tổ chức, quản lý cơ sở GD</t>
  </si>
  <si>
    <t>Nhập môn ngành SP</t>
  </si>
  <si>
    <t>Phương pháp nghiên cứu KH QLGD</t>
  </si>
  <si>
    <t>QL giáo dục đại học</t>
  </si>
  <si>
    <t>Công tác QL GDMN</t>
  </si>
  <si>
    <t>Phát triển chương trình GD</t>
  </si>
  <si>
    <t>Lập KH phát triển GD</t>
  </si>
  <si>
    <t>Kinh tế học GD</t>
  </si>
  <si>
    <t>QL tổ chức HĐ DH,GD</t>
  </si>
  <si>
    <t>Các mô hình QL:GD</t>
  </si>
  <si>
    <t>Thanh tra, kiểm tra trong GD</t>
  </si>
  <si>
    <t>Quản lý tài chính, tài sản CSVC</t>
  </si>
  <si>
    <t>QLNCNN và QLGD</t>
  </si>
  <si>
    <t>Đại cương về QLGD</t>
  </si>
  <si>
    <t xml:space="preserve">Hệ thống thông tin QLGD </t>
  </si>
  <si>
    <t>Xã hội hóa GD</t>
  </si>
  <si>
    <t>Rèn luyện NVQL</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</si>
  <si>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</si>
  <si>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</si>
  <si>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</si>
  <si>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</si>
  <si>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</si>
  <si>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</si>
  <si>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</si>
  <si>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</si>
  <si>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</si>
  <si>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</si>
  <si>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</si>
  <si>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</si>
  <si>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Hướng dẫn luận văn Thạc sĩ</t>
  </si>
  <si>
    <t>Nguyễn Như An (5 học viên x 35 tiết/1Hv = 175 tiết)</t>
  </si>
  <si>
    <t>Phạm Minh Hùng (5 học viên x 35 tiết/1Hv = 175 tiết)</t>
  </si>
  <si>
    <t>Nguyễn Văn Tứ (5 học viên x 35 tiết/1Hv = 175 tiết)</t>
  </si>
  <si>
    <t>Nguyễn Đình Nhâm (5 học viên x 35 tiết/1Hv = 175 tiết)</t>
  </si>
  <si>
    <t>Chuyên đề Lãnh đạo cơ sở giáo dục trong bối cảnh hiện nay</t>
  </si>
  <si>
    <t>Chuyên đề Đổi mới quản lý chất lượng giáo dục</t>
  </si>
  <si>
    <t>a3</t>
  </si>
  <si>
    <t>Chuyên đề Chính sách phát triển giáo dục thời kỳ đổi mới</t>
  </si>
  <si>
    <t>CBHD của trường</t>
  </si>
  <si>
    <t>CBHD ngoài trường</t>
  </si>
  <si>
    <t>CBHD trong trường</t>
  </si>
  <si>
    <t>TỔNG HỢP CỦA TỔ QLGD</t>
  </si>
  <si>
    <t>Bộ môn QUẢN LÍ GIÁO DỤC</t>
  </si>
  <si>
    <t>TỔNG TOÀN KHOA</t>
  </si>
  <si>
    <t>ĐH</t>
  </si>
  <si>
    <t>Thực tập tốt nghiệp</t>
  </si>
  <si>
    <t>Hoạt động khác</t>
  </si>
  <si>
    <t>Tổng I + II + III</t>
  </si>
  <si>
    <t>Biểu 12</t>
  </si>
  <si>
    <t xml:space="preserve">Khác </t>
  </si>
  <si>
    <t>Hỗ trợ VH-VN, TDTT cho SV</t>
  </si>
  <si>
    <t>Hỗ trợ hoạt động SV NCKH</t>
  </si>
  <si>
    <t>Đ21, CTNB</t>
  </si>
  <si>
    <t>Biểu 4</t>
  </si>
  <si>
    <t>Biểu 5</t>
  </si>
  <si>
    <t>Biểu 7</t>
  </si>
  <si>
    <t>TỔNG CHI</t>
  </si>
  <si>
    <t>ĐƠN VỊ: KHOA GIÁO DỤC</t>
  </si>
  <si>
    <t xml:space="preserve">Y học thể dục thể thao </t>
  </si>
  <si>
    <t>Sử dụng tác phẩm văn học trong trường MN - K24</t>
  </si>
  <si>
    <t xml:space="preserve"> Đào tạo Cao học (gồm cả trong và ngoài Trường) </t>
  </si>
  <si>
    <t xml:space="preserve"> II </t>
  </si>
  <si>
    <t xml:space="preserve"> Đào tạo không chính quy (gồm cả trong, ngoài Trường) </t>
  </si>
  <si>
    <t>Hội thi rèn nghề cấp khoa</t>
  </si>
  <si>
    <t>GDH tiểu học K58</t>
  </si>
  <si>
    <t>GDH mầm non K58</t>
  </si>
  <si>
    <t>Hướng dẫn luận văn Thạc sĩ (Cao học 24QLGD)</t>
  </si>
  <si>
    <t>Phan Quốc Lâm (5 học viên x 35 tiết/1Hv = 175 tiết)</t>
  </si>
  <si>
    <t>Nguyễn Thị Hường (5 học viên x 35 tiết/1Hv = 175 tiết)</t>
  </si>
  <si>
    <t>Lê Thục Anh (5 học viên x 35 tiết/1Hv = 175 tiết)</t>
  </si>
  <si>
    <t>Dương Thị Thanh Thanh (5 học viên x 35 tiết/1Hv = 175 tiết)</t>
  </si>
  <si>
    <t>b1</t>
  </si>
  <si>
    <t>b2</t>
  </si>
  <si>
    <t>b3</t>
  </si>
  <si>
    <t>b4</t>
  </si>
  <si>
    <t>b5</t>
  </si>
  <si>
    <t>b6</t>
  </si>
  <si>
    <t>b7</t>
  </si>
  <si>
    <t>b8</t>
  </si>
  <si>
    <t>b9</t>
  </si>
  <si>
    <t>b10</t>
  </si>
  <si>
    <t xml:space="preserve">      ĐƠN VỊ: KHOA GIÁO DỤC</t>
  </si>
  <si>
    <t>Đơn vị tính: nghìn đồng</t>
  </si>
  <si>
    <t>Một số chuyên đề Phương pháp</t>
  </si>
  <si>
    <t>Chuyên đề - PPDH Tiếng Việt ở tiểu học</t>
  </si>
  <si>
    <t>Chuyên đề - PPDH Toán ở tiểu học</t>
  </si>
  <si>
    <t>Chuyên đề - PPDH Tự nhiên - Xã hội</t>
  </si>
  <si>
    <t>Do giáo viên trường tiểu học thực hành đảm nhân</t>
  </si>
  <si>
    <t xml:space="preserve">     ĐƠN VỊ: KHOA GIÁO DỤC</t>
  </si>
  <si>
    <t xml:space="preserve">Tên đơn vị : KHOA GIÁO DỤC </t>
  </si>
  <si>
    <t>Lý thuyết hệ thống trong Quản lí giáo dục</t>
  </si>
  <si>
    <t>a.34</t>
  </si>
  <si>
    <t>a.35</t>
  </si>
  <si>
    <t>a.36</t>
  </si>
  <si>
    <t>CBGD đảm nhận ĐM giờ giảng viên trở lên: 6</t>
  </si>
  <si>
    <t>Cán bộ hành chính ………2………</t>
  </si>
  <si>
    <t>CVHT(-15%, +HDCM)</t>
  </si>
  <si>
    <t>Tổng số cán bộ của đơn vị: 9, trong đó:</t>
  </si>
  <si>
    <t>Cán bộ hành chính …0</t>
  </si>
  <si>
    <t>Cán bộ giảng dạy: ………9, gồm:</t>
  </si>
  <si>
    <t>Cán bộ hành chính : 0</t>
  </si>
  <si>
    <t xml:space="preserve"> Đại học VLVH (gồm cả trong và ngoài Trường) </t>
  </si>
  <si>
    <t xml:space="preserve"> Đại học ĐTTX (gồm cả trong và ngoài Trường) </t>
  </si>
  <si>
    <t>ĐVT:  nghìn đồng</t>
  </si>
  <si>
    <t>Chi tiết ở Biểu 9</t>
  </si>
  <si>
    <t>Chi tiết ở Biểu 10</t>
  </si>
  <si>
    <t>CTCĐ Khoa(-10%, +HDCM)</t>
  </si>
  <si>
    <t>TRƯỞNG KHOA</t>
  </si>
  <si>
    <t>TS. NGUYỄN NGỌC HIỀN</t>
  </si>
  <si>
    <t xml:space="preserve">        TRƯỞNG KHOA</t>
  </si>
  <si>
    <t xml:space="preserve">Tổ bộ môn TÂM LÍ HỌC </t>
  </si>
  <si>
    <t>Tổ bộ môn GIÁO DỤC HỌC</t>
  </si>
  <si>
    <t>NGÀNH GIÁO DỤC MẦM NON</t>
  </si>
  <si>
    <t xml:space="preserve">NGÀNH QUẢN LÍ GIÁO DỤC </t>
  </si>
  <si>
    <t>NGÀNH GIÁO DỤC TIỂU HỌC</t>
  </si>
  <si>
    <t>TBM (-20%, +HDCM), PCTCĐ(-10%)</t>
  </si>
  <si>
    <t>Cán bộ hành chính ……0………….</t>
  </si>
  <si>
    <t>Tổng số cán bộ của đơn vị: 6, trong đó:</t>
  </si>
  <si>
    <t>Cán bộ hành chính …0……………….</t>
  </si>
  <si>
    <t xml:space="preserve">      Tên đơn vị: KHOA GIÁO DỤC</t>
  </si>
  <si>
    <t>K. Giáo dục</t>
  </si>
  <si>
    <t xml:space="preserve">      Tên đơn vị: Khoa Giáo dục</t>
  </si>
  <si>
    <t xml:space="preserve">          Tên đơn vị: Khoa Giáo dục</t>
  </si>
  <si>
    <t>Biểu 7 mục I</t>
  </si>
  <si>
    <t xml:space="preserve"> CTNB, điều 28-tr45</t>
  </si>
  <si>
    <t>Nguyễn Thị Nhân (5 học viên x 35 tiết/1Hv = 175 tiết)</t>
  </si>
  <si>
    <t>Khấu hao tài sản cố định</t>
  </si>
  <si>
    <t>CHÊNH LỆCH THU- CHI</t>
  </si>
  <si>
    <t>Điều 19-tr 34 CTNB</t>
  </si>
  <si>
    <t>Tổng giờ dạy của Giảng viên thỉnh giảng và hành chính là:</t>
  </si>
  <si>
    <t>Chi kết thúc học kì I và cuối năm học</t>
  </si>
  <si>
    <t xml:space="preserve">Biểu 7 </t>
  </si>
  <si>
    <t xml:space="preserve">Đơn vị tính: sinh viên, học viên </t>
  </si>
  <si>
    <t>Tên đơn vị:KHOA GIÁO DỤC</t>
  </si>
  <si>
    <t>.- Khóa 58</t>
  </si>
  <si>
    <t>.-Khóa 25</t>
  </si>
  <si>
    <t>Đào tạo THPT chất lượng cao</t>
  </si>
  <si>
    <t>1.2</t>
  </si>
  <si>
    <t>VI</t>
  </si>
  <si>
    <t>Phan Huy Hà</t>
  </si>
  <si>
    <t>Giáo viên</t>
  </si>
  <si>
    <t>Văn phòng</t>
  </si>
  <si>
    <t>QL HSSV</t>
  </si>
  <si>
    <t>CBGD đảm nhận ĐM giờ giáo viên: 01</t>
  </si>
  <si>
    <t xml:space="preserve">Khoa Kinh tế </t>
  </si>
  <si>
    <t xml:space="preserve">Khoa Luật </t>
  </si>
  <si>
    <t xml:space="preserve">Trung tâm Dịch vụ, hỗ trợ sinh viên </t>
  </si>
  <si>
    <t xml:space="preserve">Viện Nông nghiệp và Tài nguyên </t>
  </si>
  <si>
    <t>Nghệ An, ngày       tháng       năm 2018</t>
  </si>
  <si>
    <t>KẾ HOẠCH ĐÀO TẠO. GIẢNG DẠY CỦA ĐƠN VỊ TRONG NĂM HỌC 2018-2019</t>
  </si>
  <si>
    <t>Đào tạo chính quy (gồm cả trong và ngoài Trường)</t>
  </si>
  <si>
    <t>Nguyễn Thị Kỳ</t>
  </si>
  <si>
    <t xml:space="preserve"> Phan Thị Quỳnh Trang</t>
  </si>
  <si>
    <t>Nghiên cứu đề xuất mô hình phối hợp giữa nhà trường, gia đình và xã hội trong chăm sóc - giáo dục trẻ ở trường mầm non đáp ứng đổi mới giáo dục</t>
  </si>
  <si>
    <t>GS.TS Thái Văn Thành</t>
  </si>
  <si>
    <t>(8)=(3x4x6)</t>
  </si>
  <si>
    <t xml:space="preserve"> Việt ngữ học cơ sở - Khóa 59</t>
  </si>
  <si>
    <t>Phương pháp phát triển ngôn ngữ - Khóa 57</t>
  </si>
  <si>
    <t>Rèn luyện NVSPTX 2 - K57</t>
  </si>
  <si>
    <t>Rèn luyện NVSPTX 3 - K57</t>
  </si>
  <si>
    <t>Rèn luyện NVSPTX 4 - K56</t>
  </si>
  <si>
    <t>Tự chọn 2 - Khóa 57</t>
  </si>
  <si>
    <t>Toán cơ sở - K58</t>
  </si>
  <si>
    <t>Ứng dụng CNTT trong GDMN - K57</t>
  </si>
  <si>
    <t>Phân tích và PT chương trình GDMN - Khóa 56</t>
  </si>
  <si>
    <t>Phương pháp hình thành biểu tượng toán - Khóa 57</t>
  </si>
  <si>
    <t>Thực hành Phương pháp GDMN - Khóa 56</t>
  </si>
  <si>
    <t>Bệnh học trẻ em - K56</t>
  </si>
  <si>
    <t>Phương pháp cho trẻ LQMTXQ - K57</t>
  </si>
  <si>
    <t>Múa - Khóa 58</t>
  </si>
  <si>
    <t>Phương pháp giáo dục thể chất cho trẻ MN - K57</t>
  </si>
  <si>
    <t>Phương pháp cho trẻ LQTPVH - K57</t>
  </si>
  <si>
    <t xml:space="preserve"> Phương pháp giáo dục âm nhạc cho trẻ MN  - K57</t>
  </si>
  <si>
    <t>Văn học thiếu nhi - K58</t>
  </si>
  <si>
    <t>Tự chọn 4 - K56</t>
  </si>
  <si>
    <t>Âm nhạc - K58</t>
  </si>
  <si>
    <t>Âm nhạc và PP DH âm nhạc - Khóa 58</t>
  </si>
  <si>
    <t>Cơ sở NNH của việc phát triển NN cho trẻ - Khóa 26</t>
  </si>
  <si>
    <t>Sự tăng trưởng và phát triển của trẻ mầm non - Khóa 26</t>
  </si>
  <si>
    <t>Một số vấn đề hiện đại về việc PTNN cho trẻ - K26</t>
  </si>
  <si>
    <t>Chăm sóc, nuôi dưỡng và đảm bảo an toàn cho trẻ MN - K26</t>
  </si>
  <si>
    <t>Phát triển tính tích cực nhận thức cho trẻ thông qua HĐLQVT - K26</t>
  </si>
  <si>
    <t>Phát triển tính tích cực vận động cho trẻ - K26</t>
  </si>
  <si>
    <t>Hướng dẫn luận văn thạc sĩ cao học 26: (6 x35)</t>
  </si>
  <si>
    <t>Tiếng Việt và Phương pháp phát triển NN - K58</t>
  </si>
  <si>
    <t>Dinh dưỡng trẻ em - K58</t>
  </si>
  <si>
    <t>Toán cơ sở - K58, K59</t>
  </si>
  <si>
    <t>Phương pháp hình thành BT toán - K58</t>
  </si>
  <si>
    <t>Âm nhạc và PP DH âm nhạc - Khóa 58, K59</t>
  </si>
  <si>
    <t>Bệnh học trẻ em - K58, K59</t>
  </si>
  <si>
    <t>Phương pháp cho trẻ LMMTXQ - K58, K59</t>
  </si>
  <si>
    <t>Phương pháp giáo duc thể chất cho trẻ - K58, K59</t>
  </si>
  <si>
    <t>Văn học và PP cho trẻ LQTPVH - K58, K59</t>
  </si>
  <si>
    <t>Múa - Khóa 58, K59</t>
  </si>
  <si>
    <t>RLNVSPTX ngành GDTH 3 (280 sv)</t>
  </si>
  <si>
    <t>Số học</t>
  </si>
  <si>
    <t>Đại lượng, đo lường và các tập hợp số</t>
  </si>
  <si>
    <t>Tổ chức hoạt động cho thiếu nhi</t>
  </si>
  <si>
    <t>RLNVSPTX ngành GDTH 4 - K56 (130 sv)</t>
  </si>
  <si>
    <t>Văn học</t>
  </si>
  <si>
    <t>Đạo đức và PPDH Đạo đức</t>
  </si>
  <si>
    <t>RLNVSPTX ngành GDTH 1 (128 SV)</t>
  </si>
  <si>
    <t>Kỹ thuật và PPDH Kỹ thuật</t>
  </si>
  <si>
    <t>Toán chuyên ngành</t>
  </si>
  <si>
    <t>Nghệ thuật tạo hình và thiết kế đồ dùng, đồ chơi cho trẻ</t>
  </si>
  <si>
    <t xml:space="preserve">Việt ngữ học cơ sở </t>
  </si>
  <si>
    <t>Việt ngữ học hiện đại</t>
  </si>
  <si>
    <t xml:space="preserve">Cơ sở Tự nhiên Xã hội </t>
  </si>
  <si>
    <t xml:space="preserve">Toán cơ sở </t>
  </si>
  <si>
    <t>a33</t>
  </si>
  <si>
    <t>Công tác đội thiếu niên TP HCM và Tổ chức HĐ ngoài giờ lên lớp</t>
  </si>
  <si>
    <t>a34</t>
  </si>
  <si>
    <t xml:space="preserve">PPDH Toán ở tiểu học </t>
  </si>
  <si>
    <t>a35</t>
  </si>
  <si>
    <t>a36</t>
  </si>
  <si>
    <t>a37</t>
  </si>
  <si>
    <t>a38</t>
  </si>
  <si>
    <t>RLNVSPTX ngành GDTH 4 - K57 (283 sv)</t>
  </si>
  <si>
    <t>a.39</t>
  </si>
  <si>
    <t>Hướng dẫn luận văn thạc sĩ cao học 25 (11x35tiết)</t>
  </si>
  <si>
    <t>TS. Chu Thị Hà Thanh</t>
  </si>
  <si>
    <t>TS. Nguyễn Thị Châu Giang</t>
  </si>
  <si>
    <t>TS. Bùi Văn Hùng</t>
  </si>
  <si>
    <t>TS. Nguyễn Thị Thu Hằng</t>
  </si>
  <si>
    <t>1,3</t>
  </si>
  <si>
    <t>Thái Văn Thành (7 học viên x 35 tiết/1Hv = 175 tiết)</t>
  </si>
  <si>
    <t>b11</t>
  </si>
  <si>
    <t>Nguyễn Thị Châu Giang (5 học viên x 35 tiết/1Hv = 175 tiết)</t>
  </si>
  <si>
    <t>b12</t>
  </si>
  <si>
    <t>Phạm THị Phú (2 học viên x 35 tiết/1Hv = 175 tiết)</t>
  </si>
  <si>
    <t>b13</t>
  </si>
  <si>
    <t>Tràn Viết Thụ (2 học viên x 35 tiết/1Hv = 175 tiết)</t>
  </si>
  <si>
    <t>Thỉnh giảng (58 học viên x 35 tiết)</t>
  </si>
  <si>
    <t>Dự kiến có 8 NCS thực hiện chuyên đề và tiểu luận tổng quan</t>
  </si>
  <si>
    <t>8 x 3 (chuyên đề) x 60 tiết/1 chuyên đề = 1440 tiết</t>
  </si>
  <si>
    <t>32 NCS x 50 tiết/1 NCS = 1600 tiết</t>
  </si>
  <si>
    <t xml:space="preserve">Quản lý GDTH </t>
  </si>
  <si>
    <t>Quản lý GDMN (khóa 57, sau TN Trung cấp)</t>
  </si>
  <si>
    <t>Quản lý GDMN (khóa 58, sau TN Cao đẳng)</t>
  </si>
  <si>
    <t>Tâm lí học K59</t>
  </si>
  <si>
    <t>Tâm lí học đại cương K59</t>
  </si>
  <si>
    <t>Tâm lí học giáo dục trẻ em K58</t>
  </si>
  <si>
    <t>Tâm lý học thể dục thể thao K57</t>
  </si>
  <si>
    <t>Phát triển nguồn nhân lực là quản lý nhân sự trong giáo dục K56</t>
  </si>
  <si>
    <t>Chuẩn bị cho trẻ vào lớp 1 K58</t>
  </si>
  <si>
    <t>Giao tiếp sư phạm trong trường mầm non K58</t>
  </si>
  <si>
    <t>Tâm lí học tiểu học K59</t>
  </si>
  <si>
    <t>Tâm lí học mầm non K59</t>
  </si>
  <si>
    <t>Giáo dục học Khóa 58</t>
  </si>
  <si>
    <t xml:space="preserve">PPNCKH MN </t>
  </si>
  <si>
    <t>a6</t>
  </si>
  <si>
    <t>Giao dục hòa nhập cho trẻ MN mầm non K56</t>
  </si>
  <si>
    <t>a7</t>
  </si>
  <si>
    <t>Đánh giá trong GD khóa 58</t>
  </si>
  <si>
    <t>Một số vấn đề của GD TH hiện đại</t>
  </si>
  <si>
    <t>Hướng dẫn luận văn Thạc sĩ (25 QLGD)</t>
  </si>
  <si>
    <t>GD học MN K 58</t>
  </si>
  <si>
    <t>Học phần thực hành</t>
  </si>
  <si>
    <t>PLuc8-k4-tr119</t>
  </si>
  <si>
    <t>Hướng dẫn luận văn thạc sĩ cao học 25 (8x35tiết)</t>
  </si>
  <si>
    <t>35t/luận văn-QC1585</t>
  </si>
  <si>
    <t>Tổng toàn Tổ GDTH</t>
  </si>
  <si>
    <t>Tổng toàn Tổ GDMN</t>
  </si>
  <si>
    <t>Tổng giờ tổ TLH</t>
  </si>
  <si>
    <t>Tổng giờ tổ GDH</t>
  </si>
  <si>
    <t>Tổ BM hướng dẫn khóa luận TN (21 sinh viên)</t>
  </si>
  <si>
    <t>1CĐ=60tiết chuẩn</t>
  </si>
  <si>
    <t>31 NCS x 50 tiết/1 NCS = 1550 tiết</t>
  </si>
  <si>
    <t>Tổng giờ QLGD</t>
  </si>
  <si>
    <t>Ghi chú: - KH giảng dạy lập cho cả các lớp dự kiến tuyển mới năm học 2018-2019</t>
  </si>
  <si>
    <t>&gt;1000SV, QC CTNB-tr56</t>
  </si>
  <si>
    <t>Biểu 2 (GV dạy thạc sĩ)</t>
  </si>
  <si>
    <t>Chi cho Đề tài NCKH (không tính cấp Bộ và Nhà nước)</t>
  </si>
  <si>
    <t>PGS. TS. Chu Thị Thủy An</t>
  </si>
  <si>
    <t>TS. Nguyễn Thị Phương Nhung A</t>
  </si>
  <si>
    <t>CN. Nguyễn Thị Thanh Giang</t>
  </si>
  <si>
    <t>ThS. Thái Mạnh Thủy</t>
  </si>
  <si>
    <t>ThS. Nguyễn Thị Phương Nhung B</t>
  </si>
  <si>
    <t>ThS. Phan Anh Tuấn</t>
  </si>
  <si>
    <t>ThS. Nguyễn Thị Thanh Giang</t>
  </si>
  <si>
    <t>TS. Nguyễn Thị Phương Nhung B</t>
  </si>
  <si>
    <t>TS. Trần Thị Hoàng Yến</t>
  </si>
  <si>
    <t>ThS. Nguyễn Thị Thu Hạnh</t>
  </si>
  <si>
    <t>BS. Lê Công Phượng</t>
  </si>
  <si>
    <t>ThS. Phạm Thị Hải Châu</t>
  </si>
  <si>
    <t>ThS. Phạm Thị Huyền</t>
  </si>
  <si>
    <t>TS. Nguyễn Ngọc Hiền</t>
  </si>
  <si>
    <t>ThS. Trần Thị Thúy Nga</t>
  </si>
  <si>
    <t>CN. Phan Huy Hà</t>
  </si>
  <si>
    <t>ThS. Võ Trọng Vinh</t>
  </si>
  <si>
    <t>ThS. Nguyễn Thị Kỳ</t>
  </si>
  <si>
    <t>ThS. Võ Trọng Vinh. ThS. Phan Huy Hà</t>
  </si>
  <si>
    <t>TS. Dương Thị Thanh Thanh</t>
  </si>
  <si>
    <t>TS. Le Thục Anh</t>
  </si>
  <si>
    <t>ThS. Dương Thị Linh</t>
  </si>
  <si>
    <t>TS. Phan Quốc Lâm</t>
  </si>
  <si>
    <t>CN. Trần Hằng Ly</t>
  </si>
  <si>
    <t>ThS. Hồ Thị Hạnh</t>
  </si>
  <si>
    <t>Cả tổ đều tham gia giảng dạy</t>
  </si>
  <si>
    <t>PGS. TS. Nguyễn Thị Hường</t>
  </si>
  <si>
    <t>ThS. Nguyễn Thị Quỳnh Anh</t>
  </si>
  <si>
    <t>ThS. Chu Trọng Tuấn</t>
  </si>
  <si>
    <t>ThS. Nguyễn Trung Kiền</t>
  </si>
  <si>
    <t>TS. Nguyễn Thị Nhân</t>
  </si>
  <si>
    <t>PGS. TS. Nguyễn Như An</t>
  </si>
  <si>
    <t>PGS. TS. Phạm Minh Hùng</t>
  </si>
  <si>
    <t>ThS. Nguyễn Việt Phương</t>
  </si>
  <si>
    <t>ThS. Chế Thị Hải Linh</t>
  </si>
  <si>
    <t>Tên học phần tương ứng</t>
  </si>
  <si>
    <t>Mã HP</t>
  </si>
  <si>
    <t>Số TC</t>
  </si>
  <si>
    <t>Tổng số cán bộ của đơn vị: 39, trong đó:</t>
  </si>
  <si>
    <t>Cán bộ giảng dạy: 37, gồm:</t>
  </si>
  <si>
    <t>Bồi dưỡng thăng hạng Giảng viên</t>
  </si>
  <si>
    <t>Bồi dưỡng Trung cấp lí luận chính trị</t>
  </si>
  <si>
    <t>Hội thi NVSP ngành GDTH, GDMN</t>
  </si>
  <si>
    <t xml:space="preserve">THỐNG KÊ SỐ LƯỢNG SINH VIÊN CHÍNH QUY TẠI TRƯỜNG </t>
  </si>
  <si>
    <t>Đơn vị tính: sinh viên</t>
  </si>
  <si>
    <t>.- Khóa 59</t>
  </si>
  <si>
    <t>.- Khóa 56 (kỹ sư)</t>
  </si>
  <si>
    <t>Số SV DK tuyển mới năm học 2019-2020</t>
  </si>
  <si>
    <t>.-Khóa 26</t>
  </si>
  <si>
    <t>(Tương tự như Đào tạo THPT chuyên, chi tiết đến bậc học từ trẻ nhà trẻ đến mầm non)</t>
  </si>
  <si>
    <t xml:space="preserve">Đại học vừa làm vừa học </t>
  </si>
  <si>
    <t>.- Khóa 56 về trước</t>
  </si>
  <si>
    <t>TS. PHẠM LÊ CƯỜNG</t>
  </si>
  <si>
    <t>KẾ HOẠCH ĐÀO TẠO. GIẢNG DẠY CỦA ĐƠN VỊ TRONG NĂM HỌC 2019-2020</t>
  </si>
  <si>
    <t>(6)=(9)+ (10)+(11)</t>
  </si>
  <si>
    <t>(8)=(3x5x7)</t>
  </si>
  <si>
    <t>(09)=(3)x(5)x 16.5</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</si>
  <si>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</si>
  <si>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</si>
  <si>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</si>
  <si>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</si>
  <si>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Giá đựng tài liệu đặt bàn</t>
  </si>
  <si>
    <t>Phòng sinh hoạt bộ môn</t>
  </si>
  <si>
    <t>phòng</t>
  </si>
  <si>
    <t>Bộ môn GDTH</t>
  </si>
  <si>
    <t>Phòng học thực hành cho CTĐT CDIO</t>
  </si>
  <si>
    <t>Máy chiếu Projector</t>
  </si>
  <si>
    <t>Dùng cho phòng sinh hoạt bộ môn GDTH</t>
  </si>
  <si>
    <t>Tài liệu giáo trình</t>
  </si>
  <si>
    <t>Bộ SGK Lớp 1 CTGDPT mới</t>
  </si>
  <si>
    <t>cuốn</t>
  </si>
  <si>
    <t>Tài liệu tập huấn Bồi dưỡng GV phổ thông dạy học Chương trình GDPT mới</t>
  </si>
  <si>
    <t>Văn phòng phẩm</t>
  </si>
  <si>
    <t>Theo QC CTNB</t>
  </si>
  <si>
    <t>Giá</t>
  </si>
  <si>
    <t>1</t>
  </si>
  <si>
    <t>Bộ</t>
  </si>
  <si>
    <t>100</t>
  </si>
  <si>
    <t>Giải pháp nâng cao năng lực của giáo viên  về giáo dục giới tính cho học sinh tiểu học và THCS</t>
  </si>
  <si>
    <t>Nguyễn Thị Phương Nhung</t>
  </si>
  <si>
    <t>Sinh viên, học viên Nghiên cứu khoa học</t>
  </si>
  <si>
    <t>Các đề tài cấp trường</t>
  </si>
  <si>
    <t>Tên giáo trình/tài liệu học tập 
đăng ký biên soạn, xuất bản</t>
  </si>
  <si>
    <t>Hệ ĐT
ĐH/SĐH</t>
  </si>
  <si>
    <t>Đại học</t>
  </si>
  <si>
    <t xml:space="preserve">                                                                                                                                                                                            TRƯỞNG ĐƠN VỊ</t>
  </si>
  <si>
    <t>Tâm lí học đại cương K60</t>
  </si>
  <si>
    <t>Giao tiếp sư phạm trong trường mầm non K59</t>
  </si>
  <si>
    <t>Giảng viên Phạm Lê Cường</t>
  </si>
  <si>
    <t>TK</t>
  </si>
  <si>
    <t>Cán bộ giảng dạy: 7, gồm:</t>
  </si>
  <si>
    <t>CBGD đảm nhận ĐM giờ giảng viên trở lên: 7….</t>
  </si>
  <si>
    <t>PCTCD</t>
  </si>
  <si>
    <t>Trưởng khoa (-30%)</t>
  </si>
  <si>
    <t>Phó CTCĐ KHoa (-10%)</t>
  </si>
  <si>
    <t>TLĐT(-15%, +HDCM)</t>
  </si>
  <si>
    <t>CTCD</t>
  </si>
  <si>
    <t>CVHT (-15%)</t>
  </si>
  <si>
    <t>Hướng dẫn luận văn Thạc sĩ (Cao học 26QLGD)</t>
  </si>
  <si>
    <t>Quản lý GDMN (sau TN Trung cấp)</t>
  </si>
  <si>
    <t>Quản lý GDMN ( sau TN Cao đẳng)</t>
  </si>
  <si>
    <t>58,56,59</t>
  </si>
  <si>
    <t>Rèn luyện nghiệp vụ quản lý</t>
  </si>
  <si>
    <t>Thực hành, thực tế chuyên môn</t>
  </si>
  <si>
    <t xml:space="preserve">Thực tập sư phạm ngành GDMN </t>
  </si>
  <si>
    <t>8 trường</t>
  </si>
  <si>
    <t>CTHSVT</t>
  </si>
  <si>
    <t>Tổng số cán bộ của đơn vị: 10, trong đó:</t>
  </si>
  <si>
    <t>Cán bộ giảng dạy: ………10, gồm:</t>
  </si>
  <si>
    <t>CBGD đảm nhận ĐM giờ giảng viên trở lên: 10….</t>
  </si>
  <si>
    <t xml:space="preserve"> Việt ngữ học cơ sở </t>
  </si>
  <si>
    <t xml:space="preserve">Bệnh học trẻ em </t>
  </si>
  <si>
    <t xml:space="preserve">Phân tích và PT chương trình GDMN </t>
  </si>
  <si>
    <t xml:space="preserve">Múa </t>
  </si>
  <si>
    <t xml:space="preserve">Văn học thiếu nhi </t>
  </si>
  <si>
    <t xml:space="preserve">Âm nhạc </t>
  </si>
  <si>
    <t xml:space="preserve">Âm nhạc và PP DH âm nhạc </t>
  </si>
  <si>
    <t>Cơ sở NNH của việc phát triển NN cho trẻ - Khóa 27</t>
  </si>
  <si>
    <t>Sự tăng trưởng và phát triển của trẻ mầm non - khóa 27</t>
  </si>
  <si>
    <t>Một số vấn đề hiện đại về việc PTNN cho trẻ - K27</t>
  </si>
  <si>
    <t>Chăm sóc, nuôi dưỡng và đảm bảo an toàn cho trẻ MN - K27</t>
  </si>
  <si>
    <t>Sử dụng tác phẩm văn học trong trường MN - K27</t>
  </si>
  <si>
    <t>Phát triển tính tích cực nhận thức cho trẻ thông qua HĐLQVT - K27</t>
  </si>
  <si>
    <t>Phát triển tính tích cực vận động cho trẻ - K27</t>
  </si>
  <si>
    <t>Công tác đội TNTP HCM và tổ chức HĐ ngoài giờ lên lớp</t>
  </si>
  <si>
    <t>Kỹ thuật và PPDH kỹ thuật ở tiểu học</t>
  </si>
  <si>
    <t xml:space="preserve">Thực hành phương pháp dạy học bộ môn </t>
  </si>
  <si>
    <t>Đạo đức và phương pháp dạy học đạo đức</t>
  </si>
  <si>
    <t>Giáo dục sức khỏe</t>
  </si>
  <si>
    <t xml:space="preserve">Phương pháp dạy học Tiếng Việt </t>
  </si>
  <si>
    <t xml:space="preserve">Tổ chức hoạt động trải nghiệm sáng tạo </t>
  </si>
  <si>
    <t>Từ Hán - Việt</t>
  </si>
  <si>
    <t xml:space="preserve">Âm nhạc và phương pháp dạy học Âm nhạc </t>
  </si>
  <si>
    <t xml:space="preserve">Phương pháp dạy học Toán </t>
  </si>
  <si>
    <t xml:space="preserve">Phương pháp dạy học Tự nhiên - Xã hội </t>
  </si>
  <si>
    <t>Rèn luyện nghiệp vụ sư phạm 2</t>
  </si>
  <si>
    <t>Toán cơ sở</t>
  </si>
  <si>
    <t>Hình học sơ cấp</t>
  </si>
  <si>
    <t>Đại số sơ cấp</t>
  </si>
  <si>
    <t>Rèn luyện nghiệp vụ sư phạm 1</t>
  </si>
  <si>
    <t xml:space="preserve">Văn học </t>
  </si>
  <si>
    <t xml:space="preserve">Cơ sở tự nhiên xã hội </t>
  </si>
  <si>
    <t xml:space="preserve">Cơ sở Tự nhiên xã hội </t>
  </si>
  <si>
    <t>Trường TH</t>
  </si>
  <si>
    <r>
      <t xml:space="preserve">Ghi chú: </t>
    </r>
    <r>
      <rPr>
        <sz val="11"/>
        <rFont val="Times New Roman"/>
        <family val="1"/>
      </rPr>
      <t>Các nội dung hoạt động đào tạo đề nghị Nhà trường cấp kinh phí phải căn cứ Quy chế CTNB để lập dự toán thuyết minh chi tiết kèm theo của từng hoạt động, như: kiến tập, thực tập sư phạm hoặc thực tập nghề; Thực hành - Thí nghiệm; đi thực tế của sinh viên; ....Các đơn vị phải lập dự toán chi tiết kèm theo cho từng hoạt động và xếp theo thứ tự ưu tiên về sự cần thiết, bắt buộc phải thực hiện theo chương trình đào tạo</t>
    </r>
  </si>
  <si>
    <t>Có 1 giảng viên đi học, cụ thể:</t>
  </si>
  <si>
    <t>NCS không tập trung trong nước (12/2019-12/2022)</t>
  </si>
  <si>
    <t>CVHT (-15%, +HĐCM)</t>
  </si>
  <si>
    <t>Thạc sĩ không tập trung tại trường ĐHV</t>
  </si>
  <si>
    <t>CBGD đảm nhận ĐM giờ khác: ……1…</t>
  </si>
  <si>
    <t>Dự kiến số lượng CB, GV nghỉ hưu 1</t>
  </si>
  <si>
    <t>1. Đào tạo ngoài trường nhân với hệ số 0.65; đối với các khoa, viện tự tổ chức thì nhân hệ số 0.30</t>
  </si>
  <si>
    <t>2. TT GDTX tổng hợp kinh phí của các hội đồng tổ chức thi do Tổ Đào tạo và VP. Đại diện Thanh Hóa trên mục thu của mình</t>
  </si>
  <si>
    <t>Nghệ An, ngày       tháng     năm 2019</t>
  </si>
  <si>
    <t>CBGD đảm nhận ĐM giờ tập sự (thử việc): 0</t>
  </si>
  <si>
    <t>CBGD đảm nhận ĐM giờ giảng viên trở lên: 36</t>
  </si>
  <si>
    <r>
      <rPr>
        <b/>
        <sz val="12"/>
        <color indexed="8"/>
        <rFont val="Times New Roman"/>
        <family val="1"/>
      </rPr>
      <t>Ghi chú:</t>
    </r>
    <r>
      <rPr>
        <sz val="12"/>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</si>
  <si>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TS. PHAM LÊ CƯỜNG</t>
  </si>
  <si>
    <t>CBGD đảm nhận ĐM giờ giảng viên: …36….</t>
  </si>
  <si>
    <t xml:space="preserve">Phòng Thanh tra - Pháp chế </t>
  </si>
  <si>
    <t>Các khoản hỗ trợ đi học tiến sỹ, đào tạo ngắn hạn</t>
  </si>
  <si>
    <t>EDU20027</t>
  </si>
  <si>
    <t>Bồi dưỡng CBQL giáo dục và bồi dưỡng cấp chứng chỉ NVSP</t>
  </si>
  <si>
    <t>Khoa tổ chức</t>
  </si>
  <si>
    <t>Tư vấn học đường</t>
  </si>
  <si>
    <t>Phương pháp giáo dục thể chất cho trẻ MN (bao gồm lớp Vĩnh Long)</t>
  </si>
  <si>
    <t>Tự đánh giá chương trình đào tạo ngành GDH</t>
  </si>
  <si>
    <t>02 GV đào tạo trung cấp lí luận chính trị</t>
  </si>
  <si>
    <t>Bồi dưỡng nâng cao năng lực ngoại ngữ  (4 Giảng viên đng tham gia đề án nâng cao năng lực ngoại ngữ)</t>
  </si>
  <si>
    <t>Biểu 8 (30% chi tối đa về Khoa)</t>
  </si>
  <si>
    <t>Chi các khoản liên quan đến đào tạo, bồi dưỡng và cấp chứng chỉ</t>
  </si>
  <si>
    <t>Dự kiến số lượng tuyển mới:     01</t>
  </si>
  <si>
    <t>Mời thỉnh giảng: 01</t>
  </si>
  <si>
    <t>NĂM HỌC 2020 - 2021</t>
  </si>
  <si>
    <t>.- Khóa 57 về trước</t>
  </si>
  <si>
    <t>.- Khóa 60</t>
  </si>
  <si>
    <r>
      <t xml:space="preserve">Tổng cộng số SV, HV có mặt NH </t>
    </r>
    <r>
      <rPr>
        <sz val="10"/>
        <color theme="1"/>
        <rFont val="Times New Roman"/>
        <family val="1"/>
      </rPr>
      <t>2019-2020</t>
    </r>
    <r>
      <rPr>
        <b/>
        <sz val="10"/>
        <color theme="1"/>
        <rFont val="Times New Roman"/>
        <family val="1"/>
      </rPr>
      <t xml:space="preserve"> (Tổng HSSV tất cả các bậc, hình thức đào tạo: A+B)</t>
    </r>
  </si>
  <si>
    <t>Khóa 27</t>
  </si>
  <si>
    <t>Số SV DK tuyển mới năm học 2020-2021</t>
  </si>
  <si>
    <t>Số HV có mặt đến ngày 01/8/2020, gồm:</t>
  </si>
  <si>
    <t>.- Khóa 27 về trước (không tính số K26 BV năm 2020)</t>
  </si>
  <si>
    <t>.- Khóa 28</t>
  </si>
  <si>
    <t>Số HV DK tuyển mới năm học 2020-2021</t>
  </si>
  <si>
    <t>Số học viên ra trường trong năm học 2020-2021</t>
  </si>
  <si>
    <t>Số NCS có mặt đến ngày 01/8/2020, gồm:</t>
  </si>
  <si>
    <t>.-Khóa 24 về trước</t>
  </si>
  <si>
    <t>.-Khóa 27</t>
  </si>
  <si>
    <t>Số NCS DK tuyển mới năm học 2020-2021</t>
  </si>
  <si>
    <t>KẾ HOẠCH TUYỂN SINH NĂM HỌC 2020-2021</t>
  </si>
  <si>
    <t>Số SV có mặt đến ngày 01/8/2020, gồm:</t>
  </si>
  <si>
    <t>Số học sinh có mặt đến ngày 01/8/2020, gồm:</t>
  </si>
  <si>
    <t>.-Khóa 53 (Lớp 12)</t>
  </si>
  <si>
    <t>.-Khóa 54 (Lớp 11)</t>
  </si>
  <si>
    <t>Số học sinh tuyển mới năm học 2020-2021</t>
  </si>
  <si>
    <t>Tổng cộng số SV, HV có mặt NH 2020-2021 (Tổng HSSV tất cả các bậc, hình thức đào tạo: A+B)</t>
  </si>
  <si>
    <t xml:space="preserve">.- Khóa 61 </t>
  </si>
  <si>
    <t>Kỹ thuật dạy học và ứng dụng CNTT trong dạy học</t>
  </si>
  <si>
    <t>Phương pháp DH Thể dục và tổ chức trò chơi vận động cho học sinh</t>
  </si>
  <si>
    <t>Bồi dưỡng năng lực cảm thụ văn học và tư duy toán học cho học sinh</t>
  </si>
  <si>
    <t xml:space="preserve"> Công tác chủ nhiệm lớp và Sinh hoạt tổ chuyên môn trong trường tiểu học</t>
  </si>
  <si>
    <t>Số SV DK tuyển mới năm học 2020-2021 (tính cả VB2)</t>
  </si>
  <si>
    <t>Hướng dẫn luận văn thạc sĩ cao học 27 (15x35)</t>
  </si>
  <si>
    <t>Phương pháp dạy học Tin học và Công nghệ</t>
  </si>
  <si>
    <t>PPDH Mỹ thuật</t>
  </si>
  <si>
    <t>PPDH Âm nhạc</t>
  </si>
  <si>
    <t>Nghệ An, ngày ….. tháng ….. năm 2020</t>
  </si>
  <si>
    <t>58TH</t>
  </si>
  <si>
    <t>58, 59, 60 TH</t>
  </si>
  <si>
    <t>Có 4 Giảng viên, trong đó:</t>
  </si>
  <si>
    <t>CBGD đảm nhận ĐM giờ giáo viên:1</t>
  </si>
  <si>
    <t>CBGD đảm nhận ĐM giờ giảng viên trở lên: 8….</t>
  </si>
  <si>
    <t>Có 9 Giảng viên, trong đó: 01 PGS. TS: 05 TS; 03 ThS.</t>
  </si>
  <si>
    <t>Dự kiến số lượng giảng viên nghỉ hưu: 01</t>
  </si>
  <si>
    <t>TỔNG HP SỐ GIỜ QUY CHUẨN TỔ GIÁO DỤC HỌC PHẢI ĐẢM NHẬN GIẢNG DẠY NĂM HỌC 2020-2021</t>
  </si>
  <si>
    <t>Tổng số cán bộ của đơn vị: 4, trong đó:</t>
  </si>
  <si>
    <t>Cán bộ giảng dạy: ………4……….., gồm:</t>
  </si>
  <si>
    <t>CBGD đảm nhận ĐM giờ giảng viên trở lên: 4</t>
  </si>
  <si>
    <t>Có 01 giảng viên đi học, cụ thể:</t>
  </si>
  <si>
    <t>CÔNG TÁC TỔ CHỨC CÁN BỘ VÀ KẾ HOẠCH HỌC TẬP, BỒI DƯỠNG NĂM HỌC 2020-2021</t>
  </si>
  <si>
    <t>Nghiên cứu biện pháp quản lí hoạt động xây dựng văn hóa nhà trường ở trường Đại học Vinh</t>
  </si>
  <si>
    <t xml:space="preserve"> BT LCĐ (-20%), Chủ tịch HSV Trường(-60%)</t>
  </si>
  <si>
    <t>Tiếng Việt và Phương pháp phát triển NN - K59, 60,61</t>
  </si>
  <si>
    <t>Dinh dưỡng trẻ em -  60,61</t>
  </si>
  <si>
    <t>Toán cơ sở - K60, 61</t>
  </si>
  <si>
    <t>Phương pháp hình thành BT toán - K60, 61</t>
  </si>
  <si>
    <t>Âm nhạc và PP DH âm nhạc - Khóa K60, 61</t>
  </si>
  <si>
    <t>Bệnh học trẻ em - K60,61</t>
  </si>
  <si>
    <t>Phương pháp cho trẻ LMMTXQ -  K60, 61</t>
  </si>
  <si>
    <t>Phương pháp giáo duc thể chất cho trẻ - K60,61</t>
  </si>
  <si>
    <t>Văn học và PP cho trẻ LQTPVH - K60, 61</t>
  </si>
  <si>
    <t>Múa - Khóa K60, 61</t>
  </si>
  <si>
    <t xml:space="preserve">Phương pháp phát triển ngôn ngữ </t>
  </si>
  <si>
    <t xml:space="preserve">Phương pháp hình thành biểu tượng toán </t>
  </si>
  <si>
    <t xml:space="preserve">Phương pháp cho trẻ LQMTXQ </t>
  </si>
  <si>
    <t>Phương pháp cho trẻ LQTPVH</t>
  </si>
  <si>
    <t xml:space="preserve"> Phương pháp giáo dục âm nhạc cho trẻ MN  </t>
  </si>
  <si>
    <t>Hướng dẫn luận văn thạc sĩ cao học 27: (43 x35)</t>
  </si>
  <si>
    <t>K58</t>
  </si>
  <si>
    <t>K58, 59</t>
  </si>
  <si>
    <t>THSP ĐH Vinh và MN8 VL</t>
  </si>
  <si>
    <t>Dây nguồn Đàn</t>
  </si>
  <si>
    <t>Nghệ An, ngày      tháng      năm 2020</t>
  </si>
  <si>
    <t>BẢNG TỔNG HỢP TÀI SẢN, CÔNG CỤ, DỤNG CỤ ĐỀ NGHỊ NHÀ TRƯỜNG MUA SẮM NĂM HỌC 2020-2021</t>
  </si>
  <si>
    <t>Có 0 giảng viên đi học:</t>
  </si>
  <si>
    <t>Tâm lí học K61</t>
  </si>
  <si>
    <t>Tâm lí học giáo dục trẻ em K60</t>
  </si>
  <si>
    <t>Tâm lý học thể dục thể thao K59</t>
  </si>
  <si>
    <t>Nhân cách và lao động của người cán bộ quản lý K60</t>
  </si>
  <si>
    <t>Tâm lí-giáo dục học quân sự K59</t>
  </si>
  <si>
    <t>Giao tiếp sư phạm k60</t>
  </si>
  <si>
    <t>Tâm lý học quản lý K60</t>
  </si>
  <si>
    <t>Chuẩn bị cho trẻ vào lớp 1 K60</t>
  </si>
  <si>
    <t>Giao tiếp sư phạm trong trường mầm non K60</t>
  </si>
  <si>
    <t>Kiến tập sư phạm K59</t>
  </si>
  <si>
    <t>RLNVSPTX ngành GDTH 1 K60</t>
  </si>
  <si>
    <t>Tâm lí học tiểu học K60, K61</t>
  </si>
  <si>
    <t>Tâm lí học mầm non K60, K61</t>
  </si>
  <si>
    <t xml:space="preserve">Ưu tiên nam giới. Tốt nghiệp thạc sĩ trở lên. Tốt nghiệp Đại học trường: ĐHSP Hà Nội; ĐH KHXH và Nhân văn; ĐHSP TP Hồ Chí Minh (Không yêu cầu tốt nghiệp đại học bằng giỏi) </t>
  </si>
  <si>
    <t>Nghệ An, ngày    tháng     năm 2020</t>
  </si>
  <si>
    <t>Đinh Xuân KHoa (2 học viên x 35 tiết/1Hv = 175 tiết)</t>
  </si>
  <si>
    <t>Thỉnh giảng (75 học viên x 35 tiết)</t>
  </si>
  <si>
    <t>27 NCS x 50 tiết/1 NCS = 1350 tiết</t>
  </si>
  <si>
    <t>Ghi chú: - KH giảng dạy lập cho cả các lớp dự kiến tuyển mới năm học 2020-2021</t>
  </si>
  <si>
    <t>TỔNG HỢP SỐ GIỜ QUY CHUẨN NGÀNH GDMN PHẢI ĐẢM NHẬN GIẢNG DẠY NĂM HỌC 2020-2021</t>
  </si>
  <si>
    <t>TỔNG HỢP SỐ GIỜ QUY CHUẨN TỔ QUẢN LÝ GIÁO DỤC PHẢI ĐẢM NHẬN GIẢNG DẠY NĂM HỌC 2020-2021</t>
  </si>
  <si>
    <t>TỔNG HỢP SỐ GIỜ QUY CHUẨN TỔ TÂM LÝ HỌC PHẢI ĐẢM NHẬN GIẢNG DẠY NĂM HỌC 2020-2021</t>
  </si>
  <si>
    <t>TỔNG HỢP SỐ GIỜ QUY CHUẨN ĐƠN VỊ PHẢI ĐẢM NHẬN GIẢNG DẠY NĂM HỌC 2020-2021</t>
  </si>
  <si>
    <t>KẾ HOẠCH ĐÀO TẠO. GIẢNG DẠY CỦA ĐƠN VỊ TRONG NĂM HỌC 2020-2021</t>
  </si>
  <si>
    <t>Nghệ An, ngày       tháng       năm 2020</t>
  </si>
  <si>
    <t>TỔNG HỢP SỐ GIỜ QUY CHUẨN NGÀNH GIÁO DỤC TIỂU HỌC PHẢI ĐẢM NHẬN GIẢNG DẠY NĂM HỌC 2020-2021</t>
  </si>
  <si>
    <t>Có 7 Giảng viên, trong đó:</t>
  </si>
  <si>
    <t>Dự kiến số lượng tuyển mới ………08..</t>
  </si>
  <si>
    <t>Tổng số cán bộ của đơn vị: 38, trong đó:</t>
  </si>
  <si>
    <t>Cán bộ giảng dạy: 35, gồm:</t>
  </si>
  <si>
    <t>Cộng toàn khoa có 2 CB, GV đi học, trong đó:</t>
  </si>
  <si>
    <t>5 giảng viên đào tạo thăng hạng giảng viên hạng II</t>
  </si>
  <si>
    <t>Có 1 đi học ThS không tập trung trong nước, 1 đi học TS không tập trung trong nước, và 07 giảng viên dự kiến sẽ đi đào tạo, bồi dưỡng khác</t>
  </si>
  <si>
    <t>KẾ HOẠCH ĐĂNG KÝ NGHIÊN CỨU KHOA HỌC NĂM HỌC 2020-2021</t>
  </si>
  <si>
    <t>Máy tính để bàn (Trợ lý Đảm bảo chất lượng)</t>
  </si>
  <si>
    <t>Tiếng Anh B1
Đảm bảo chất lượng</t>
  </si>
  <si>
    <t>BS. Lê Công Phượng nghỉ hưu từ tháng năm 2021</t>
  </si>
  <si>
    <t>Dự kiến số lượng tuyển mới 01</t>
  </si>
  <si>
    <t xml:space="preserve"> Giảng dạy Dinh dưỡng trẻ em và Bệnh học trẻ em</t>
  </si>
  <si>
    <t>Có 10 Giảng viên, trong đó: 2 TS, 2 NCS, 1 bác sỹ, 5 Thạc sỹ.</t>
  </si>
  <si>
    <t>Giảng dạy môn PPDH Tự nhiên xã hội</t>
  </si>
  <si>
    <t>4.2</t>
  </si>
  <si>
    <t>Giảng dạy môn Tiếng Việt</t>
  </si>
  <si>
    <t>4.3</t>
  </si>
  <si>
    <t>Giảng dạy môn Nghệ Thuật</t>
  </si>
  <si>
    <t>Tốt nghiệp ĐH các ngành Âm nhạc, Mỹ thuật (loại khá hoặc có bằng thạc sĩ đúng chuyên ngành)</t>
  </si>
  <si>
    <t>Dự kiến số lượng tuyển mới: 03</t>
  </si>
  <si>
    <t>Tốt nghiệp ĐH ngành GDTH (loại giỏi hoặc loại khá và có bằng thạc sĩ đúng chuyên ngành, ưu tiên tuyển thẳng có bằng Tiến sỹ phù hợp với chuyên ngành)</t>
  </si>
  <si>
    <t>Tốt nghiệp ĐH ngành Ngữ văn (loại giỏi hoặc loại khá và có bằng thạc sĩ đúng chuyên ngành, ưu tiên tuyển thẳng có bằng Tiến sỹ phù hợp với chuyên ngành)</t>
  </si>
  <si>
    <t>Tốt nghiệp đại học đúng chuyên ngành (loại giỏi hoặc loại khá và có bằng thạc sĩ GDH)</t>
  </si>
  <si>
    <t>Dự kiến số lượng tuyển mới: 02</t>
  </si>
  <si>
    <t>Nghệ An, ngày     tháng     năm 2020</t>
  </si>
  <si>
    <r>
      <t xml:space="preserve">Ghi chú: </t>
    </r>
    <r>
      <rPr>
        <sz val="10"/>
        <color indexed="8"/>
        <rFont val="Times New Roman"/>
        <family val="1"/>
      </rPr>
      <t>Các nội dung mua sắm phải có dự toán thuyết minh chi tiết kèm theo, trong đó nêu rõ sự cần thiết phải mua sắm. 
- Đối với việc lập dự trù mua sắm các thiết bị THTN, các khoa viện trao đổi với TT THTN để lên dự toán phù hợp.
- Đối với việc lập dự trù giáo trình theo CDIO, các khoa, viện trao đổi với Phòng Đào tạo, TT Thư viện để lên dự toán cho phù hợp
- Đối với các bảo dưỡng, bảo trì lớn, các đơn vị đầu mối trực tiếp lên dự trù như TT THTN, TT CNTT, Phòng Quản trị &amp; Đầu tư</t>
    </r>
  </si>
  <si>
    <t xml:space="preserve">  BỘ GIÁO DỤC VÀ ĐÀO TẠO</t>
  </si>
  <si>
    <t>CỘNG HOÀ XÃ HỘI CHỦ NGHĨA VIỆT NAM</t>
  </si>
  <si>
    <t>Độc lập - Tự do - Hạnh phúc</t>
  </si>
  <si>
    <t>BẢN DỰ TRÙ KINH PHÍ TTSP NGÀNH GDTH NĂM HỌC 2020 - 2021 (K58)</t>
  </si>
  <si>
    <t>Tại 6 trường tiểu học</t>
  </si>
  <si>
    <t>Nội dung chi</t>
  </si>
  <si>
    <t>Kinh phí</t>
  </si>
  <si>
    <r>
      <t>HƯỚNG DẪN THỰC TẬP</t>
    </r>
    <r>
      <rPr>
        <sz val="10"/>
        <rFont val="Times New Roman"/>
        <family val="1"/>
        <charset val="163"/>
      </rPr>
      <t xml:space="preserve">:  </t>
    </r>
  </si>
  <si>
    <t xml:space="preserve"> Hướng dẫn thực tập giảng dạy: </t>
  </si>
  <si>
    <t>tiết</t>
  </si>
  <si>
    <t>10 tiết x 130 SV</t>
  </si>
  <si>
    <t xml:space="preserve">Hướng dẫn thực tập giáo dục:   </t>
  </si>
  <si>
    <t>8 tiết x 130 SV</t>
  </si>
  <si>
    <t xml:space="preserve"> BỒI DƯỠNG BAN CHỈ ĐẠO TRƯỜNG</t>
  </si>
  <si>
    <t>Trưởng ban</t>
  </si>
  <si>
    <t xml:space="preserve">25.000 đ x 5 tiết x 8 tuần x 6 đoàn </t>
  </si>
  <si>
    <t>Phó ban</t>
  </si>
  <si>
    <t xml:space="preserve">22.000 đ x 3 tiết x 8 tuần x 2 người x 6 đoàn </t>
  </si>
  <si>
    <t>Tổng phụ trách Đội</t>
  </si>
  <si>
    <t xml:space="preserve">25.000đ/tiết  x  1 tiết/tuần  x  8  tuần x 6 đoàn </t>
  </si>
  <si>
    <t xml:space="preserve">Nhóm trưởng bộ môn </t>
  </si>
  <si>
    <t>đoàn</t>
  </si>
  <si>
    <t>300,000đ/đoàn  x 6 đoàn</t>
  </si>
  <si>
    <t>Bồi dưỡng báo cáo viên</t>
  </si>
  <si>
    <t xml:space="preserve">100.000 đồng x 2 báo cáo x 6 đoàn </t>
  </si>
  <si>
    <t xml:space="preserve">200.000 đồng x 6 đoàn </t>
  </si>
  <si>
    <t>Chuẩn bị văn bản, liên hệ đón tiếp SV</t>
  </si>
  <si>
    <t xml:space="preserve">150.000 đồng x 6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</si>
  <si>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</si>
  <si>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</si>
  <si>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</si>
  <si>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</si>
  <si>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</si>
  <si>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</si>
  <si>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</si>
  <si>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130 sinh viên </t>
  </si>
  <si>
    <t>Bồi dưỡng Trưởng, phó đoàn</t>
  </si>
  <si>
    <t>Trưởng đoàn</t>
  </si>
  <si>
    <t xml:space="preserve">Phó đoàn     </t>
  </si>
  <si>
    <t xml:space="preserve">100.000 đồng x 6 đoàn </t>
  </si>
  <si>
    <t>KP LIÊN HỆ ĐỊA BÀN TH/TẬP, HỘI NGHỊ TRIỂN KHAI, SƠ KẾT, TỔNG KẾT</t>
  </si>
  <si>
    <t>Liên hệ</t>
  </si>
  <si>
    <t>Phòng GD</t>
  </si>
  <si>
    <t>Phòng</t>
  </si>
  <si>
    <t xml:space="preserve">500.000 đồng x 1 phòng GD </t>
  </si>
  <si>
    <t>Trường</t>
  </si>
  <si>
    <t>trường</t>
  </si>
  <si>
    <t xml:space="preserve">100.000 đồng x 14 trường         </t>
  </si>
  <si>
    <t>Hội nghị</t>
  </si>
  <si>
    <t xml:space="preserve">50.000 đồng x 18 đại biểu x 6 hội nghị </t>
  </si>
  <si>
    <t>50.000 đồng x 15 đại biểu x  6 hội nghị</t>
  </si>
  <si>
    <t>500.000 đồng x 1 phòng GD x 6 hội nghị</t>
  </si>
  <si>
    <t>Một trăm hai mươi tư triệu không trăm năm mươi tư ngàn đồng</t>
  </si>
  <si>
    <t>Nghệ An, ngày</t>
  </si>
  <si>
    <t>10 tháng 8 năm 2020</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</si>
  <si>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</si>
  <si>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</si>
  <si>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t>
  </si>
  <si>
    <t>DỰ TOÁN KINH PHÍ</t>
  </si>
  <si>
    <t>Nội dung công việc: Kinh phí RLNVSPTX ngành GDTH Khóa  59, 58 - Kì 1 năm học 2020- 2021</t>
  </si>
  <si>
    <t>NỘI DUNG</t>
  </si>
  <si>
    <t>Đơn vị
tính</t>
  </si>
  <si>
    <t>Số tín chỉ/
Số tiết</t>
  </si>
  <si>
    <t>Số
lượng</t>
  </si>
  <si>
    <t>Đơn giá/
tiết</t>
  </si>
  <si>
    <t>Hệ số
học phí</t>
  </si>
  <si>
    <t>Yêu cầu chứng từ thanh toán</t>
  </si>
  <si>
    <t>Văn bản
áp dụng</t>
  </si>
  <si>
    <t>(5)=(1)*(2)*(3)*(4)</t>
  </si>
  <si>
    <t>E</t>
  </si>
  <si>
    <t>TỔNG THU</t>
  </si>
  <si>
    <t>Tổng thu học phần: "RLNVSP TX 2,4" - khóa 58,59 - CQ</t>
  </si>
  <si>
    <t>SV</t>
  </si>
  <si>
    <t>Ngành SP GDTH không thu HP, xác nhận của kế toán theo dõi học phí;</t>
  </si>
  <si>
    <t>Hệ số học phí theo QĐ 2792</t>
  </si>
  <si>
    <t>DỰ TOÁN CHI
(Tối đa = 80% x 192,150,000 = 152,120,000)</t>
  </si>
  <si>
    <t>Điều 50, QCCTNB (VB Bổ sung)</t>
  </si>
  <si>
    <t>Bồi dưỡng cho giảng viên Đại học Vinh
(=1+2+3)</t>
  </si>
  <si>
    <t>Giảng viên hướng dẫn RLNVSP</t>
  </si>
  <si>
    <t>Hướng dẫn RLNVSP tại các trường TH</t>
  </si>
  <si>
    <t>ThS. Nguyễn Thị Phương Nhung - HSL:3</t>
  </si>
  <si>
    <t xml:space="preserve">
 - Lịch RLNVSPTX chi tiết;
- Tính vào giờ dạy, không chi trả bằng tiền mặt;
 - QĐ 3465/QĐ-ĐHV ngày 21/9/2017v/v thành lập đoàn RLNVSPTX;</t>
  </si>
  <si>
    <r>
      <rPr>
        <b/>
        <u/>
        <sz val="12"/>
        <color indexed="8"/>
        <rFont val="Times New Roman"/>
        <family val="1"/>
      </rPr>
      <t xml:space="preserve">Ghi chú: </t>
    </r>
    <r>
      <rPr>
        <sz val="12"/>
        <color indexed="8"/>
        <rFont val="Times New Roman"/>
        <family val="1"/>
      </rPr>
      <t>Đối với</t>
    </r>
    <r>
      <rPr>
        <b/>
        <u/>
        <sz val="12"/>
        <color indexed="8"/>
        <rFont val="Times New Roman"/>
        <family val="1"/>
      </rPr>
      <t xml:space="preserve"> </t>
    </r>
    <r>
      <rPr>
        <sz val="12"/>
        <color indexed="8"/>
        <rFont val="Times New Roman"/>
        <family val="1"/>
      </rPr>
      <t>K58, 59 Chương trình đào tạo theo tiếp cận CDIO, Rèn luyện NVSPTX1, 2: 02 Tín chỉ ;                               - Phụ lục 08, QCCTNB</t>
    </r>
  </si>
  <si>
    <t>ThS Phan Anh Tuấn</t>
  </si>
  <si>
    <t>TS. Nguyễn Thị Phương Nhung  - HSL:3.66</t>
  </si>
  <si>
    <t>ThS. Dương Thị Linh  - HSL:3.66</t>
  </si>
  <si>
    <t>Chấm, nhập điểm bài tập thực hành</t>
  </si>
  <si>
    <t>Nhật kí RLNVSP</t>
  </si>
  <si>
    <t xml:space="preserve">bài </t>
  </si>
  <si>
    <t>Danh sách ký nhận tiền</t>
  </si>
  <si>
    <t>Bài tập NCKH</t>
  </si>
  <si>
    <t>Vở Luyện viết chữ đẹp</t>
  </si>
  <si>
    <t>d</t>
  </si>
  <si>
    <t>Đồ án</t>
  </si>
  <si>
    <t>e</t>
  </si>
  <si>
    <t>Phiếu trắc nghiệm</t>
  </si>
  <si>
    <t>Tổ chức họp, hướng dẫn RLNVSP</t>
  </si>
  <si>
    <t>đợt</t>
  </si>
  <si>
    <t>Liên hệ Phòng GD&amp;ĐT TP. Vinh</t>
  </si>
  <si>
    <t>BCĐ, GV kiểm tra, đánh giá</t>
  </si>
  <si>
    <t>Kinh phí chi cho cơ sở RLNVSPTX</t>
  </si>
  <si>
    <t>Tiểu học Hồng Sơn</t>
  </si>
  <si>
    <t>Tiểu học Bến Thủy</t>
  </si>
  <si>
    <t xml:space="preserve"> - Giấy biên nhận tiền của trường</t>
  </si>
  <si>
    <t>Tiểu học Hưng Dũng 1</t>
  </si>
  <si>
    <t xml:space="preserve"> TH; Có xác nhận của cơ quan;</t>
  </si>
  <si>
    <t>Tiểu học Trường Thi</t>
  </si>
  <si>
    <t>Tiểu học Hưng Dũng 2</t>
  </si>
  <si>
    <t>Tiểu học Quang Trung</t>
  </si>
  <si>
    <t>Tiểu học Đông Vịnh</t>
  </si>
  <si>
    <t>CHÊNH LỆCH THU CHI</t>
  </si>
  <si>
    <t>Số tiền bằng chữ dự kiến chi:                        Một trăm mười tám triệu ba trăm ngàn đồng</t>
  </si>
  <si>
    <t>Nghệ An, ngày 30  tháng 7 năm 2020</t>
  </si>
  <si>
    <t>Người lập dự toán             Trưởng khoa</t>
  </si>
  <si>
    <t>Phòng Đào tạo                       Kế toán theo dõi học phí                         TP.KHTC                    Ban Giám hiệu duyệt</t>
  </si>
  <si>
    <t>TRƯỜNG RLNVSP</t>
  </si>
  <si>
    <t xml:space="preserve">LỚP TÍN CHỈ </t>
  </si>
  <si>
    <t xml:space="preserve">SỐ LƯỢNG SV  </t>
  </si>
  <si>
    <t>SỐ NHÓM</t>
  </si>
  <si>
    <t xml:space="preserve">B/DƯỠNG BCĐ </t>
  </si>
  <si>
    <t>B/D  B/CÁO VIÊN</t>
  </si>
  <si>
    <t>B/D. GVHD C/NHIỆM</t>
  </si>
  <si>
    <t>B/D. GV DẠY MẪU</t>
  </si>
  <si>
    <t>B/D. HD SOẠN -G/ÁN</t>
  </si>
  <si>
    <t>KP TẬP GIẢNG</t>
  </si>
  <si>
    <t>B/D.TỔ TRƯỞNG C/MÔN</t>
  </si>
  <si>
    <t>TỔNG SỐ TIỀN</t>
  </si>
  <si>
    <t xml:space="preserve">450.000đ/đoàn  </t>
  </si>
  <si>
    <t>50000đ/bc*4 bc</t>
  </si>
  <si>
    <t xml:space="preserve">30.000đ/sv  </t>
  </si>
  <si>
    <t xml:space="preserve">50.000đ/tiết    </t>
  </si>
  <si>
    <t>40.000đ/b/ nhóm</t>
  </si>
  <si>
    <t>30.000đ/sv</t>
  </si>
  <si>
    <t>50.000đ/tổ</t>
  </si>
  <si>
    <t>60A1-01-TH</t>
  </si>
  <si>
    <t>60A1-02-TH</t>
  </si>
  <si>
    <t>60A1-03-TH</t>
  </si>
  <si>
    <t>60A1-04-TH</t>
  </si>
  <si>
    <t>Tiểu học Hưng Đông</t>
  </si>
  <si>
    <t>Tiểu học Cửa Nam</t>
  </si>
  <si>
    <t>60A1-05-TH</t>
  </si>
  <si>
    <t>60A1-06-TH</t>
  </si>
  <si>
    <t>59A1-01-TH</t>
  </si>
  <si>
    <t>59A1-02-TH</t>
  </si>
  <si>
    <t>59A1-03-TH</t>
  </si>
  <si>
    <t>59A1-04-TH</t>
  </si>
  <si>
    <t>59A1-05-TH</t>
  </si>
  <si>
    <t>59A1-06-TH</t>
  </si>
  <si>
    <t>59A1-07-TH</t>
  </si>
  <si>
    <t>59A1-08-TH</t>
  </si>
  <si>
    <t>Nghệ An, ngày 30/07/2020</t>
  </si>
  <si>
    <t xml:space="preserve">  BGH DUYỆT              PHÒNG KH-TC                           PHÒNG ĐÀO TẠO         TRƯỞNG K. GIÁO DỤC               NGƯỜI LẬP DỰ  TOÁN</t>
  </si>
  <si>
    <t xml:space="preserve">                            BẢNG DỰ TOÁN  KINH PHÍ THỰC HÀNH NVSP CHO SINH VIÊN </t>
  </si>
  <si>
    <t xml:space="preserve">    </t>
  </si>
  <si>
    <t xml:space="preserve">           NGÀNH GDTH, KÌ 2, NĂM HỌC 2020- 2021</t>
  </si>
  <si>
    <t>DỰ TOÁN KINH PHÍ HỘI THI "VIẾT CHỮ ĐẸP - GIẢI TOÁN NHANH"</t>
  </si>
  <si>
    <t>KHOA GIÁO DỤC, NĂM HỌC 2020 - 2021, NGÀNH GDTH</t>
  </si>
  <si>
    <t>Khóa: 58, 59, 60, 61</t>
  </si>
  <si>
    <t>Ban tổ chức hội thi</t>
  </si>
  <si>
    <t>Danh sách ký nhận</t>
  </si>
  <si>
    <t>Thư ký</t>
  </si>
  <si>
    <t>1.3</t>
  </si>
  <si>
    <t>Dẫn chương trình</t>
  </si>
  <si>
    <t>1.4</t>
  </si>
  <si>
    <t>Ủy viên</t>
  </si>
  <si>
    <t>Ban giám khảo</t>
  </si>
  <si>
    <t>Giải thưởng</t>
  </si>
  <si>
    <t>3.1</t>
  </si>
  <si>
    <t>Giải  Nhất</t>
  </si>
  <si>
    <t>đội</t>
  </si>
  <si>
    <t>3.2</t>
  </si>
  <si>
    <t>Giải Nhì</t>
  </si>
  <si>
    <t>3.3</t>
  </si>
  <si>
    <t>Giải Ba</t>
  </si>
  <si>
    <t>Giải Khuyến khích</t>
  </si>
  <si>
    <t>Ban biên soạn nội dung</t>
  </si>
  <si>
    <t>Giải toán nhanh</t>
  </si>
  <si>
    <t>bộ đề</t>
  </si>
  <si>
    <t>Viết chữ đẹp</t>
  </si>
  <si>
    <t>Hỗ trợ luyện tập, trang phục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</si>
  <si>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</si>
  <si>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</si>
  <si>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</si>
  <si>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</si>
  <si>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</si>
  <si>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</si>
  <si>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</si>
  <si>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</si>
  <si>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</si>
  <si>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</si>
  <si>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</si>
  <si>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</si>
  <si>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</si>
  <si>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Số tiền bằng chữ: Mười ba triệu</t>
  </si>
  <si>
    <t>một trăm</t>
  </si>
  <si>
    <t>sáu mươi</t>
  </si>
  <si>
    <t>ngàn đồng</t>
  </si>
  <si>
    <t>Nghệ An, ngày 30 tháng 7 năm 2020</t>
  </si>
  <si>
    <t>NGƯỜI LẬP DỰ TOÁN</t>
  </si>
  <si>
    <t>KẾ TOÁN</t>
  </si>
  <si>
    <t>PHÒNG KẾ HOẠCH TÀI CHÍNH</t>
  </si>
  <si>
    <t xml:space="preserve">                        BAN GIÁM HIỆU</t>
  </si>
  <si>
    <t>BẢN DỰ TRÙ KINH PHÍ TTSP NGÀNH GDMN NĂM HỌC 2020 - 2021 (K57 và K58)</t>
  </si>
  <si>
    <t>Tại trường MN THSP ĐHV Cơ sở 1, 2, Quang Trung 2, Bình Minh, Hoa Sen, Quang Trung 1, Hưng Bình, Trần Đại Nghĩa, MN8 Vlong</t>
  </si>
  <si>
    <t>Bí thư Đoàn Thanh niên</t>
  </si>
  <si>
    <t>Nhóm trưởng bộ môn và hỗ trợ ĐDDH</t>
  </si>
  <si>
    <t xml:space="preserve">                          Trần Thị Hoàng Yến</t>
  </si>
  <si>
    <t>TRƯỜNG ĐH VINH</t>
  </si>
  <si>
    <t>BẢNG DỰ TOÁN KINH PHÍ</t>
  </si>
  <si>
    <t>Nội dung công việc: Kinh phí Rèn luyện NVSPTX 1, Khóa 59 ngành GDMN - Học kỳ 2 (2020 - 2021)</t>
  </si>
  <si>
    <t>Số TC/ tiết</t>
  </si>
  <si>
    <t>Số lượng SV</t>
  </si>
  <si>
    <t>Đơn giá/ tín chỉ</t>
  </si>
  <si>
    <t>Hệ số học phí</t>
  </si>
  <si>
    <t>Văn bản áp dụng</t>
  </si>
  <si>
    <t>Tổng thu HP: RLNVSPTX 1; Khóa 59</t>
  </si>
  <si>
    <t>1,4</t>
  </si>
  <si>
    <t>SV sư phạm không đóng HP</t>
  </si>
  <si>
    <t>DỰ TOÁN CHI (Tối đa: 80%)</t>
  </si>
  <si>
    <t>Chi cho Giảng viên</t>
  </si>
  <si>
    <t>Hướng dẫn RLNVSPTX - K59</t>
  </si>
  <si>
    <t>Tổ GDMN phụ trách</t>
  </si>
  <si>
    <t>TS Trần Thị Hoàng Yến</t>
  </si>
  <si>
    <t>Tính vào giờ dạy, không chi trả trực tiếp</t>
  </si>
  <si>
    <t>QC CTNB: CV</t>
  </si>
  <si>
    <t>Nhóm 1 - K59</t>
  </si>
  <si>
    <t>Tiết</t>
  </si>
  <si>
    <t>1585/QĐ- ĐHV ngày 30/12/2016</t>
  </si>
  <si>
    <t>Nhóm 2- K59</t>
  </si>
  <si>
    <t>Ths. Nguyễn Thị Thu Hạnh</t>
  </si>
  <si>
    <t>Lịch RLNVSPTX;</t>
  </si>
  <si>
    <t>Nhóm 3- K59</t>
  </si>
  <si>
    <t>Nhóm 4 - K59</t>
  </si>
  <si>
    <t xml:space="preserve">Quyết định thành lập đoàn </t>
  </si>
  <si>
    <t>Ths. Phan Huy Hà</t>
  </si>
  <si>
    <t xml:space="preserve">RLNVSPTX K57 </t>
  </si>
  <si>
    <t>Nhóm 5 - K59</t>
  </si>
  <si>
    <t>TS Phạm Thị Huyền</t>
  </si>
  <si>
    <t>Nhóm 6-K59</t>
  </si>
  <si>
    <t>Phan Thị Quỳnh Trang</t>
  </si>
  <si>
    <t>Nhóm 7 - K59</t>
  </si>
  <si>
    <t>Nhóm 8 - K58</t>
  </si>
  <si>
    <t>Chấm bài tập thực hành</t>
  </si>
  <si>
    <t>Bài/SV</t>
  </si>
  <si>
    <t>Ban chỉ đạo</t>
  </si>
  <si>
    <t>BD cơ sở giáo dục mầm non</t>
  </si>
  <si>
    <t>nhóm 1</t>
  </si>
  <si>
    <t>Giấy biên nhận của trường THSP ĐH Vinh</t>
  </si>
  <si>
    <t>Đoàn</t>
  </si>
  <si>
    <t>Báo cáo viên</t>
  </si>
  <si>
    <t>Báo cáo</t>
  </si>
  <si>
    <t>BD Giáo viên CN</t>
  </si>
  <si>
    <t xml:space="preserve"> Dạy mẫu</t>
  </si>
  <si>
    <t>Hướng dẫn soạn Giáo án</t>
  </si>
  <si>
    <t>Giáo án</t>
  </si>
  <si>
    <t>Kinh phí tập giảng</t>
  </si>
  <si>
    <t>Bồi dưỡng tổ trưởng CM</t>
  </si>
  <si>
    <t>Tổ</t>
  </si>
  <si>
    <t>nhóm 2</t>
  </si>
  <si>
    <t>nhóm 3</t>
  </si>
  <si>
    <t>nhóm 4</t>
  </si>
  <si>
    <t>nhóm 5</t>
  </si>
  <si>
    <t>nhóm 6</t>
  </si>
  <si>
    <t xml:space="preserve">nhóm 7 </t>
  </si>
  <si>
    <t xml:space="preserve">nhóm 8 </t>
  </si>
  <si>
    <t>Vinh, ngày    tháng   năm 2020</t>
  </si>
  <si>
    <t>Ban Giám hiệu</t>
  </si>
  <si>
    <t>Phòng KHTC</t>
  </si>
  <si>
    <t>Kế toán</t>
  </si>
  <si>
    <t>Khoa Giáo dục</t>
  </si>
  <si>
    <t>Người lập dự toán</t>
  </si>
  <si>
    <t xml:space="preserve">Tổng số tiền </t>
  </si>
  <si>
    <t xml:space="preserve">                                                Vinh, ngày 24 tháng 07 năm 2017</t>
  </si>
  <si>
    <t xml:space="preserve">       </t>
  </si>
  <si>
    <t xml:space="preserve">             Ban Giám hiệu                   Phòng KHTC                       Kế toán                      Khoa Giáo dục                   Người lập dự toán</t>
  </si>
  <si>
    <t xml:space="preserve">                                                                                                                                                         Trần Thị Hoàng Yến</t>
  </si>
  <si>
    <t xml:space="preserve">  Rèn luyện nghiệp vụ sư phạm thường xuyên 2, ngành GDMN  (2020 - 2021)</t>
  </si>
  <si>
    <t>Số TC/số tiết</t>
  </si>
  <si>
    <t>Tổng thu HP: RLNVSPTX 2 - Khóa 58</t>
  </si>
  <si>
    <t>Hướng dẫn RLNVSPTX</t>
  </si>
  <si>
    <t>TS. Trần Thị Hoàng Yến.                     HSL: 4,42</t>
  </si>
  <si>
    <t xml:space="preserve">Tính vào giờ dạy, không chi </t>
  </si>
  <si>
    <t>Nhóm 1 - K58</t>
  </si>
  <si>
    <t>trả trực tiếp.</t>
  </si>
  <si>
    <t>TS Phạm Thị Huyền  HSL: 4,32</t>
  </si>
  <si>
    <t>Nhóm 2 - K58</t>
  </si>
  <si>
    <t>Nhóm 9- K58 VL</t>
  </si>
  <si>
    <t>Ths Nguyễn Thị Thu Hạnh</t>
  </si>
  <si>
    <t>Nhóm 3 - K58</t>
  </si>
  <si>
    <t>Ths Phạm Thị Hải Châu</t>
  </si>
  <si>
    <t>Nhóm 4- K58</t>
  </si>
  <si>
    <t>Ths Trần Thị Thúy Nga</t>
  </si>
  <si>
    <t>Nhóm 5 - K58</t>
  </si>
  <si>
    <t>Ths Nguyễn Thị Kỳ</t>
  </si>
  <si>
    <t>Nhóm 6 - K58</t>
  </si>
  <si>
    <t xml:space="preserve">Ths. Phan Huy Hà           </t>
  </si>
  <si>
    <t>Tính vào giờ dạy</t>
  </si>
  <si>
    <t>Nhóm 7- K58</t>
  </si>
  <si>
    <t>Ths Phan Thị Quỳnh Trang</t>
  </si>
  <si>
    <t>Bài tập của khóa 58 GDMN</t>
  </si>
  <si>
    <t>BD trường THSP ĐHVinh</t>
  </si>
  <si>
    <t>RLNVTX 1 - K57 GDMN</t>
  </si>
  <si>
    <t xml:space="preserve">nhóm 2 </t>
  </si>
  <si>
    <t>Nhóm 7</t>
  </si>
  <si>
    <t>Nhóm 8</t>
  </si>
  <si>
    <t>Dạy mẫu</t>
  </si>
  <si>
    <t>Nhóm 9 (Nhóm Vĩnh long)</t>
  </si>
  <si>
    <t xml:space="preserve">           Vinh, ngày     tháng 07 năm 2019</t>
  </si>
  <si>
    <t>ăm 2020</t>
  </si>
  <si>
    <t xml:space="preserve">        Phòng KHTC</t>
  </si>
  <si>
    <t xml:space="preserve">          Ban Giám hiệu duyệt</t>
  </si>
  <si>
    <t>BẢNG TỔNG HỢP CÁC HOẠT ĐỘNG ĐÀO TẠO, THỰC HÀNH - THÍ NGHIỆM ĐỀ NGHỊ CẤP KINH PHÍ NĂM HỌC 2020-2021</t>
  </si>
  <si>
    <t>Nghệ An, ngày  14  tháng 7 năm 2020</t>
  </si>
  <si>
    <t>Đơn vị tính:  đồng</t>
  </si>
  <si>
    <t>RLNVSPTX 2</t>
  </si>
  <si>
    <t>RLNVSPTX 1</t>
  </si>
  <si>
    <t>Rèn luyện NVSPTX GDTH  1 (59 và 60)</t>
  </si>
  <si>
    <t>Rèn luyện NVSPTX GDTH 2 (58)</t>
  </si>
  <si>
    <t>KẾ HOẠCH BIÊN SOẠN, XUẤT BẢN GIÁO TRÌNH, TÀI LIỆU HỌC TẬP
Năm học 2020 - 2021</t>
  </si>
  <si>
    <t xml:space="preserve">KHOA/VIỆN </t>
  </si>
  <si>
    <t>Bộ môn quản lý HP</t>
  </si>
  <si>
    <t>Chủ biên (chức danh, học vị)</t>
  </si>
  <si>
    <t xml:space="preserve">Các đồng tác giả </t>
  </si>
  <si>
    <r>
      <t>Thời gian nộp bản thảo
(</t>
    </r>
    <r>
      <rPr>
        <i/>
        <sz val="12"/>
        <rFont val="Times New Roman"/>
        <family val="1"/>
      </rPr>
      <t>trước 30/4/2021)</t>
    </r>
  </si>
  <si>
    <t>Đánh giá trong giáo dục</t>
  </si>
  <si>
    <t>SĐH</t>
  </si>
  <si>
    <t xml:space="preserve">EDU </t>
  </si>
  <si>
    <t>QLGD</t>
  </si>
  <si>
    <t>PGS.TS Nguyễn Như An</t>
  </si>
  <si>
    <t>Tháng 4/2021</t>
  </si>
  <si>
    <t>Phương pháp phát triển ngôn ngữ cho trẻ</t>
  </si>
  <si>
    <t>EDU30041</t>
  </si>
  <si>
    <t>GDMN</t>
  </si>
  <si>
    <t>TS. Phan Xuân Phồn</t>
  </si>
  <si>
    <t xml:space="preserve">Phương pháp hình thành biểu tượng toán cho trẻ </t>
  </si>
  <si>
    <t>EDU30051</t>
  </si>
  <si>
    <t>TS. Phạm Thị Huyền</t>
  </si>
  <si>
    <t>Ths. Phạm Thị Hải Châu</t>
  </si>
  <si>
    <t>Phương pháp dạy học tiếng Việt</t>
  </si>
  <si>
    <t>EDU30038</t>
  </si>
  <si>
    <t>GDTH</t>
  </si>
  <si>
    <t>PGS.TS Chu Thị Thủy An</t>
  </si>
  <si>
    <t>TS.Chu Hà Thanh</t>
  </si>
  <si>
    <t>Danh sách này có 05  giáo trình đăng ký xuất bản</t>
  </si>
  <si>
    <t>(Đã ký)</t>
  </si>
  <si>
    <t>Xây dựng mô hình tự quản sống xanh trong khu ký túc xá các trường Đại học</t>
  </si>
  <si>
    <t>Sử dụng một số kỉ thuật dạy học tích cực trong việc rèn luyện kĩ năng nói cho học sinh tiểu học</t>
  </si>
  <si>
    <t>Lê Thị Hà Trang -59 GDTH và nhóm NC</t>
  </si>
  <si>
    <t>Vận dụng phương pháp dạy học dự án trong tổ chức hoạt động trải nghiệm ở tiểu học</t>
  </si>
  <si>
    <t>Phạm Quỳnh Mai - 58 GDTH và nhóm NC</t>
  </si>
  <si>
    <t>3.3.</t>
  </si>
  <si>
    <t>Nghiên cứu phát triển thể chất cho trẻ mầm non</t>
  </si>
  <si>
    <t>Nhóm NC 59 MN</t>
  </si>
  <si>
    <t>Nghiên cứu phát triển thẩm mĩ cho trẻ mầm non</t>
  </si>
  <si>
    <t>Nghiên cứu phát triển ngôn ngữ cho trẻ mầm non</t>
  </si>
  <si>
    <t>Nghiên cứu phát triển tình cảm - KN xã hội cho trẻ mầm non</t>
  </si>
  <si>
    <t>Xây dựng hệ thống tình huống sư phạm nhằm phát triển  năng lực nghề nghiệp cho sinh viên ngành Giáo dục Tiểu học.</t>
  </si>
  <si>
    <t>Nghiên cứu năng lực nghề nghiệp tổ trưởng chuyên môn các trường phổ thông</t>
  </si>
  <si>
    <t>ThS Nguyễn Việt Phương</t>
  </si>
  <si>
    <t>Rèn luyện kĩ năng thiết kế bài học môn Tiếng Việt theo định hướng phát triển năng lực cho sinh viên ngành Giáo dục Tiểu học</t>
  </si>
  <si>
    <t>PGS.TS. Chu Thị Thủy An</t>
  </si>
  <si>
    <t>Giáo dục kĩ năng xã hội cho trẻ 5-6 tuổi theo tiếp cận đa văn hóa</t>
  </si>
  <si>
    <t>ThS Nguyễn Thị Thu Hạnh</t>
  </si>
  <si>
    <t>Xây dựng chương trình đào tạo ngành Giáo dục Mầm non đáp ứng đa dạng hóa mô hình trường lớp</t>
  </si>
  <si>
    <t>Một tỉ năm trăm linh năm triệu đồng</t>
  </si>
  <si>
    <t>Bồi dưỡng theo tiêu chuẩn chức danh nghề nghiệp GV MN, TH</t>
  </si>
  <si>
    <t>Trường Tổ chức</t>
  </si>
  <si>
    <t>Bồi dưỡng GV dạy lớp 2</t>
  </si>
  <si>
    <t>Bồi dưỡng GV theo dự án Rgep</t>
  </si>
  <si>
    <t>Bồi dưỡng giáo viên phổ thông cốt cán và đại trà theo chương trình Etep</t>
  </si>
  <si>
    <t>Bồi dưỡng giáo viên chủ nhiệm lớp</t>
  </si>
  <si>
    <t>Bồi dưỡng tổ trưởng chuyên môn</t>
  </si>
  <si>
    <t>Hai mươi tư tỉ, ba trăm tám mươi bốn triệu, năm trăm ngàn đồng</t>
  </si>
  <si>
    <t>TỔNG HỢP CÁC KHOẢN THU NĂM HỌC 2020-2021</t>
  </si>
  <si>
    <t>Các khoản thu từ biểu 8</t>
  </si>
  <si>
    <t>Kinh phí đề tài khoa học thực hiện trong năm, kinh phí Đề tài cấp Bộ và Nhà nước 2020-2021 (Tạm ứng 50% tổng dự toán)</t>
  </si>
  <si>
    <t>Bảy mươi ba tỉ, sáu trăm linh hai triệu, sáu trăm sáu mươi sáu ngàn đồng</t>
  </si>
  <si>
    <t>TỔNG HỢP CÁC KHOẢN  CHI NĂM HỌC 2020-2021</t>
  </si>
  <si>
    <t>CHI PHÍ TIỀN LƯƠNG, CÁC KHOẢN TRÍCH THEO LƯƠNG, THU NHẬP TĂNG THÊM VÀ PHÚC LỢI NGÀY LỄ TẾT CỦA CÁC ĐƠN VỊ TÍNH THEO MỨC LƯƠNG CƠ BẢN 1.600.000 ĐỒNG NĂM HỌC 2020-2021 ( THEO DANH SÁCH, HỆ SỐ LƯƠNG THÁNG 7.2020</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</si>
  <si>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</si>
  <si>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</si>
  <si>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</si>
  <si>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</si>
  <si>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</si>
  <si>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</si>
  <si>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</si>
  <si>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</si>
  <si>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Sư phạm Ngoại ngữ </t>
  </si>
  <si>
    <t xml:space="preserve">Khoa Xây dựng </t>
  </si>
  <si>
    <t xml:space="preserve">Phòng Công tác Chính trị và HS-SV </t>
  </si>
  <si>
    <t xml:space="preserve">Phòng Kế hoạch-Tài chính </t>
  </si>
  <si>
    <t xml:space="preserve">Phòng Quản Trị và Đầu tư </t>
  </si>
  <si>
    <t xml:space="preserve">Phòng Tổ chức Cán bộ </t>
  </si>
  <si>
    <t xml:space="preserve">Trung tâm Bồi dưỡng Nghiệp vụ sư phạm </t>
  </si>
  <si>
    <t xml:space="preserve">Trung tâm Kiểm định chất lượng giáo dục </t>
  </si>
  <si>
    <t xml:space="preserve">Trung tâm Thông tin - Thư viện </t>
  </si>
  <si>
    <t xml:space="preserve">Trường Thực hành sư phạm </t>
  </si>
  <si>
    <t xml:space="preserve">Trường Trung học Phổ thông Chuyên </t>
  </si>
  <si>
    <t xml:space="preserve">Viện Khoa học Xã hội và Nhân văn </t>
  </si>
  <si>
    <t xml:space="preserve">Viện Sư phạm Tự nhiên </t>
  </si>
  <si>
    <t xml:space="preserve">Viện Sư phạm Xã hội </t>
  </si>
  <si>
    <t>Biểu 2 (thừa giờ)</t>
  </si>
  <si>
    <t>Hướng dẫn xây dựng KHNH 690/2020</t>
  </si>
  <si>
    <t>Hướng dẫn số 706/2018 và QCCTNB, điều 29-tr45</t>
  </si>
  <si>
    <t>Hỗ trợ hoạt động phong trào sinh viên (K61 - K58-K59-K60) 100.000/1SV/Khóa học(8 học kì)</t>
  </si>
  <si>
    <t>Biểu 5, CTNB-điểu 27-tr44</t>
  </si>
  <si>
    <t>10% tổng thu tại trường, HD 690/2020</t>
  </si>
  <si>
    <t>Sửa chữa, bảo dưỡng tài sản có giá trị  (Điều hoà, máy tinh, máy phôto, sửa chữa các công trình)</t>
  </si>
  <si>
    <t>Xem biểu Dự kiến xuất bản (7B)</t>
  </si>
  <si>
    <t>Tài liệu giáo trình ( 22 TC x 4 trieu/1TC) = (3 Giáo trình 2018)</t>
  </si>
  <si>
    <t>Chi Đề tài NCKH Cấp bộ (50% cho 1 năm)</t>
  </si>
  <si>
    <t>Bảy trăm hai mươi mốt triệu đồng</t>
  </si>
  <si>
    <t>Bảy mươi triệu hai trăm ngàn đồng</t>
  </si>
  <si>
    <t>Biểu số 2, Hướng dẫn xây dựng KHNH 690/2020</t>
  </si>
  <si>
    <t>Biểu số 1, Hướng dẫn xây dựng KHNH 690/2020</t>
  </si>
  <si>
    <t>Bao mươi tỉ, năm trăm hai mươi lăm triệu, bốn trăm tám mươi tám ngàn đồng</t>
  </si>
  <si>
    <t>TỔNG HỢP THU CHI NĂM HỌC 2020-2021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</si>
</sst>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0.000000"/>
    <numFmt numFmtId="166" formatCode="0.0"/>
    <numFmt numFmtId="167" formatCode="_-* #,##0\ _₫_-;\-* #,##0\ _₫_-;_-* &quot;-&quot;??\ _₫_-;_-@_-"/>
  </numFmts>
  <fonts count="107" x14ac:knownFonts="1">
    <font>
      <sz val="10"/>
      <name val="Arial"/>
    </font>
    <font>
      <sz val="10"/>
      <name val="Arial"/>
      <family val="2"/>
    </font>
    <font>
      <b/>
      <sz val="10"/>
      <name val="Arial"/>
      <family val="2"/>
    </font>
    <font>
      <sz val="8"/>
      <name val="Arial"/>
      <family val="2"/>
    </font>
    <font>
      <sz val="10"/>
      <name val="Arial"/>
      <family val="2"/>
    </font>
    <font>
      <sz val="10"/>
      <name val="Times New Roman"/>
      <family val="1"/>
    </font>
    <font>
      <b/>
      <sz val="10"/>
      <name val="Times New Roman"/>
      <family val="1"/>
    </font>
    <font>
      <sz val="10"/>
      <color indexed="8"/>
      <name val="Times New Roman"/>
      <family val="1"/>
    </font>
    <font>
      <b/>
      <sz val="10"/>
      <color indexed="8"/>
      <name val="Times New Roman"/>
      <family val="1"/>
    </font>
    <font>
      <sz val="12"/>
      <name val="Times New Roman"/>
      <family val="1"/>
    </font>
    <font>
      <sz val="12"/>
      <color indexed="8"/>
      <name val="Times New Roman"/>
      <family val="1"/>
    </font>
    <font>
      <b/>
      <sz val="12"/>
      <color indexed="8"/>
      <name val="Times New Roman"/>
      <family val="1"/>
    </font>
    <font>
      <sz val="11"/>
      <name val="Times New Roman"/>
      <family val="1"/>
    </font>
    <font>
      <b/>
      <sz val="11"/>
      <name val="Times New Roman"/>
      <family val="1"/>
    </font>
    <font>
      <b/>
      <sz val="12"/>
      <name val="Times New Roman"/>
      <family val="1"/>
    </font>
    <font>
      <b/>
      <sz val="11"/>
      <color indexed="8"/>
      <name val="Times New Roman"/>
      <family val="1"/>
    </font>
    <font>
      <sz val="11"/>
      <color indexed="8"/>
      <name val="Times New Roman"/>
      <family val="1"/>
    </font>
    <font>
      <i/>
      <sz val="12"/>
      <name val="Times New Roman"/>
      <family val="1"/>
    </font>
    <font>
      <sz val="14"/>
      <name val="Times New Roman"/>
      <family val="1"/>
    </font>
    <font>
      <sz val="11"/>
      <color theme="1"/>
      <name val="Calibri"/>
      <family val="2"/>
      <scheme val="minor"/>
    </font>
    <font>
      <b/>
      <sz val="11"/>
      <color theme="1"/>
      <name val="Calibri"/>
      <family val="2"/>
      <scheme val="minor"/>
    </font>
    <font>
      <sz val="10"/>
      <color theme="1"/>
      <name val="Times New Roman"/>
      <family val="1"/>
    </font>
    <font>
      <b/>
      <sz val="10"/>
      <color theme="1"/>
      <name val="Times New Roman"/>
      <family val="1"/>
    </font>
    <font>
      <i/>
      <sz val="10"/>
      <color theme="1"/>
      <name val="Times New Roman"/>
      <family val="1"/>
    </font>
    <font>
      <b/>
      <sz val="12"/>
      <color theme="1"/>
      <name val="Times New Roman"/>
      <family val="1"/>
    </font>
    <font>
      <sz val="12"/>
      <color theme="1"/>
      <name val="Times New Roman"/>
      <family val="1"/>
    </font>
    <font>
      <b/>
      <sz val="11"/>
      <color theme="1"/>
      <name val="Times New Roman"/>
      <family val="1"/>
    </font>
    <font>
      <sz val="11"/>
      <color theme="1"/>
      <name val="Times New Roman"/>
      <family val="1"/>
    </font>
    <font>
      <sz val="14"/>
      <color theme="1"/>
      <name val="Times New Roman"/>
      <family val="1"/>
    </font>
    <font>
      <b/>
      <sz val="8"/>
      <color theme="1"/>
      <name val="Times New Roman"/>
      <family val="1"/>
    </font>
    <font>
      <i/>
      <sz val="12"/>
      <color theme="1"/>
      <name val="Times New Roman"/>
      <family val="1"/>
    </font>
    <font>
      <sz val="11"/>
      <color rgb="FFFF0000"/>
      <name val="Times New Roman"/>
      <family val="1"/>
    </font>
    <font>
      <sz val="10"/>
      <color rgb="FFFF0000"/>
      <name val="Times New Roman"/>
      <family val="1"/>
    </font>
    <font>
      <b/>
      <i/>
      <sz val="10"/>
      <color theme="1"/>
      <name val="Times New Roman"/>
      <family val="1"/>
    </font>
    <font>
      <sz val="10"/>
      <color rgb="FF000000"/>
      <name val="Times New Roman"/>
      <family val="1"/>
    </font>
    <font>
      <i/>
      <sz val="10"/>
      <name val="Times New Roman"/>
      <family val="1"/>
    </font>
    <font>
      <b/>
      <sz val="10"/>
      <color rgb="FF000000"/>
      <name val="Times New Roman"/>
      <family val="1"/>
    </font>
    <font>
      <u/>
      <sz val="10"/>
      <color theme="10"/>
      <name val="Arial"/>
      <family val="2"/>
    </font>
    <font>
      <u/>
      <sz val="10"/>
      <color theme="11"/>
      <name val="Arial"/>
      <family val="2"/>
    </font>
    <font>
      <b/>
      <sz val="14"/>
      <color theme="1"/>
      <name val="Times New Roman"/>
      <family val="1"/>
    </font>
    <font>
      <sz val="10"/>
      <name val="Arial"/>
      <family val="2"/>
    </font>
    <font>
      <sz val="9"/>
      <color theme="1"/>
      <name val="Times New Roman"/>
      <family val="1"/>
    </font>
    <font>
      <b/>
      <i/>
      <sz val="10"/>
      <name val="Times New Roman"/>
      <family val="1"/>
    </font>
    <font>
      <b/>
      <sz val="10"/>
      <color rgb="FFFF0000"/>
      <name val="Times New Roman"/>
      <family val="1"/>
    </font>
    <font>
      <b/>
      <sz val="10"/>
      <color rgb="FFFF0000"/>
      <name val="Arial"/>
      <family val="2"/>
    </font>
    <font>
      <sz val="10"/>
      <color rgb="FFFF0000"/>
      <name val="Arial"/>
      <family val="2"/>
    </font>
    <font>
      <sz val="9"/>
      <color rgb="FFFF0000"/>
      <name val="Times New Roman"/>
      <family val="1"/>
    </font>
    <font>
      <b/>
      <i/>
      <sz val="11"/>
      <name val="Times New Roman"/>
      <family val="1"/>
    </font>
    <font>
      <i/>
      <sz val="11"/>
      <name val="Times New Roman"/>
      <family val="1"/>
    </font>
    <font>
      <sz val="9"/>
      <name val="Times New Roman"/>
      <family val="1"/>
    </font>
    <font>
      <b/>
      <sz val="11"/>
      <color rgb="FFFF0000"/>
      <name val="Times New Roman"/>
      <family val="1"/>
    </font>
    <font>
      <b/>
      <sz val="9"/>
      <color theme="1"/>
      <name val="Times New Roman"/>
      <family val="1"/>
    </font>
    <font>
      <sz val="12"/>
      <name val="Arial"/>
      <family val="2"/>
    </font>
    <font>
      <b/>
      <sz val="12"/>
      <name val="Arial"/>
      <family val="2"/>
    </font>
    <font>
      <b/>
      <i/>
      <sz val="12"/>
      <color theme="1"/>
      <name val="Times New Roman"/>
      <family val="1"/>
    </font>
    <font>
      <sz val="12"/>
      <color rgb="FF000000"/>
      <name val="Times New Roman"/>
      <family val="1"/>
    </font>
    <font>
      <sz val="13"/>
      <color theme="1"/>
      <name val="Times New Roman"/>
      <family val="1"/>
    </font>
    <font>
      <sz val="13"/>
      <color indexed="8"/>
      <name val="Times New Roman"/>
      <family val="1"/>
    </font>
    <font>
      <sz val="10"/>
      <color theme="1"/>
      <name val="Arial"/>
      <family val="2"/>
    </font>
    <font>
      <b/>
      <sz val="9"/>
      <color rgb="FF000000"/>
      <name val="Tahoma"/>
      <family val="2"/>
    </font>
    <font>
      <sz val="9"/>
      <color rgb="FF000000"/>
      <name val="Tahoma"/>
      <family val="2"/>
    </font>
    <font>
      <b/>
      <sz val="10"/>
      <color theme="1"/>
      <name val="Arial"/>
      <family val="2"/>
    </font>
    <font>
      <sz val="10"/>
      <name val="Cambria"/>
      <family val="1"/>
      <charset val="163"/>
      <scheme val="major"/>
    </font>
    <font>
      <sz val="10"/>
      <name val="Times New Roman"/>
      <family val="1"/>
      <charset val="163"/>
    </font>
    <font>
      <sz val="12"/>
      <name val="Times New Roman"/>
      <family val="1"/>
      <charset val="163"/>
    </font>
    <font>
      <sz val="11"/>
      <name val="Times New Roman"/>
      <family val="1"/>
      <charset val="163"/>
    </font>
    <font>
      <b/>
      <sz val="11"/>
      <name val="Times New Roman"/>
      <family val="1"/>
      <charset val="163"/>
    </font>
    <font>
      <sz val="11"/>
      <name val="Arial"/>
      <family val="2"/>
    </font>
    <font>
      <b/>
      <sz val="12"/>
      <name val="Times New Roman"/>
      <family val="1"/>
      <charset val="163"/>
    </font>
    <font>
      <b/>
      <sz val="10"/>
      <name val="Times New Roman"/>
      <family val="1"/>
      <charset val="163"/>
    </font>
    <font>
      <sz val="10"/>
      <name val="Arial"/>
      <family val="2"/>
      <charset val="163"/>
    </font>
    <font>
      <b/>
      <i/>
      <sz val="12"/>
      <name val="Times New Roman"/>
      <family val="1"/>
    </font>
    <font>
      <i/>
      <sz val="10"/>
      <name val="Arial"/>
      <family val="2"/>
    </font>
    <font>
      <i/>
      <sz val="12"/>
      <name val="Times New Roman"/>
      <family val="1"/>
      <charset val="163"/>
    </font>
    <font>
      <b/>
      <sz val="16"/>
      <name val="Times New Roman"/>
      <family val="1"/>
    </font>
    <font>
      <b/>
      <i/>
      <sz val="12"/>
      <color indexed="8"/>
      <name val="Times New Roman"/>
      <family val="1"/>
    </font>
    <font>
      <i/>
      <sz val="12"/>
      <color indexed="8"/>
      <name val="Times New Roman"/>
      <family val="1"/>
    </font>
    <font>
      <b/>
      <u/>
      <sz val="12"/>
      <color indexed="8"/>
      <name val="Times New Roman"/>
      <family val="1"/>
    </font>
    <font>
      <sz val="12"/>
      <color indexed="8"/>
      <name val="Times New Roman"/>
      <family val="1"/>
      <charset val="163"/>
    </font>
    <font>
      <i/>
      <sz val="12"/>
      <color indexed="8"/>
      <name val="Times New Roman"/>
      <family val="1"/>
      <charset val="163"/>
    </font>
    <font>
      <sz val="13"/>
      <name val="Times New Roman"/>
      <family val="1"/>
    </font>
    <font>
      <b/>
      <sz val="9"/>
      <name val="Times New Roman"/>
      <family val="1"/>
    </font>
    <font>
      <sz val="8"/>
      <name val="Times New Roman"/>
      <family val="1"/>
    </font>
    <font>
      <sz val="11"/>
      <color theme="1"/>
      <name val="Times New Roman"/>
      <family val="1"/>
      <charset val="163"/>
    </font>
    <font>
      <b/>
      <i/>
      <sz val="14"/>
      <name val="Times New Roman"/>
      <family val="1"/>
    </font>
    <font>
      <b/>
      <sz val="14"/>
      <name val="Times New Roman"/>
      <family val="1"/>
    </font>
    <font>
      <b/>
      <sz val="12"/>
      <name val=".VnTimeH"/>
      <family val="2"/>
    </font>
    <font>
      <b/>
      <u/>
      <sz val="14"/>
      <name val="Times New Roman"/>
      <family val="1"/>
    </font>
    <font>
      <b/>
      <u/>
      <sz val="14"/>
      <name val=".VnTime"/>
      <family val="2"/>
    </font>
    <font>
      <b/>
      <sz val="12"/>
      <name val=".VnTime"/>
      <family val="2"/>
    </font>
    <font>
      <b/>
      <sz val="18"/>
      <name val="Times New Roman"/>
      <family val="1"/>
    </font>
    <font>
      <b/>
      <sz val="18"/>
      <name val=".VnTimeH"/>
      <family val="2"/>
    </font>
    <font>
      <b/>
      <sz val="14"/>
      <name val=".VnTimeH"/>
      <family val="2"/>
    </font>
    <font>
      <sz val="16"/>
      <name val=".VnTime"/>
      <family val="2"/>
    </font>
    <font>
      <b/>
      <sz val="13"/>
      <name val="Times New Roman"/>
      <family val="1"/>
    </font>
    <font>
      <sz val="13"/>
      <name val="Arial"/>
      <family val="2"/>
    </font>
    <font>
      <b/>
      <i/>
      <sz val="12"/>
      <name val="Times New Roman"/>
      <family val="1"/>
      <charset val="163"/>
    </font>
    <font>
      <b/>
      <i/>
      <sz val="13"/>
      <name val="Times New Roman"/>
      <family val="1"/>
      <charset val="163"/>
    </font>
    <font>
      <b/>
      <i/>
      <sz val="13"/>
      <name val="Arial"/>
      <family val="2"/>
    </font>
    <font>
      <sz val="9"/>
      <color indexed="63"/>
      <name val="Arial"/>
      <family val="2"/>
    </font>
    <font>
      <sz val="12"/>
      <color rgb="FFFF0000"/>
      <name val="Times New Roman"/>
      <family val="2"/>
    </font>
    <font>
      <sz val="12"/>
      <name val="Times New Roman"/>
      <family val="2"/>
    </font>
    <font>
      <b/>
      <sz val="12"/>
      <name val="Times New Roman"/>
      <family val="2"/>
    </font>
    <font>
      <b/>
      <sz val="12"/>
      <color rgb="FFFF0000"/>
      <name val="Times New Roman"/>
      <family val="1"/>
    </font>
    <font>
      <sz val="11"/>
      <name val="Times New Roman"/>
      <family val="2"/>
    </font>
    <font>
      <b/>
      <i/>
      <sz val="12"/>
      <name val="Times New Roman"/>
      <family val="2"/>
    </font>
    <font>
      <b/>
      <sz val="12"/>
      <color rgb="FFFF0000"/>
      <name val="Times New Roman"/>
      <family val="2"/>
    </font>
  </fonts>
  <fills count="10">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CCFFCC"/>
        <bgColor indexed="64"/>
      </patternFill>
    </fill>
    <fill>
      <patternFill patternType="solid">
        <fgColor rgb="FFFFFF00"/>
        <bgColor rgb="FF000000"/>
      </patternFill>
    </fill>
    <fill>
      <patternFill patternType="solid">
        <fgColor rgb="FFFFFFFF"/>
        <bgColor indexed="64"/>
      </patternFill>
    </fill>
  </fills>
  <borders count="153">
    <border>
      <left/>
      <right/>
      <top/>
      <bottom/>
      <diagonal/>
    </border>
    <border>
      <left style="thin">
        <color indexed="8"/>
      </left>
      <right style="thin">
        <color indexed="8"/>
      </right>
      <top/>
      <bottom style="hair">
        <color indexed="8"/>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indexed="8"/>
      </right>
      <top/>
      <bottom style="hair">
        <color indexed="8"/>
      </bottom>
      <diagonal/>
    </border>
    <border>
      <left style="thin">
        <color indexed="8"/>
      </left>
      <right style="double">
        <color auto="1"/>
      </right>
      <top/>
      <bottom style="hair">
        <color indexed="8"/>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auto="1"/>
      </right>
      <top style="hair">
        <color indexed="8"/>
      </top>
      <bottom style="hair">
        <color indexed="8"/>
      </bottom>
      <diagonal/>
    </border>
    <border>
      <left style="thin">
        <color indexed="8"/>
      </left>
      <right style="thin">
        <color indexed="8"/>
      </right>
      <top style="hair">
        <color indexed="8"/>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indexed="8"/>
      </left>
      <right style="thin">
        <color indexed="8"/>
      </right>
      <top style="thin">
        <color indexed="8"/>
      </top>
      <bottom style="double">
        <color auto="1"/>
      </bottom>
      <diagonal/>
    </border>
    <border>
      <left style="thin">
        <color indexed="8"/>
      </left>
      <right style="double">
        <color auto="1"/>
      </right>
      <top style="thin">
        <color indexed="8"/>
      </top>
      <bottom style="double">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double">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thin">
        <color auto="1"/>
      </left>
      <right style="double">
        <color auto="1"/>
      </right>
      <top style="hair">
        <color auto="1"/>
      </top>
      <bottom style="thin">
        <color auto="1"/>
      </bottom>
      <diagonal/>
    </border>
    <border>
      <left style="double">
        <color auto="1"/>
      </left>
      <right style="thin">
        <color auto="1"/>
      </right>
      <top/>
      <bottom/>
      <diagonal/>
    </border>
    <border>
      <left style="double">
        <color auto="1"/>
      </left>
      <right/>
      <top/>
      <bottom/>
      <diagonal/>
    </border>
    <border>
      <left style="double">
        <color auto="1"/>
      </left>
      <right style="thin">
        <color indexed="8"/>
      </right>
      <top style="hair">
        <color indexed="8"/>
      </top>
      <bottom/>
      <diagonal/>
    </border>
    <border>
      <left style="thin">
        <color auto="1"/>
      </left>
      <right/>
      <top style="thin">
        <color auto="1"/>
      </top>
      <bottom style="thin">
        <color auto="1"/>
      </bottom>
      <diagonal/>
    </border>
    <border>
      <left style="thin">
        <color indexed="8"/>
      </left>
      <right/>
      <top/>
      <bottom/>
      <diagonal/>
    </border>
    <border>
      <left style="thin">
        <color indexed="8"/>
      </left>
      <right style="thin">
        <color indexed="8"/>
      </right>
      <top/>
      <bottom/>
      <diagonal/>
    </border>
    <border>
      <left/>
      <right/>
      <top style="double">
        <color auto="1"/>
      </top>
      <bottom/>
      <diagonal/>
    </border>
    <border>
      <left style="double">
        <color auto="1"/>
      </left>
      <right style="thin">
        <color indexed="8"/>
      </right>
      <top style="thin">
        <color indexed="8"/>
      </top>
      <bottom style="double">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top/>
      <bottom style="hair">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indexed="8"/>
      </right>
      <top/>
      <bottom style="hair">
        <color indexed="8"/>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auto="1"/>
      </right>
      <top/>
      <bottom style="hair">
        <color indexed="8"/>
      </bottom>
      <diagonal/>
    </border>
    <border>
      <left style="thin">
        <color indexed="8"/>
      </left>
      <right style="thin">
        <color auto="1"/>
      </right>
      <top/>
      <bottom style="hair">
        <color indexed="8"/>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style="thin">
        <color auto="1"/>
      </right>
      <top style="thin">
        <color auto="1"/>
      </top>
      <bottom style="hair">
        <color indexed="8"/>
      </bottom>
      <diagonal/>
    </border>
    <border>
      <left style="thin">
        <color auto="1"/>
      </left>
      <right style="thin">
        <color auto="1"/>
      </right>
      <top style="hair">
        <color indexed="8"/>
      </top>
      <bottom style="hair">
        <color indexed="8"/>
      </bottom>
      <diagonal/>
    </border>
    <border>
      <left style="thin">
        <color auto="1"/>
      </left>
      <right style="thin">
        <color auto="1"/>
      </right>
      <top style="thin">
        <color auto="1"/>
      </top>
      <bottom style="hair">
        <color indexed="8"/>
      </bottom>
      <diagonal/>
    </border>
    <border>
      <left style="thin">
        <color auto="1"/>
      </left>
      <right style="double">
        <color auto="1"/>
      </right>
      <top style="thin">
        <color auto="1"/>
      </top>
      <bottom style="hair">
        <color indexed="8"/>
      </bottom>
      <diagonal/>
    </border>
    <border>
      <left style="double">
        <color auto="1"/>
      </left>
      <right style="thin">
        <color auto="1"/>
      </right>
      <top style="hair">
        <color indexed="8"/>
      </top>
      <bottom style="hair">
        <color indexed="8"/>
      </bottom>
      <diagonal/>
    </border>
    <border>
      <left style="thin">
        <color auto="1"/>
      </left>
      <right style="double">
        <color auto="1"/>
      </right>
      <top style="hair">
        <color indexed="8"/>
      </top>
      <bottom style="hair">
        <color indexed="8"/>
      </bottom>
      <diagonal/>
    </border>
    <border>
      <left/>
      <right style="thin">
        <color auto="1"/>
      </right>
      <top style="hair">
        <color auto="1"/>
      </top>
      <bottom style="hair">
        <color auto="1"/>
      </bottom>
      <diagonal/>
    </border>
    <border>
      <left/>
      <right style="medium">
        <color auto="1"/>
      </right>
      <top/>
      <bottom/>
      <diagonal/>
    </border>
    <border>
      <left style="thin">
        <color auto="1"/>
      </left>
      <right style="thin">
        <color auto="1"/>
      </right>
      <top style="thin">
        <color indexed="8"/>
      </top>
      <bottom style="thin">
        <color auto="1"/>
      </bottom>
      <diagonal/>
    </border>
    <border>
      <left/>
      <right style="thin">
        <color auto="1"/>
      </right>
      <top/>
      <bottom/>
      <diagonal/>
    </border>
    <border>
      <left style="thin">
        <color indexed="8"/>
      </left>
      <right/>
      <top style="hair">
        <color indexed="8"/>
      </top>
      <bottom style="hair">
        <color indexed="8"/>
      </bottom>
      <diagonal/>
    </border>
    <border>
      <left style="thin">
        <color indexed="8"/>
      </left>
      <right/>
      <top style="hair">
        <color indexed="8"/>
      </top>
      <bottom/>
      <diagonal/>
    </border>
    <border>
      <left style="thin">
        <color auto="1"/>
      </left>
      <right/>
      <top style="hair">
        <color auto="1"/>
      </top>
      <bottom style="thin">
        <color auto="1"/>
      </bottom>
      <diagonal/>
    </border>
    <border>
      <left style="thin">
        <color auto="1"/>
      </left>
      <right/>
      <top style="thin">
        <color auto="1"/>
      </top>
      <bottom style="double">
        <color auto="1"/>
      </bottom>
      <diagonal/>
    </border>
    <border>
      <left/>
      <right style="double">
        <color auto="1"/>
      </right>
      <top style="hair">
        <color indexed="8"/>
      </top>
      <bottom style="hair">
        <color indexed="8"/>
      </bottom>
      <diagonal/>
    </border>
    <border>
      <left/>
      <right style="double">
        <color auto="1"/>
      </right>
      <top style="hair">
        <color indexed="8"/>
      </top>
      <bottom/>
      <diagonal/>
    </border>
    <border>
      <left/>
      <right style="double">
        <color auto="1"/>
      </right>
      <top style="hair">
        <color auto="1"/>
      </top>
      <bottom style="thin">
        <color auto="1"/>
      </bottom>
      <diagonal/>
    </border>
    <border>
      <left/>
      <right style="double">
        <color auto="1"/>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style="thin">
        <color indexed="8"/>
      </right>
      <top style="hair">
        <color indexed="8"/>
      </top>
      <bottom style="hair">
        <color indexed="8"/>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indexed="64"/>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diagonal/>
    </border>
    <border>
      <left/>
      <right style="hair">
        <color indexed="64"/>
      </right>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top/>
      <bottom style="hair">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double">
        <color auto="1"/>
      </left>
      <right style="thin">
        <color auto="1"/>
      </right>
      <top/>
      <bottom style="hair">
        <color indexed="8"/>
      </bottom>
      <diagonal/>
    </border>
    <border>
      <left style="thin">
        <color auto="1"/>
      </left>
      <right style="thin">
        <color auto="1"/>
      </right>
      <top/>
      <bottom style="hair">
        <color indexed="8"/>
      </bottom>
      <diagonal/>
    </border>
    <border>
      <left style="thin">
        <color auto="1"/>
      </left>
      <right style="double">
        <color auto="1"/>
      </right>
      <top/>
      <bottom style="hair">
        <color indexed="8"/>
      </bottom>
      <diagonal/>
    </border>
    <border>
      <left style="thin">
        <color indexed="8"/>
      </left>
      <right style="thin">
        <color auto="1"/>
      </right>
      <top style="hair">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597">
    <xf numFmtId="0" fontId="0" fillId="0" borderId="0"/>
    <xf numFmtId="43" fontId="1" fillId="0" borderId="0" applyFont="0" applyFill="0" applyBorder="0" applyAlignment="0" applyProtection="0"/>
    <xf numFmtId="41" fontId="1" fillId="0" borderId="0" applyFont="0" applyFill="0" applyBorder="0" applyAlignment="0" applyProtection="0"/>
    <xf numFmtId="43" fontId="4" fillId="0" borderId="0" applyFont="0" applyFill="0" applyBorder="0" applyAlignment="0" applyProtection="0"/>
    <xf numFmtId="0" fontId="19" fillId="0" borderId="0"/>
    <xf numFmtId="0" fontId="4" fillId="0" borderId="0"/>
    <xf numFmtId="0" fontId="19" fillId="0" borderId="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cellStyleXfs>
  <cellXfs count="1588">
    <xf numFmtId="0" fontId="0" fillId="0" borderId="0" xfId="0"/>
    <xf numFmtId="0" fontId="0" fillId="0" borderId="0" xfId="0" applyAlignment="1">
      <alignment horizontal="center"/>
    </xf>
    <xf numFmtId="0" fontId="0" fillId="0" borderId="0" xfId="0" applyAlignment="1">
      <alignment wrapText="1"/>
    </xf>
    <xf numFmtId="0" fontId="2" fillId="0" borderId="0" xfId="0" applyFont="1" applyAlignment="1">
      <alignment vertical="top"/>
    </xf>
    <xf numFmtId="0" fontId="4" fillId="0" borderId="0" xfId="0" applyFont="1" applyAlignment="1">
      <alignment vertical="top"/>
    </xf>
    <xf numFmtId="0" fontId="5" fillId="0" borderId="0" xfId="0" applyFont="1" applyAlignment="1">
      <alignment horizontal="center"/>
    </xf>
    <xf numFmtId="0" fontId="5" fillId="0" borderId="0" xfId="0" applyFont="1"/>
    <xf numFmtId="0" fontId="5" fillId="0" borderId="0" xfId="0" applyFont="1" applyAlignment="1">
      <alignment wrapText="1"/>
    </xf>
    <xf numFmtId="0" fontId="6" fillId="0" borderId="0" xfId="0" applyFont="1" applyAlignment="1">
      <alignment vertical="top"/>
    </xf>
    <xf numFmtId="0" fontId="5" fillId="0" borderId="0" xfId="0" applyFont="1" applyAlignment="1">
      <alignment vertical="top"/>
    </xf>
    <xf numFmtId="0" fontId="21" fillId="0" borderId="0" xfId="0" applyFont="1" applyAlignment="1">
      <alignment wrapText="1"/>
    </xf>
    <xf numFmtId="0" fontId="21" fillId="0" borderId="0" xfId="0" applyFont="1"/>
    <xf numFmtId="0" fontId="22" fillId="0" borderId="0" xfId="0" applyFont="1" applyAlignment="1">
      <alignment vertical="top"/>
    </xf>
    <xf numFmtId="0" fontId="21" fillId="0" borderId="0" xfId="0" applyFont="1" applyAlignment="1">
      <alignment vertical="top"/>
    </xf>
    <xf numFmtId="0" fontId="21" fillId="0" borderId="0" xfId="0" applyFont="1" applyAlignment="1">
      <alignment horizontal="center"/>
    </xf>
    <xf numFmtId="0" fontId="22" fillId="0" borderId="0" xfId="0" applyFont="1" applyAlignment="1">
      <alignment wrapText="1"/>
    </xf>
    <xf numFmtId="165" fontId="21" fillId="0" borderId="0" xfId="0" applyNumberFormat="1" applyFont="1" applyAlignment="1">
      <alignment wrapText="1"/>
    </xf>
    <xf numFmtId="0" fontId="0" fillId="0" borderId="2" xfId="0" applyBorder="1"/>
    <xf numFmtId="164" fontId="21" fillId="0" borderId="3" xfId="1" applyNumberFormat="1" applyFont="1" applyBorder="1" applyAlignment="1">
      <alignment horizontal="left" vertical="center" wrapText="1"/>
    </xf>
    <xf numFmtId="164" fontId="22" fillId="0" borderId="4" xfId="1" applyNumberFormat="1" applyFont="1" applyBorder="1" applyAlignment="1">
      <alignment horizontal="center" vertical="center" wrapText="1"/>
    </xf>
    <xf numFmtId="164" fontId="21" fillId="0" borderId="4" xfId="1" applyNumberFormat="1" applyFont="1" applyBorder="1" applyAlignment="1">
      <alignment horizontal="left" vertical="center" wrapText="1"/>
    </xf>
    <xf numFmtId="164" fontId="22" fillId="0" borderId="3" xfId="1" applyNumberFormat="1" applyFont="1" applyBorder="1" applyAlignment="1">
      <alignment horizontal="center" vertical="center" wrapText="1"/>
    </xf>
    <xf numFmtId="0" fontId="25" fillId="0" borderId="3" xfId="0" applyFont="1" applyBorder="1" applyAlignment="1">
      <alignment horizontal="center" vertical="center"/>
    </xf>
    <xf numFmtId="0" fontId="25" fillId="0" borderId="5" xfId="0" applyFont="1" applyBorder="1" applyAlignment="1">
      <alignment vertical="center"/>
    </xf>
    <xf numFmtId="0" fontId="25" fillId="0" borderId="4" xfId="0" applyFont="1" applyBorder="1" applyAlignment="1">
      <alignment horizontal="center" vertical="center"/>
    </xf>
    <xf numFmtId="0" fontId="25" fillId="0" borderId="4" xfId="0" applyFont="1" applyBorder="1" applyAlignment="1">
      <alignment vertical="center"/>
    </xf>
    <xf numFmtId="0" fontId="24" fillId="0" borderId="4" xfId="0" applyFont="1" applyBorder="1" applyAlignment="1">
      <alignment horizontal="center" vertical="center"/>
    </xf>
    <xf numFmtId="0" fontId="28" fillId="0" borderId="0" xfId="0" applyFont="1" applyAlignment="1">
      <alignment vertical="center"/>
    </xf>
    <xf numFmtId="0" fontId="25" fillId="0" borderId="0" xfId="0" applyFont="1" applyAlignment="1">
      <alignment vertical="center"/>
    </xf>
    <xf numFmtId="0" fontId="25" fillId="0" borderId="5" xfId="0" applyFont="1" applyBorder="1" applyAlignment="1">
      <alignment vertical="center" wrapText="1"/>
    </xf>
    <xf numFmtId="0" fontId="24" fillId="0" borderId="0" xfId="0" applyFont="1" applyAlignment="1">
      <alignment vertical="center"/>
    </xf>
    <xf numFmtId="0" fontId="24" fillId="0" borderId="3" xfId="0" applyFont="1" applyBorder="1" applyAlignment="1">
      <alignment vertical="center"/>
    </xf>
    <xf numFmtId="0" fontId="24" fillId="0" borderId="0" xfId="0" applyFont="1" applyAlignment="1">
      <alignment horizontal="center" vertical="center"/>
    </xf>
    <xf numFmtId="0" fontId="24" fillId="0" borderId="4" xfId="0" applyFont="1" applyBorder="1" applyAlignment="1">
      <alignment vertical="center"/>
    </xf>
    <xf numFmtId="0" fontId="24" fillId="0" borderId="5" xfId="0" applyFont="1" applyBorder="1" applyAlignment="1">
      <alignment vertical="center" wrapText="1"/>
    </xf>
    <xf numFmtId="0" fontId="25" fillId="0" borderId="4" xfId="0" applyFont="1" applyBorder="1" applyAlignment="1">
      <alignment vertical="center" wrapText="1"/>
    </xf>
    <xf numFmtId="0" fontId="0" fillId="0" borderId="0" xfId="0" applyAlignment="1">
      <alignment vertical="top"/>
    </xf>
    <xf numFmtId="0" fontId="25" fillId="0" borderId="4" xfId="0" applyFont="1" applyBorder="1" applyAlignment="1">
      <alignment horizontal="center" vertical="center" wrapText="1"/>
    </xf>
    <xf numFmtId="0" fontId="14" fillId="0" borderId="0" xfId="0" applyFont="1" applyAlignment="1">
      <alignment horizontal="right" vertical="center"/>
    </xf>
    <xf numFmtId="0" fontId="18" fillId="0" borderId="0" xfId="0" applyFont="1" applyAlignment="1">
      <alignment vertical="center"/>
    </xf>
    <xf numFmtId="0" fontId="14" fillId="0" borderId="0" xfId="0" applyFont="1" applyAlignment="1">
      <alignment horizontal="center" vertical="center"/>
    </xf>
    <xf numFmtId="0" fontId="14" fillId="0" borderId="3" xfId="0" applyFont="1" applyBorder="1" applyAlignment="1">
      <alignment vertical="center"/>
    </xf>
    <xf numFmtId="0" fontId="14" fillId="0" borderId="0" xfId="0" applyFont="1" applyAlignment="1">
      <alignment vertical="center"/>
    </xf>
    <xf numFmtId="0" fontId="9" fillId="0" borderId="6" xfId="0" applyFont="1" applyBorder="1" applyAlignment="1">
      <alignment vertical="center"/>
    </xf>
    <xf numFmtId="0" fontId="9" fillId="0" borderId="0" xfId="0" applyFont="1" applyAlignment="1">
      <alignment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wrapText="1"/>
    </xf>
    <xf numFmtId="0" fontId="22" fillId="0" borderId="0" xfId="0" applyFont="1" applyAlignment="1">
      <alignment horizontal="center" vertical="center"/>
    </xf>
    <xf numFmtId="164" fontId="22" fillId="0" borderId="8" xfId="1" applyNumberFormat="1" applyFont="1" applyBorder="1" applyAlignment="1">
      <alignment horizontal="center" vertical="center" wrapText="1"/>
    </xf>
    <xf numFmtId="164" fontId="22" fillId="0" borderId="9" xfId="1" quotePrefix="1" applyNumberFormat="1" applyFont="1" applyBorder="1" applyAlignment="1">
      <alignment horizontal="center" vertical="center" wrapText="1"/>
    </xf>
    <xf numFmtId="0" fontId="23" fillId="0" borderId="0" xfId="0" applyFont="1"/>
    <xf numFmtId="164" fontId="22" fillId="0" borderId="10"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164" fontId="22" fillId="0" borderId="12" xfId="1" applyNumberFormat="1" applyFont="1" applyBorder="1" applyAlignment="1">
      <alignment horizontal="center" vertical="center" wrapText="1"/>
    </xf>
    <xf numFmtId="164" fontId="22" fillId="0" borderId="13" xfId="1" quotePrefix="1" applyNumberFormat="1" applyFont="1" applyBorder="1" applyAlignment="1">
      <alignment horizontal="center" vertical="center" wrapText="1"/>
    </xf>
    <xf numFmtId="164" fontId="22" fillId="0" borderId="14" xfId="1" quotePrefix="1" applyNumberFormat="1" applyFont="1" applyBorder="1" applyAlignment="1">
      <alignment horizontal="center" vertical="center" wrapText="1"/>
    </xf>
    <xf numFmtId="0" fontId="22" fillId="0" borderId="15" xfId="0" applyFont="1" applyBorder="1" applyAlignment="1">
      <alignment horizontal="right" vertical="top" wrapText="1"/>
    </xf>
    <xf numFmtId="49" fontId="22" fillId="0" borderId="17" xfId="1" quotePrefix="1" applyNumberFormat="1" applyFont="1" applyFill="1" applyBorder="1" applyAlignment="1">
      <alignment horizontal="center" vertical="center" wrapText="1"/>
    </xf>
    <xf numFmtId="49" fontId="22" fillId="0" borderId="17" xfId="1" applyNumberFormat="1" applyFont="1" applyFill="1" applyBorder="1" applyAlignment="1">
      <alignment horizontal="center" vertical="center" wrapText="1"/>
    </xf>
    <xf numFmtId="49" fontId="29" fillId="0" borderId="17" xfId="1" quotePrefix="1" applyNumberFormat="1" applyFont="1" applyFill="1" applyBorder="1" applyAlignment="1">
      <alignment horizontal="center" vertical="center" wrapText="1"/>
    </xf>
    <xf numFmtId="0" fontId="23" fillId="0" borderId="0" xfId="0" applyFont="1" applyAlignment="1">
      <alignment horizontal="center"/>
    </xf>
    <xf numFmtId="49" fontId="22" fillId="0" borderId="18" xfId="1" quotePrefix="1" applyNumberFormat="1" applyFont="1" applyFill="1" applyBorder="1" applyAlignment="1">
      <alignment horizontal="center" vertical="center" wrapText="1"/>
    </xf>
    <xf numFmtId="49" fontId="22" fillId="0" borderId="19" xfId="1" applyNumberFormat="1" applyFont="1" applyFill="1" applyBorder="1" applyAlignment="1">
      <alignment horizontal="center" vertical="center" wrapText="1"/>
    </xf>
    <xf numFmtId="0" fontId="21" fillId="0" borderId="26" xfId="0" applyFont="1" applyBorder="1" applyAlignment="1">
      <alignment horizontal="right" vertical="center" wrapText="1"/>
    </xf>
    <xf numFmtId="0" fontId="21" fillId="0" borderId="27" xfId="0" applyFont="1" applyBorder="1" applyAlignment="1">
      <alignment horizontal="left" vertical="center" wrapText="1"/>
    </xf>
    <xf numFmtId="0" fontId="21" fillId="0" borderId="27" xfId="0" applyFont="1" applyBorder="1" applyAlignment="1">
      <alignment horizontal="center" vertical="center" wrapText="1"/>
    </xf>
    <xf numFmtId="0" fontId="21" fillId="0" borderId="28" xfId="0" applyFont="1" applyBorder="1" applyAlignment="1">
      <alignment vertical="center"/>
    </xf>
    <xf numFmtId="0" fontId="6" fillId="0" borderId="26" xfId="0" applyFont="1" applyBorder="1" applyAlignment="1">
      <alignment horizontal="right" vertical="center" wrapText="1"/>
    </xf>
    <xf numFmtId="0" fontId="5" fillId="0" borderId="26" xfId="0" applyFont="1" applyBorder="1" applyAlignment="1">
      <alignment horizontal="right" vertical="center" wrapText="1"/>
    </xf>
    <xf numFmtId="0" fontId="22" fillId="0" borderId="26" xfId="0" applyFont="1" applyBorder="1" applyAlignment="1">
      <alignment horizontal="right" vertical="center" wrapText="1"/>
    </xf>
    <xf numFmtId="0" fontId="21" fillId="0" borderId="29" xfId="0" applyFont="1" applyBorder="1" applyAlignment="1">
      <alignment horizontal="center" vertical="center" wrapText="1"/>
    </xf>
    <xf numFmtId="0" fontId="22" fillId="0" borderId="31" xfId="0" applyFont="1" applyBorder="1" applyAlignment="1">
      <alignment horizontal="justify" vertical="center" wrapText="1"/>
    </xf>
    <xf numFmtId="0" fontId="21"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164" fontId="22" fillId="0" borderId="20" xfId="1" applyNumberFormat="1" applyFont="1" applyBorder="1" applyAlignment="1">
      <alignment horizontal="center" vertical="center" wrapText="1"/>
    </xf>
    <xf numFmtId="164" fontId="22" fillId="0" borderId="21" xfId="1" applyNumberFormat="1" applyFont="1" applyBorder="1" applyAlignment="1">
      <alignment horizontal="center" vertical="center" wrapText="1"/>
    </xf>
    <xf numFmtId="164" fontId="22" fillId="0" borderId="22" xfId="1" applyNumberFormat="1" applyFont="1" applyBorder="1" applyAlignment="1">
      <alignment horizontal="center" vertical="center" wrapText="1"/>
    </xf>
    <xf numFmtId="164" fontId="22" fillId="0" borderId="23" xfId="1"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xf>
    <xf numFmtId="0" fontId="22" fillId="0" borderId="16" xfId="0" applyFont="1" applyBorder="1" applyAlignment="1">
      <alignment vertical="center"/>
    </xf>
    <xf numFmtId="0" fontId="21" fillId="0" borderId="15" xfId="0" applyFont="1" applyBorder="1" applyAlignment="1">
      <alignment horizontal="center" vertical="center" wrapText="1"/>
    </xf>
    <xf numFmtId="0" fontId="21"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33" xfId="0" applyFont="1" applyBorder="1" applyAlignment="1">
      <alignment horizontal="center" vertical="center" wrapText="1"/>
    </xf>
    <xf numFmtId="0" fontId="21" fillId="0" borderId="34" xfId="0" applyFont="1" applyBorder="1" applyAlignment="1">
      <alignment vertical="center"/>
    </xf>
    <xf numFmtId="0" fontId="22" fillId="0" borderId="0" xfId="0" applyFont="1"/>
    <xf numFmtId="0" fontId="21" fillId="0" borderId="0" xfId="0" applyFont="1" applyAlignment="1">
      <alignment vertical="center" wrapText="1"/>
    </xf>
    <xf numFmtId="0" fontId="22" fillId="0" borderId="0" xfId="0" applyFont="1" applyAlignment="1">
      <alignment vertical="center" wrapText="1"/>
    </xf>
    <xf numFmtId="0" fontId="22" fillId="0" borderId="27" xfId="0" applyFont="1" applyBorder="1" applyAlignment="1">
      <alignment horizontal="center" vertical="center" wrapText="1"/>
    </xf>
    <xf numFmtId="0" fontId="23" fillId="0" borderId="0" xfId="0" applyFont="1" applyAlignment="1">
      <alignment horizontal="center" vertical="center"/>
    </xf>
    <xf numFmtId="0" fontId="21"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2" fillId="0" borderId="0" xfId="0" applyFont="1" applyAlignment="1">
      <alignment vertical="center"/>
    </xf>
    <xf numFmtId="0" fontId="5" fillId="0" borderId="0" xfId="0" applyFont="1" applyAlignment="1">
      <alignment vertical="center" wrapText="1"/>
    </xf>
    <xf numFmtId="0" fontId="0" fillId="0" borderId="0" xfId="0" applyAlignment="1">
      <alignment vertical="center" wrapText="1"/>
    </xf>
    <xf numFmtId="0" fontId="25" fillId="0" borderId="22"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wrapText="1"/>
    </xf>
    <xf numFmtId="0" fontId="0" fillId="0" borderId="2" xfId="0" applyBorder="1" applyAlignment="1">
      <alignment vertical="center"/>
    </xf>
    <xf numFmtId="0" fontId="23" fillId="0" borderId="0" xfId="0" applyFont="1" applyAlignment="1">
      <alignment vertical="center"/>
    </xf>
    <xf numFmtId="0" fontId="9" fillId="0" borderId="0" xfId="0" applyFont="1" applyAlignment="1">
      <alignment horizontal="left"/>
    </xf>
    <xf numFmtId="0" fontId="30" fillId="0" borderId="0" xfId="0" applyFont="1" applyAlignment="1">
      <alignment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0" xfId="0" applyFont="1" applyBorder="1" applyAlignment="1">
      <alignment vertical="center"/>
    </xf>
    <xf numFmtId="0" fontId="14" fillId="0" borderId="21" xfId="0" applyFont="1" applyBorder="1" applyAlignment="1">
      <alignment vertical="center"/>
    </xf>
    <xf numFmtId="0" fontId="9" fillId="0" borderId="41" xfId="0" applyFont="1" applyBorder="1" applyAlignment="1">
      <alignment horizontal="center" vertical="center"/>
    </xf>
    <xf numFmtId="0" fontId="9" fillId="0" borderId="42" xfId="0" applyFont="1" applyBorder="1" applyAlignment="1">
      <alignment vertical="center"/>
    </xf>
    <xf numFmtId="0" fontId="9" fillId="0" borderId="22" xfId="0" applyFont="1" applyBorder="1" applyAlignment="1">
      <alignment horizontal="center" vertical="center"/>
    </xf>
    <xf numFmtId="0" fontId="9" fillId="0" borderId="23" xfId="0" applyFont="1" applyBorder="1" applyAlignment="1">
      <alignment vertical="center"/>
    </xf>
    <xf numFmtId="0" fontId="9" fillId="0" borderId="22" xfId="0" quotePrefix="1" applyFont="1" applyBorder="1" applyAlignment="1">
      <alignment horizontal="center" vertical="center"/>
    </xf>
    <xf numFmtId="0" fontId="17" fillId="0" borderId="22" xfId="0" quotePrefix="1" applyFont="1" applyBorder="1" applyAlignment="1">
      <alignment horizontal="center" vertical="center"/>
    </xf>
    <xf numFmtId="0" fontId="9" fillId="0" borderId="43" xfId="0" applyFont="1" applyBorder="1" applyAlignment="1">
      <alignment vertical="center"/>
    </xf>
    <xf numFmtId="0" fontId="9" fillId="0" borderId="35" xfId="0" quotePrefix="1" applyFont="1" applyBorder="1" applyAlignment="1">
      <alignment horizontal="center" vertical="center"/>
    </xf>
    <xf numFmtId="0" fontId="9" fillId="0" borderId="36" xfId="0" applyFont="1" applyBorder="1" applyAlignment="1">
      <alignment vertical="center"/>
    </xf>
    <xf numFmtId="0" fontId="9" fillId="0" borderId="25" xfId="0" applyFont="1" applyBorder="1" applyAlignment="1">
      <alignment vertical="center"/>
    </xf>
    <xf numFmtId="0" fontId="14" fillId="0" borderId="41" xfId="0" applyFont="1" applyBorder="1" applyAlignment="1">
      <alignment horizontal="center" vertical="center"/>
    </xf>
    <xf numFmtId="0" fontId="14" fillId="0" borderId="42" xfId="0" applyFont="1" applyBorder="1" applyAlignment="1">
      <alignment vertical="center"/>
    </xf>
    <xf numFmtId="0" fontId="25" fillId="0" borderId="23" xfId="0" applyFont="1" applyBorder="1" applyAlignment="1">
      <alignment vertical="center"/>
    </xf>
    <xf numFmtId="0" fontId="30" fillId="0" borderId="22" xfId="0" applyFont="1" applyBorder="1" applyAlignment="1">
      <alignment horizontal="center" vertical="center"/>
    </xf>
    <xf numFmtId="0" fontId="25" fillId="0" borderId="36" xfId="0" applyFont="1" applyBorder="1" applyAlignment="1">
      <alignment vertical="center"/>
    </xf>
    <xf numFmtId="0" fontId="24" fillId="0" borderId="35" xfId="0" quotePrefix="1" applyFont="1" applyBorder="1" applyAlignment="1">
      <alignment horizontal="center" vertical="center"/>
    </xf>
    <xf numFmtId="0" fontId="25" fillId="0" borderId="35" xfId="0" quotePrefix="1" applyFont="1" applyBorder="1" applyAlignment="1">
      <alignment horizontal="center" vertical="center"/>
    </xf>
    <xf numFmtId="0" fontId="25" fillId="0" borderId="40" xfId="0" applyFont="1" applyBorder="1" applyAlignment="1">
      <alignment horizontal="center" vertical="center"/>
    </xf>
    <xf numFmtId="0" fontId="25" fillId="0" borderId="25" xfId="0" applyFont="1" applyBorder="1" applyAlignment="1">
      <alignment vertical="center"/>
    </xf>
    <xf numFmtId="0" fontId="25" fillId="0" borderId="22" xfId="0" quotePrefix="1" applyFont="1" applyBorder="1" applyAlignment="1">
      <alignment horizontal="center" vertical="center"/>
    </xf>
    <xf numFmtId="0" fontId="24" fillId="0" borderId="5" xfId="0" applyFont="1" applyBorder="1" applyAlignment="1">
      <alignment vertical="center"/>
    </xf>
    <xf numFmtId="0" fontId="25" fillId="4" borderId="4" xfId="0" applyFont="1" applyFill="1" applyBorder="1" applyAlignment="1">
      <alignment vertical="center"/>
    </xf>
    <xf numFmtId="0" fontId="24" fillId="0" borderId="4" xfId="0" applyFont="1" applyBorder="1" applyAlignment="1">
      <alignment vertical="center" wrapText="1"/>
    </xf>
    <xf numFmtId="0" fontId="14" fillId="0" borderId="8" xfId="0" applyFont="1" applyBorder="1" applyAlignment="1">
      <alignment vertical="center"/>
    </xf>
    <xf numFmtId="0" fontId="25" fillId="0" borderId="6" xfId="0" applyFont="1" applyBorder="1" applyAlignment="1">
      <alignment vertical="center"/>
    </xf>
    <xf numFmtId="0" fontId="9" fillId="0" borderId="4" xfId="0" applyFont="1" applyBorder="1" applyAlignment="1">
      <alignment horizontal="left" vertical="center" wrapText="1"/>
    </xf>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xf numFmtId="164" fontId="22" fillId="0" borderId="45" xfId="1" applyNumberFormat="1" applyFont="1" applyBorder="1" applyAlignment="1">
      <alignment horizontal="center" vertical="center" wrapText="1"/>
    </xf>
    <xf numFmtId="0" fontId="22" fillId="0" borderId="27" xfId="0" applyFont="1" applyBorder="1" applyAlignment="1">
      <alignment horizontal="left" vertical="center" wrapText="1"/>
    </xf>
    <xf numFmtId="0" fontId="22" fillId="0" borderId="46" xfId="0" applyFont="1" applyBorder="1" applyAlignment="1">
      <alignment horizontal="right" vertical="center" wrapText="1"/>
    </xf>
    <xf numFmtId="164" fontId="22" fillId="0" borderId="3" xfId="1" quotePrefix="1" applyNumberFormat="1" applyFont="1" applyBorder="1" applyAlignment="1">
      <alignment horizontal="center" vertical="center" wrapText="1"/>
    </xf>
    <xf numFmtId="164" fontId="22" fillId="0" borderId="21" xfId="1" quotePrefix="1" applyNumberFormat="1" applyFont="1" applyBorder="1" applyAlignment="1">
      <alignment horizontal="center" vertical="center" wrapText="1"/>
    </xf>
    <xf numFmtId="0" fontId="24" fillId="0" borderId="0" xfId="0" applyFont="1" applyAlignment="1">
      <alignment horizontal="right"/>
    </xf>
    <xf numFmtId="0" fontId="6" fillId="0" borderId="47" xfId="6" applyFont="1" applyBorder="1" applyAlignment="1">
      <alignment horizontal="center" vertical="center" wrapText="1"/>
    </xf>
    <xf numFmtId="164" fontId="22" fillId="0" borderId="3" xfId="1" applyNumberFormat="1" applyFont="1" applyBorder="1" applyAlignment="1">
      <alignment horizontal="left" vertical="center" wrapText="1"/>
    </xf>
    <xf numFmtId="0" fontId="22" fillId="0" borderId="0" xfId="0" applyFont="1" applyAlignment="1">
      <alignment horizontal="center"/>
    </xf>
    <xf numFmtId="0" fontId="12" fillId="0" borderId="0" xfId="0" applyFont="1" applyAlignment="1">
      <alignment horizontal="center"/>
    </xf>
    <xf numFmtId="0" fontId="33" fillId="0" borderId="33" xfId="0" applyFont="1" applyBorder="1" applyAlignment="1">
      <alignment horizontal="center" vertical="center" wrapText="1"/>
    </xf>
    <xf numFmtId="164" fontId="22" fillId="0" borderId="38" xfId="1" applyNumberFormat="1" applyFont="1" applyBorder="1" applyAlignment="1">
      <alignment horizontal="center" vertical="center" wrapText="1"/>
    </xf>
    <xf numFmtId="0" fontId="7" fillId="0" borderId="17" xfId="0" applyFont="1" applyBorder="1" applyAlignment="1">
      <alignment horizontal="left" vertical="top" wrapText="1"/>
    </xf>
    <xf numFmtId="0" fontId="7" fillId="0" borderId="17" xfId="0" applyFont="1" applyBorder="1" applyAlignment="1">
      <alignment horizontal="justify" vertical="top" wrapText="1"/>
    </xf>
    <xf numFmtId="0" fontId="7" fillId="0" borderId="17" xfId="0" applyFont="1" applyBorder="1" applyAlignment="1">
      <alignment horizontal="center" vertical="top" wrapText="1"/>
    </xf>
    <xf numFmtId="0" fontId="7" fillId="0" borderId="17" xfId="0" applyFont="1" applyBorder="1" applyAlignment="1">
      <alignment vertical="top"/>
    </xf>
    <xf numFmtId="0" fontId="7" fillId="0" borderId="17" xfId="0" applyFont="1" applyBorder="1" applyAlignment="1">
      <alignment horizontal="left" vertical="top"/>
    </xf>
    <xf numFmtId="0" fontId="5" fillId="0" borderId="17" xfId="0" applyFont="1" applyBorder="1" applyAlignment="1">
      <alignment horizontal="left" vertical="top"/>
    </xf>
    <xf numFmtId="0" fontId="5" fillId="0" borderId="17" xfId="0" applyFont="1" applyBorder="1" applyAlignment="1">
      <alignment vertical="top"/>
    </xf>
    <xf numFmtId="0" fontId="5" fillId="0" borderId="17" xfId="0" applyFont="1" applyBorder="1" applyAlignment="1">
      <alignment horizontal="center" vertical="top"/>
    </xf>
    <xf numFmtId="0" fontId="5" fillId="0" borderId="17" xfId="0" applyFont="1" applyBorder="1" applyAlignment="1">
      <alignment horizontal="justify" vertical="top" wrapText="1"/>
    </xf>
    <xf numFmtId="0" fontId="5" fillId="0" borderId="17" xfId="0" applyFont="1" applyBorder="1" applyAlignment="1">
      <alignment horizontal="center" vertical="top" wrapText="1"/>
    </xf>
    <xf numFmtId="0" fontId="5" fillId="0" borderId="0" xfId="0" applyFont="1" applyAlignment="1">
      <alignment horizontal="center" vertical="top"/>
    </xf>
    <xf numFmtId="0" fontId="22" fillId="0" borderId="33" xfId="0" applyFont="1" applyBorder="1" applyAlignment="1">
      <alignment vertical="center"/>
    </xf>
    <xf numFmtId="0" fontId="7" fillId="2" borderId="17" xfId="0" applyFont="1" applyFill="1" applyBorder="1" applyAlignment="1">
      <alignment horizontal="justify" vertical="top" wrapText="1"/>
    </xf>
    <xf numFmtId="0" fontId="7" fillId="3" borderId="17" xfId="0" applyFont="1" applyFill="1" applyBorder="1" applyAlignment="1">
      <alignment horizontal="justify" vertical="top" wrapText="1"/>
    </xf>
    <xf numFmtId="0" fontId="5" fillId="2" borderId="17" xfId="0" applyFont="1" applyFill="1" applyBorder="1" applyAlignment="1">
      <alignment horizontal="left" vertical="top"/>
    </xf>
    <xf numFmtId="0" fontId="5" fillId="3" borderId="17" xfId="0" applyFont="1" applyFill="1" applyBorder="1" applyAlignment="1">
      <alignment horizontal="left" vertical="top"/>
    </xf>
    <xf numFmtId="0" fontId="5" fillId="0" borderId="0" xfId="0" applyFont="1" applyAlignment="1">
      <alignment horizontal="center" vertical="center" wrapText="1"/>
    </xf>
    <xf numFmtId="0" fontId="21" fillId="0" borderId="0" xfId="0" applyFont="1" applyAlignment="1">
      <alignment horizontal="center" wrapText="1"/>
    </xf>
    <xf numFmtId="0" fontId="5" fillId="0" borderId="0" xfId="0" applyFont="1" applyAlignment="1">
      <alignment horizontal="center" wrapText="1"/>
    </xf>
    <xf numFmtId="0" fontId="39" fillId="0" borderId="24" xfId="0" applyFont="1" applyBorder="1" applyAlignment="1">
      <alignment vertical="center"/>
    </xf>
    <xf numFmtId="41" fontId="18" fillId="0" borderId="0" xfId="2" applyFont="1" applyAlignment="1">
      <alignment vertical="center"/>
    </xf>
    <xf numFmtId="41" fontId="14" fillId="0" borderId="11" xfId="2" applyFont="1" applyBorder="1" applyAlignment="1">
      <alignment horizontal="center" vertical="center" wrapText="1"/>
    </xf>
    <xf numFmtId="41" fontId="14" fillId="0" borderId="3" xfId="2" applyFont="1" applyBorder="1" applyAlignment="1">
      <alignment vertical="center"/>
    </xf>
    <xf numFmtId="41" fontId="14" fillId="0" borderId="6" xfId="2" applyFont="1" applyBorder="1" applyAlignment="1">
      <alignment vertical="center"/>
    </xf>
    <xf numFmtId="41" fontId="25" fillId="0" borderId="4" xfId="2" applyFont="1" applyBorder="1" applyAlignment="1">
      <alignment vertical="center"/>
    </xf>
    <xf numFmtId="41" fontId="25" fillId="0" borderId="5" xfId="2" applyFont="1" applyBorder="1" applyAlignment="1">
      <alignment vertical="center"/>
    </xf>
    <xf numFmtId="41" fontId="28" fillId="0" borderId="0" xfId="2" applyFont="1" applyAlignment="1">
      <alignment vertical="center"/>
    </xf>
    <xf numFmtId="41" fontId="25" fillId="0" borderId="0" xfId="2" applyFont="1" applyAlignment="1">
      <alignment vertical="center"/>
    </xf>
    <xf numFmtId="41" fontId="24" fillId="0" borderId="3" xfId="2" applyFont="1" applyBorder="1" applyAlignment="1">
      <alignment vertical="center"/>
    </xf>
    <xf numFmtId="41" fontId="9" fillId="0" borderId="6" xfId="2" applyFont="1" applyBorder="1" applyAlignment="1">
      <alignment vertical="center"/>
    </xf>
    <xf numFmtId="41" fontId="9" fillId="0" borderId="4" xfId="2" applyFont="1" applyBorder="1" applyAlignment="1">
      <alignment vertical="center"/>
    </xf>
    <xf numFmtId="41" fontId="9" fillId="0" borderId="7" xfId="2" applyFont="1" applyBorder="1" applyAlignment="1">
      <alignment vertical="center"/>
    </xf>
    <xf numFmtId="41" fontId="9" fillId="0" borderId="5" xfId="2" applyFont="1" applyBorder="1" applyAlignment="1">
      <alignment vertical="center"/>
    </xf>
    <xf numFmtId="41" fontId="24" fillId="0" borderId="5" xfId="2" applyFont="1" applyBorder="1" applyAlignment="1">
      <alignment vertical="center"/>
    </xf>
    <xf numFmtId="164" fontId="24" fillId="0" borderId="4" xfId="1" applyNumberFormat="1" applyFont="1" applyBorder="1" applyAlignment="1">
      <alignment vertical="center"/>
    </xf>
    <xf numFmtId="164" fontId="25" fillId="0" borderId="4" xfId="1" applyNumberFormat="1" applyFont="1" applyBorder="1" applyAlignment="1">
      <alignment vertical="center"/>
    </xf>
    <xf numFmtId="164" fontId="25" fillId="0" borderId="5" xfId="1" applyNumberFormat="1" applyFont="1" applyBorder="1" applyAlignment="1">
      <alignment vertical="center"/>
    </xf>
    <xf numFmtId="164" fontId="24" fillId="0" borderId="4" xfId="0" applyNumberFormat="1" applyFont="1" applyBorder="1" applyAlignment="1">
      <alignment vertical="center"/>
    </xf>
    <xf numFmtId="0" fontId="22" fillId="4" borderId="0" xfId="0" applyFont="1" applyFill="1"/>
    <xf numFmtId="164" fontId="22" fillId="0" borderId="54" xfId="1" applyNumberFormat="1" applyFont="1" applyFill="1" applyBorder="1" applyAlignment="1">
      <alignment horizontal="center" vertical="top" wrapText="1"/>
    </xf>
    <xf numFmtId="0" fontId="40" fillId="0" borderId="0" xfId="0" applyFont="1"/>
    <xf numFmtId="0" fontId="30" fillId="0" borderId="0" xfId="0" applyFont="1" applyAlignment="1">
      <alignment horizontal="right" vertical="center" wrapText="1"/>
    </xf>
    <xf numFmtId="49" fontId="22" fillId="0" borderId="54" xfId="1" quotePrefix="1" applyNumberFormat="1" applyFont="1" applyFill="1" applyBorder="1" applyAlignment="1">
      <alignment vertical="center" wrapText="1"/>
    </xf>
    <xf numFmtId="49" fontId="22" fillId="0" borderId="54" xfId="1" quotePrefix="1" applyNumberFormat="1" applyFont="1" applyFill="1" applyBorder="1" applyAlignment="1">
      <alignment horizontal="center" vertical="center" wrapText="1"/>
    </xf>
    <xf numFmtId="49" fontId="22" fillId="0" borderId="54" xfId="1" applyNumberFormat="1" applyFont="1" applyFill="1" applyBorder="1" applyAlignment="1">
      <alignment horizontal="center" vertical="center" wrapText="1"/>
    </xf>
    <xf numFmtId="49" fontId="22" fillId="0" borderId="59" xfId="1" applyNumberFormat="1" applyFont="1" applyFill="1" applyBorder="1" applyAlignment="1">
      <alignment horizontal="center" vertical="center" wrapText="1"/>
    </xf>
    <xf numFmtId="164" fontId="41" fillId="0" borderId="3" xfId="1" applyNumberFormat="1" applyFont="1" applyBorder="1" applyAlignment="1">
      <alignment horizontal="left" vertical="center" wrapText="1"/>
    </xf>
    <xf numFmtId="164" fontId="41" fillId="0" borderId="4" xfId="1" applyNumberFormat="1" applyFont="1" applyBorder="1" applyAlignment="1">
      <alignment horizontal="left" vertical="center" wrapText="1"/>
    </xf>
    <xf numFmtId="0" fontId="5" fillId="3" borderId="17" xfId="0" applyFont="1" applyFill="1" applyBorder="1" applyAlignment="1">
      <alignment horizontal="left" vertical="top" wrapText="1"/>
    </xf>
    <xf numFmtId="0" fontId="5" fillId="0" borderId="17" xfId="0" applyFont="1" applyBorder="1" applyAlignment="1">
      <alignment horizontal="left" vertical="top" wrapText="1"/>
    </xf>
    <xf numFmtId="0" fontId="25" fillId="0" borderId="23" xfId="0" applyFont="1" applyBorder="1" applyAlignment="1">
      <alignment vertical="center" wrapText="1"/>
    </xf>
    <xf numFmtId="41" fontId="24" fillId="0" borderId="24" xfId="2" applyFont="1" applyBorder="1" applyAlignment="1">
      <alignment vertical="center"/>
    </xf>
    <xf numFmtId="164" fontId="22" fillId="0" borderId="54" xfId="1" applyNumberFormat="1" applyFont="1" applyFill="1" applyBorder="1" applyAlignment="1">
      <alignment vertical="center" wrapText="1"/>
    </xf>
    <xf numFmtId="164" fontId="22" fillId="0" borderId="54" xfId="1" applyNumberFormat="1" applyFont="1" applyFill="1" applyBorder="1" applyAlignment="1">
      <alignment horizontal="center" vertical="center" wrapText="1"/>
    </xf>
    <xf numFmtId="0" fontId="5" fillId="0" borderId="54" xfId="0" applyFont="1" applyBorder="1" applyAlignment="1">
      <alignment horizontal="center" vertical="top" wrapText="1"/>
    </xf>
    <xf numFmtId="0" fontId="5" fillId="0" borderId="54" xfId="0" applyFont="1" applyBorder="1" applyAlignment="1">
      <alignment horizontal="center" vertical="center" wrapText="1"/>
    </xf>
    <xf numFmtId="0" fontId="5" fillId="0" borderId="27" xfId="0" applyFont="1" applyBorder="1" applyAlignment="1">
      <alignment horizontal="center" vertical="center" wrapText="1"/>
    </xf>
    <xf numFmtId="0" fontId="6" fillId="0" borderId="54" xfId="0" applyFont="1" applyBorder="1" applyAlignment="1">
      <alignment horizontal="center" vertical="center"/>
    </xf>
    <xf numFmtId="0" fontId="6" fillId="0" borderId="54" xfId="0" applyFont="1" applyBorder="1" applyAlignment="1">
      <alignment horizontal="left" vertical="center"/>
    </xf>
    <xf numFmtId="0" fontId="5" fillId="0" borderId="54" xfId="0" applyFont="1" applyBorder="1" applyAlignment="1">
      <alignment horizontal="center" vertical="center"/>
    </xf>
    <xf numFmtId="0" fontId="21" fillId="0" borderId="54" xfId="0" applyFont="1" applyBorder="1" applyAlignment="1">
      <alignment horizontal="justify" vertical="center" wrapText="1"/>
    </xf>
    <xf numFmtId="0" fontId="21" fillId="0" borderId="54" xfId="0" applyFont="1" applyBorder="1" applyAlignment="1">
      <alignment horizontal="center" vertical="center" wrapText="1"/>
    </xf>
    <xf numFmtId="0" fontId="8" fillId="0" borderId="54" xfId="0" applyFont="1" applyBorder="1" applyAlignment="1">
      <alignment horizontal="justify" vertical="top" wrapText="1"/>
    </xf>
    <xf numFmtId="0" fontId="7" fillId="0" borderId="54" xfId="0" applyFont="1" applyBorder="1" applyAlignment="1">
      <alignment horizontal="center" vertical="top" wrapText="1"/>
    </xf>
    <xf numFmtId="0" fontId="6" fillId="0" borderId="54" xfId="0" applyFont="1" applyBorder="1" applyAlignment="1">
      <alignment horizontal="right" vertical="top" wrapText="1"/>
    </xf>
    <xf numFmtId="0" fontId="6" fillId="0" borderId="54" xfId="0" applyFont="1" applyBorder="1" applyAlignment="1">
      <alignment horizontal="justify" vertical="top" wrapText="1"/>
    </xf>
    <xf numFmtId="0" fontId="6" fillId="0" borderId="54" xfId="0" applyFont="1" applyBorder="1" applyAlignment="1">
      <alignment horizontal="center" vertical="center" wrapText="1"/>
    </xf>
    <xf numFmtId="0" fontId="6" fillId="0" borderId="54" xfId="0" applyFont="1" applyBorder="1" applyAlignment="1">
      <alignment horizontal="center" vertical="top" wrapText="1"/>
    </xf>
    <xf numFmtId="0" fontId="8" fillId="0" borderId="54" xfId="0" applyFont="1" applyBorder="1" applyAlignment="1">
      <alignment horizontal="center" vertical="top" wrapText="1"/>
    </xf>
    <xf numFmtId="164" fontId="22" fillId="0" borderId="54" xfId="1" applyNumberFormat="1" applyFont="1" applyBorder="1" applyAlignment="1">
      <alignment horizontal="center" vertical="center" wrapText="1"/>
    </xf>
    <xf numFmtId="164" fontId="7" fillId="0" borderId="54" xfId="3" applyNumberFormat="1" applyFont="1" applyBorder="1" applyAlignment="1">
      <alignment horizontal="left" vertical="center" wrapText="1"/>
    </xf>
    <xf numFmtId="164" fontId="21" fillId="0" borderId="54" xfId="1" applyNumberFormat="1" applyFont="1" applyBorder="1" applyAlignment="1">
      <alignment horizontal="left" vertical="center" wrapText="1"/>
    </xf>
    <xf numFmtId="0" fontId="21" fillId="0" borderId="54" xfId="0" applyFont="1" applyBorder="1" applyAlignment="1">
      <alignment vertical="center" wrapText="1"/>
    </xf>
    <xf numFmtId="164" fontId="22" fillId="0" borderId="54" xfId="1" applyNumberFormat="1" applyFont="1" applyBorder="1" applyAlignment="1">
      <alignment horizontal="left" vertical="center" wrapText="1"/>
    </xf>
    <xf numFmtId="0" fontId="8" fillId="0" borderId="54" xfId="0" applyFont="1" applyBorder="1" applyAlignment="1">
      <alignment vertical="top"/>
    </xf>
    <xf numFmtId="0" fontId="6" fillId="0" borderId="54" xfId="0" applyFont="1" applyBorder="1" applyAlignment="1">
      <alignment horizontal="center" vertical="top"/>
    </xf>
    <xf numFmtId="0" fontId="26" fillId="0" borderId="0" xfId="0" applyFont="1"/>
    <xf numFmtId="0" fontId="25" fillId="0" borderId="5" xfId="0" applyFont="1" applyBorder="1" applyAlignment="1">
      <alignment horizontal="left" vertical="center" wrapText="1"/>
    </xf>
    <xf numFmtId="41" fontId="0" fillId="0" borderId="0" xfId="2" applyFont="1" applyAlignment="1">
      <alignment vertical="center"/>
    </xf>
    <xf numFmtId="0" fontId="22" fillId="0" borderId="0" xfId="0" applyFont="1" applyAlignment="1">
      <alignment horizontal="center" vertical="center" wrapText="1"/>
    </xf>
    <xf numFmtId="3" fontId="25" fillId="0" borderId="5" xfId="0" applyNumberFormat="1" applyFont="1" applyBorder="1" applyAlignment="1">
      <alignment horizontal="center" vertical="center"/>
    </xf>
    <xf numFmtId="1" fontId="21" fillId="0" borderId="60" xfId="0" applyNumberFormat="1" applyFont="1" applyBorder="1" applyAlignment="1">
      <alignment vertical="top" wrapText="1"/>
    </xf>
    <xf numFmtId="0" fontId="14" fillId="0" borderId="40" xfId="0" quotePrefix="1" applyFont="1" applyBorder="1" applyAlignment="1">
      <alignment horizontal="center" vertical="center"/>
    </xf>
    <xf numFmtId="0" fontId="30" fillId="0" borderId="35" xfId="0" applyFont="1" applyBorder="1" applyAlignment="1">
      <alignment horizontal="center" vertical="center"/>
    </xf>
    <xf numFmtId="0" fontId="22" fillId="0" borderId="0" xfId="0" applyFont="1" applyAlignment="1">
      <alignment horizontal="center" wrapText="1"/>
    </xf>
    <xf numFmtId="164" fontId="22" fillId="0" borderId="60" xfId="1" applyNumberFormat="1" applyFont="1" applyFill="1" applyBorder="1" applyAlignment="1">
      <alignment vertical="center" wrapText="1"/>
    </xf>
    <xf numFmtId="164" fontId="22" fillId="0" borderId="60" xfId="1" applyNumberFormat="1" applyFont="1" applyFill="1" applyBorder="1" applyAlignment="1">
      <alignment horizontal="center" vertical="center" wrapText="1"/>
    </xf>
    <xf numFmtId="0" fontId="22" fillId="0" borderId="60" xfId="0" applyFont="1" applyBorder="1" applyAlignment="1">
      <alignment vertical="top" wrapText="1"/>
    </xf>
    <xf numFmtId="0" fontId="22" fillId="0" borderId="60" xfId="0" applyFont="1" applyBorder="1" applyAlignment="1">
      <alignment horizontal="left" vertical="top" wrapText="1"/>
    </xf>
    <xf numFmtId="0" fontId="22" fillId="0" borderId="60" xfId="0" applyFont="1" applyBorder="1" applyAlignment="1">
      <alignment horizontal="center" vertical="center" wrapText="1"/>
    </xf>
    <xf numFmtId="0" fontId="22" fillId="0" borderId="60" xfId="0" applyFont="1" applyBorder="1" applyAlignment="1">
      <alignment horizontal="center" vertical="top" wrapText="1"/>
    </xf>
    <xf numFmtId="0" fontId="22" fillId="0" borderId="60" xfId="0" applyFont="1" applyBorder="1" applyAlignment="1">
      <alignment vertical="top"/>
    </xf>
    <xf numFmtId="0" fontId="21" fillId="0" borderId="60" xfId="0" applyFont="1" applyBorder="1" applyAlignment="1">
      <alignment horizontal="center" vertical="center" wrapText="1"/>
    </xf>
    <xf numFmtId="0" fontId="2" fillId="0" borderId="60" xfId="0" applyFont="1" applyBorder="1" applyAlignment="1">
      <alignment vertical="top"/>
    </xf>
    <xf numFmtId="0" fontId="21" fillId="0" borderId="60" xfId="0" applyFont="1" applyBorder="1" applyAlignment="1">
      <alignment horizontal="center" vertical="center"/>
    </xf>
    <xf numFmtId="0" fontId="21" fillId="0" borderId="60" xfId="0" applyFont="1" applyBorder="1" applyAlignment="1">
      <alignment horizontal="center" vertical="top" wrapText="1"/>
    </xf>
    <xf numFmtId="0" fontId="21" fillId="0" borderId="60" xfId="0" applyFont="1" applyBorder="1" applyAlignment="1">
      <alignment vertical="top"/>
    </xf>
    <xf numFmtId="0" fontId="5" fillId="0" borderId="60" xfId="0" applyFont="1" applyBorder="1" applyAlignment="1">
      <alignment vertical="top"/>
    </xf>
    <xf numFmtId="0" fontId="5" fillId="0" borderId="60" xfId="0" applyFont="1" applyBorder="1" applyAlignment="1">
      <alignment horizontal="center" vertical="top"/>
    </xf>
    <xf numFmtId="1" fontId="22" fillId="0" borderId="60" xfId="0" applyNumberFormat="1" applyFont="1" applyBorder="1" applyAlignment="1">
      <alignment vertical="top" wrapText="1"/>
    </xf>
    <xf numFmtId="0" fontId="32" fillId="0" borderId="60" xfId="0" applyFont="1" applyBorder="1" applyAlignment="1">
      <alignment horizontal="center" vertical="center" wrapText="1"/>
    </xf>
    <xf numFmtId="0" fontId="21" fillId="0" borderId="60" xfId="0" applyFont="1" applyBorder="1" applyAlignment="1">
      <alignment horizontal="left" vertical="top" wrapText="1"/>
    </xf>
    <xf numFmtId="0" fontId="34" fillId="0" borderId="60" xfId="0" applyFont="1" applyBorder="1" applyAlignment="1">
      <alignment horizontal="center" vertical="center" wrapText="1"/>
    </xf>
    <xf numFmtId="0" fontId="22" fillId="5" borderId="60" xfId="0" applyFont="1" applyFill="1" applyBorder="1" applyAlignment="1">
      <alignment horizontal="center" vertical="center" wrapText="1"/>
    </xf>
    <xf numFmtId="0" fontId="21" fillId="5" borderId="60" xfId="0" applyFont="1" applyFill="1" applyBorder="1" applyAlignment="1">
      <alignment horizontal="center" vertical="top" wrapText="1"/>
    </xf>
    <xf numFmtId="0" fontId="22" fillId="0" borderId="60" xfId="0" applyFont="1" applyBorder="1" applyAlignment="1">
      <alignment vertical="center"/>
    </xf>
    <xf numFmtId="166" fontId="22" fillId="5" borderId="60" xfId="0" applyNumberFormat="1" applyFont="1" applyFill="1" applyBorder="1" applyAlignment="1">
      <alignment horizontal="center" vertical="top" wrapText="1"/>
    </xf>
    <xf numFmtId="0" fontId="22" fillId="5" borderId="60" xfId="0" applyFont="1" applyFill="1" applyBorder="1" applyAlignment="1">
      <alignment horizontal="center" vertical="top" wrapText="1"/>
    </xf>
    <xf numFmtId="0" fontId="21" fillId="5" borderId="60" xfId="0" applyFont="1" applyFill="1" applyBorder="1" applyAlignment="1">
      <alignment vertical="top"/>
    </xf>
    <xf numFmtId="164" fontId="36" fillId="0" borderId="60" xfId="0" applyNumberFormat="1" applyFont="1" applyBorder="1" applyAlignment="1">
      <alignment vertical="center" wrapText="1"/>
    </xf>
    <xf numFmtId="0" fontId="36" fillId="0" borderId="60" xfId="0" applyFont="1" applyBorder="1" applyAlignment="1">
      <alignment vertical="top" wrapText="1"/>
    </xf>
    <xf numFmtId="0" fontId="36" fillId="0" borderId="60" xfId="0" applyFont="1" applyBorder="1" applyAlignment="1">
      <alignment horizontal="left" vertical="top" wrapText="1"/>
    </xf>
    <xf numFmtId="0" fontId="5" fillId="0" borderId="60" xfId="0" applyFont="1" applyBorder="1" applyAlignment="1">
      <alignment horizontal="center" vertical="center"/>
    </xf>
    <xf numFmtId="0" fontId="5" fillId="0" borderId="60" xfId="0" applyFont="1" applyBorder="1" applyAlignment="1">
      <alignment horizontal="center" vertical="top" wrapText="1"/>
    </xf>
    <xf numFmtId="0" fontId="5" fillId="0" borderId="60" xfId="0" applyFont="1" applyBorder="1" applyAlignment="1">
      <alignment horizontal="center" vertical="center" wrapText="1"/>
    </xf>
    <xf numFmtId="166" fontId="5" fillId="0" borderId="60" xfId="0" applyNumberFormat="1" applyFont="1" applyBorder="1" applyAlignment="1">
      <alignment vertical="top" wrapText="1"/>
    </xf>
    <xf numFmtId="166" fontId="5" fillId="0" borderId="60" xfId="0" applyNumberFormat="1" applyFont="1" applyBorder="1" applyAlignment="1">
      <alignment horizontal="left" vertical="top" wrapText="1"/>
    </xf>
    <xf numFmtId="1" fontId="5" fillId="0" borderId="60" xfId="0" applyNumberFormat="1" applyFont="1" applyBorder="1" applyAlignment="1">
      <alignment vertical="top" wrapText="1"/>
    </xf>
    <xf numFmtId="0" fontId="34" fillId="0" borderId="60" xfId="0" applyFont="1" applyBorder="1" applyAlignment="1">
      <alignment horizontal="center" vertical="top" wrapText="1"/>
    </xf>
    <xf numFmtId="0" fontId="36" fillId="0" borderId="60" xfId="0" applyFont="1" applyBorder="1" applyAlignment="1">
      <alignment horizontal="center" vertical="center" wrapText="1"/>
    </xf>
    <xf numFmtId="0" fontId="5" fillId="0" borderId="60" xfId="0" applyFont="1" applyBorder="1" applyAlignment="1">
      <alignment horizontal="left" vertical="top" wrapText="1"/>
    </xf>
    <xf numFmtId="166" fontId="5" fillId="0" borderId="60" xfId="0" applyNumberFormat="1" applyFont="1" applyBorder="1" applyAlignment="1">
      <alignment horizontal="center" vertical="top" wrapText="1"/>
    </xf>
    <xf numFmtId="0" fontId="6" fillId="0" borderId="60" xfId="0" applyFont="1" applyBorder="1" applyAlignment="1">
      <alignment horizontal="center" vertical="center" wrapText="1"/>
    </xf>
    <xf numFmtId="1" fontId="32" fillId="5" borderId="60" xfId="0" applyNumberFormat="1" applyFont="1" applyFill="1" applyBorder="1" applyAlignment="1">
      <alignment vertical="top" wrapText="1"/>
    </xf>
    <xf numFmtId="166" fontId="6" fillId="5" borderId="60" xfId="0" applyNumberFormat="1" applyFont="1" applyFill="1" applyBorder="1" applyAlignment="1">
      <alignment horizontal="center" vertical="top" wrapText="1"/>
    </xf>
    <xf numFmtId="0" fontId="6" fillId="5" borderId="60" xfId="0" applyFont="1" applyFill="1" applyBorder="1" applyAlignment="1">
      <alignment horizontal="center" vertical="center" wrapText="1"/>
    </xf>
    <xf numFmtId="1" fontId="32" fillId="0" borderId="60" xfId="0" applyNumberFormat="1" applyFont="1" applyBorder="1" applyAlignment="1">
      <alignment vertical="top" wrapText="1"/>
    </xf>
    <xf numFmtId="166" fontId="32" fillId="0" borderId="60" xfId="0" applyNumberFormat="1" applyFont="1" applyBorder="1" applyAlignment="1">
      <alignment vertical="top" wrapText="1"/>
    </xf>
    <xf numFmtId="0" fontId="32" fillId="0" borderId="60" xfId="0" applyFont="1" applyBorder="1" applyAlignment="1">
      <alignment horizontal="center" vertical="top" wrapText="1"/>
    </xf>
    <xf numFmtId="164" fontId="22" fillId="0" borderId="60" xfId="3" applyNumberFormat="1" applyFont="1" applyFill="1" applyBorder="1" applyAlignment="1">
      <alignment vertical="center" wrapText="1"/>
    </xf>
    <xf numFmtId="164" fontId="8" fillId="0" borderId="60" xfId="3" applyNumberFormat="1" applyFont="1" applyFill="1" applyBorder="1" applyAlignment="1">
      <alignment horizontal="center" vertical="center" wrapText="1"/>
    </xf>
    <xf numFmtId="164" fontId="8" fillId="0" borderId="60" xfId="3" applyNumberFormat="1" applyFont="1" applyFill="1" applyBorder="1" applyAlignment="1">
      <alignment vertical="center" wrapText="1"/>
    </xf>
    <xf numFmtId="0" fontId="8" fillId="0" borderId="60" xfId="0" applyFont="1" applyBorder="1" applyAlignment="1">
      <alignment vertical="top" wrapText="1"/>
    </xf>
    <xf numFmtId="0" fontId="8" fillId="0" borderId="60" xfId="0" applyFont="1" applyBorder="1" applyAlignment="1">
      <alignment horizontal="left" vertical="top" wrapText="1"/>
    </xf>
    <xf numFmtId="0" fontId="8" fillId="0" borderId="60" xfId="0" applyFont="1" applyBorder="1" applyAlignment="1">
      <alignment horizontal="center" vertical="center" wrapText="1"/>
    </xf>
    <xf numFmtId="0" fontId="7" fillId="0" borderId="60" xfId="0" applyFont="1" applyBorder="1" applyAlignment="1">
      <alignment horizontal="right" vertical="center"/>
    </xf>
    <xf numFmtId="0" fontId="7" fillId="0" borderId="60" xfId="0" applyFont="1" applyBorder="1" applyAlignment="1">
      <alignment vertical="center" wrapText="1"/>
    </xf>
    <xf numFmtId="0" fontId="7" fillId="0" borderId="60" xfId="0" applyFont="1" applyBorder="1" applyAlignment="1">
      <alignment horizontal="right" vertical="center" wrapText="1"/>
    </xf>
    <xf numFmtId="0" fontId="7" fillId="0" borderId="60" xfId="0" applyFont="1" applyBorder="1" applyAlignment="1">
      <alignment horizontal="center" vertical="center" wrapText="1"/>
    </xf>
    <xf numFmtId="0" fontId="7" fillId="0" borderId="60" xfId="0" applyFont="1" applyBorder="1" applyAlignment="1">
      <alignment horizontal="center" vertical="top" wrapText="1"/>
    </xf>
    <xf numFmtId="0" fontId="7" fillId="0" borderId="60" xfId="0" applyFont="1" applyBorder="1" applyAlignment="1">
      <alignment vertical="top"/>
    </xf>
    <xf numFmtId="0" fontId="8" fillId="0" borderId="60" xfId="0" applyFont="1" applyBorder="1" applyAlignment="1">
      <alignment horizontal="center" vertical="top" wrapText="1"/>
    </xf>
    <xf numFmtId="0" fontId="7" fillId="0" borderId="60" xfId="0" applyFont="1" applyBorder="1" applyAlignment="1">
      <alignment horizontal="center" vertical="center"/>
    </xf>
    <xf numFmtId="0" fontId="2" fillId="0" borderId="60" xfId="0" applyFont="1" applyBorder="1" applyAlignment="1">
      <alignment horizontal="center" vertical="top"/>
    </xf>
    <xf numFmtId="0" fontId="6" fillId="5" borderId="60" xfId="0" applyFont="1" applyFill="1" applyBorder="1" applyAlignment="1">
      <alignment horizontal="center" vertical="top" wrapText="1"/>
    </xf>
    <xf numFmtId="0" fontId="21" fillId="0" borderId="60" xfId="0" applyFont="1" applyBorder="1" applyAlignment="1">
      <alignment horizontal="justify" vertical="center" wrapText="1"/>
    </xf>
    <xf numFmtId="0" fontId="21" fillId="0" borderId="60" xfId="0" applyFont="1" applyBorder="1" applyAlignment="1">
      <alignment horizontal="center"/>
    </xf>
    <xf numFmtId="0" fontId="21" fillId="0" borderId="60" xfId="0" applyFont="1" applyBorder="1" applyAlignment="1">
      <alignment wrapText="1"/>
    </xf>
    <xf numFmtId="0" fontId="22" fillId="0" borderId="60" xfId="0" applyFont="1" applyBorder="1" applyAlignment="1">
      <alignment wrapText="1"/>
    </xf>
    <xf numFmtId="0" fontId="7" fillId="0" borderId="60" xfId="0" applyFont="1" applyBorder="1" applyAlignment="1">
      <alignment wrapText="1"/>
    </xf>
    <xf numFmtId="165" fontId="21" fillId="0" borderId="60" xfId="0" applyNumberFormat="1" applyFont="1" applyBorder="1" applyAlignment="1">
      <alignment wrapText="1"/>
    </xf>
    <xf numFmtId="0" fontId="21" fillId="0" borderId="60" xfId="0" quotePrefix="1" applyFont="1" applyBorder="1"/>
    <xf numFmtId="0" fontId="21" fillId="0" borderId="60" xfId="0" quotePrefix="1" applyFont="1" applyBorder="1" applyAlignment="1">
      <alignment horizontal="left"/>
    </xf>
    <xf numFmtId="166" fontId="22" fillId="0" borderId="60" xfId="0" applyNumberFormat="1" applyFont="1" applyBorder="1" applyAlignment="1">
      <alignment horizontal="center" vertical="center" wrapText="1"/>
    </xf>
    <xf numFmtId="0" fontId="22" fillId="0" borderId="60" xfId="0" applyFont="1" applyBorder="1" applyAlignment="1">
      <alignment horizontal="justify" vertical="center" wrapText="1"/>
    </xf>
    <xf numFmtId="0" fontId="22" fillId="5" borderId="60" xfId="0" applyFont="1" applyFill="1" applyBorder="1" applyAlignment="1">
      <alignment horizontal="justify" vertical="center" wrapText="1"/>
    </xf>
    <xf numFmtId="166" fontId="22" fillId="5" borderId="60" xfId="0" applyNumberFormat="1" applyFont="1" applyFill="1" applyBorder="1" applyAlignment="1">
      <alignment horizontal="justify" vertical="center" wrapText="1"/>
    </xf>
    <xf numFmtId="164" fontId="21" fillId="0" borderId="54" xfId="1" applyNumberFormat="1" applyFont="1" applyFill="1" applyBorder="1" applyAlignment="1">
      <alignment horizontal="center" vertical="center" wrapText="1"/>
    </xf>
    <xf numFmtId="164" fontId="21" fillId="0" borderId="60" xfId="1" applyNumberFormat="1" applyFont="1" applyFill="1" applyBorder="1" applyAlignment="1">
      <alignment horizontal="center" vertical="center" wrapText="1"/>
    </xf>
    <xf numFmtId="0" fontId="21" fillId="5" borderId="60" xfId="0" applyFont="1" applyFill="1" applyBorder="1" applyAlignment="1">
      <alignment horizontal="center" vertical="center" wrapText="1"/>
    </xf>
    <xf numFmtId="0" fontId="5" fillId="5" borderId="60" xfId="0" applyFont="1" applyFill="1" applyBorder="1" applyAlignment="1">
      <alignment horizontal="center" vertical="center" wrapText="1"/>
    </xf>
    <xf numFmtId="164" fontId="7" fillId="0" borderId="60" xfId="3" applyNumberFormat="1" applyFont="1" applyFill="1" applyBorder="1" applyAlignment="1">
      <alignment horizontal="center" vertical="center" wrapText="1"/>
    </xf>
    <xf numFmtId="0" fontId="40" fillId="0" borderId="0" xfId="0" applyFont="1" applyAlignment="1">
      <alignment horizontal="center" wrapText="1"/>
    </xf>
    <xf numFmtId="0" fontId="22" fillId="0" borderId="0" xfId="0" applyFont="1" applyAlignment="1">
      <alignment horizontal="right" wrapText="1"/>
    </xf>
    <xf numFmtId="49" fontId="40" fillId="0" borderId="0" xfId="0" applyNumberFormat="1" applyFont="1" applyAlignment="1">
      <alignment horizontal="center"/>
    </xf>
    <xf numFmtId="0" fontId="40" fillId="0" borderId="60" xfId="0" applyFont="1" applyBorder="1" applyAlignment="1">
      <alignment horizontal="center" vertical="top"/>
    </xf>
    <xf numFmtId="164" fontId="43" fillId="0" borderId="60" xfId="3" applyNumberFormat="1" applyFont="1" applyFill="1" applyBorder="1" applyAlignment="1">
      <alignment vertical="center" wrapText="1"/>
    </xf>
    <xf numFmtId="0" fontId="40" fillId="0" borderId="0" xfId="0" applyFont="1" applyAlignment="1">
      <alignment vertical="top"/>
    </xf>
    <xf numFmtId="0" fontId="40" fillId="0" borderId="60" xfId="0" applyFont="1" applyBorder="1"/>
    <xf numFmtId="0" fontId="40" fillId="0" borderId="60" xfId="0" applyFont="1" applyBorder="1" applyAlignment="1">
      <alignment horizontal="center" wrapText="1"/>
    </xf>
    <xf numFmtId="0" fontId="40" fillId="0" borderId="0" xfId="0" applyFont="1" applyAlignment="1">
      <alignment horizontal="center"/>
    </xf>
    <xf numFmtId="0" fontId="40" fillId="0" borderId="0" xfId="0" applyFont="1" applyAlignment="1">
      <alignment wrapText="1"/>
    </xf>
    <xf numFmtId="0" fontId="42" fillId="0" borderId="0" xfId="0" applyFont="1" applyAlignment="1">
      <alignment vertical="center"/>
    </xf>
    <xf numFmtId="0" fontId="5" fillId="0" borderId="74" xfId="0" applyFont="1" applyBorder="1" applyAlignment="1">
      <alignment vertical="top" wrapText="1"/>
    </xf>
    <xf numFmtId="0" fontId="5" fillId="0" borderId="74" xfId="0" applyFont="1" applyBorder="1" applyAlignment="1">
      <alignment horizontal="center" vertical="center" wrapText="1"/>
    </xf>
    <xf numFmtId="0" fontId="35" fillId="0" borderId="0" xfId="0" applyFont="1" applyAlignment="1">
      <alignment vertical="center"/>
    </xf>
    <xf numFmtId="0" fontId="24" fillId="0" borderId="74" xfId="0" applyFont="1" applyBorder="1" applyAlignment="1">
      <alignment horizontal="center" vertical="center"/>
    </xf>
    <xf numFmtId="0" fontId="24" fillId="0" borderId="74" xfId="0" applyFont="1" applyBorder="1" applyAlignment="1">
      <alignment horizontal="center" vertical="center" wrapText="1"/>
    </xf>
    <xf numFmtId="0" fontId="25" fillId="0" borderId="7" xfId="0" quotePrefix="1" applyFont="1" applyBorder="1" applyAlignment="1">
      <alignment horizontal="center" vertical="center"/>
    </xf>
    <xf numFmtId="0" fontId="24" fillId="0" borderId="7" xfId="0" applyFont="1" applyBorder="1" applyAlignment="1">
      <alignment vertical="center"/>
    </xf>
    <xf numFmtId="0" fontId="25" fillId="0" borderId="7" xfId="0" applyFont="1" applyBorder="1" applyAlignment="1">
      <alignment vertical="center"/>
    </xf>
    <xf numFmtId="0" fontId="24" fillId="0" borderId="9" xfId="0" applyFont="1" applyBorder="1" applyAlignment="1">
      <alignment horizontal="left" vertical="center" wrapText="1"/>
    </xf>
    <xf numFmtId="41" fontId="24" fillId="0" borderId="74" xfId="2" applyFont="1" applyBorder="1" applyAlignment="1">
      <alignment horizontal="center" vertical="center" wrapText="1"/>
    </xf>
    <xf numFmtId="0" fontId="25" fillId="0" borderId="64" xfId="0" applyFont="1" applyBorder="1" applyAlignment="1">
      <alignment vertical="center" wrapText="1"/>
    </xf>
    <xf numFmtId="0" fontId="11" fillId="0" borderId="60" xfId="0" applyFont="1" applyBorder="1" applyAlignment="1">
      <alignment vertical="center"/>
    </xf>
    <xf numFmtId="0" fontId="25" fillId="0" borderId="7" xfId="0" applyFont="1" applyBorder="1" applyAlignment="1">
      <alignment horizontal="center" vertical="center"/>
    </xf>
    <xf numFmtId="164" fontId="24" fillId="0" borderId="7" xfId="1" applyNumberFormat="1" applyFont="1" applyBorder="1" applyAlignment="1">
      <alignment vertical="center"/>
    </xf>
    <xf numFmtId="0" fontId="8" fillId="0" borderId="17" xfId="0" applyFont="1" applyBorder="1" applyAlignment="1">
      <alignment horizontal="center" vertical="top" wrapText="1"/>
    </xf>
    <xf numFmtId="0" fontId="6" fillId="0" borderId="17" xfId="0" applyFont="1" applyBorder="1" applyAlignment="1">
      <alignment horizontal="center" vertical="top"/>
    </xf>
    <xf numFmtId="0" fontId="5" fillId="0" borderId="15"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vertical="center"/>
    </xf>
    <xf numFmtId="166" fontId="32" fillId="0" borderId="74" xfId="0" applyNumberFormat="1" applyFont="1" applyBorder="1" applyAlignment="1">
      <alignment vertical="top" wrapText="1"/>
    </xf>
    <xf numFmtId="0" fontId="32" fillId="0" borderId="74" xfId="0" applyFont="1" applyBorder="1" applyAlignment="1">
      <alignment horizontal="left" vertical="top" wrapText="1"/>
    </xf>
    <xf numFmtId="0" fontId="32" fillId="0" borderId="74" xfId="0" applyFont="1" applyBorder="1" applyAlignment="1">
      <alignment horizontal="center" vertical="center"/>
    </xf>
    <xf numFmtId="0" fontId="32" fillId="0" borderId="74" xfId="0" applyFont="1" applyBorder="1" applyAlignment="1">
      <alignment horizontal="center" vertical="center" wrapText="1"/>
    </xf>
    <xf numFmtId="166" fontId="32" fillId="0" borderId="74" xfId="0" applyNumberFormat="1" applyFont="1" applyBorder="1" applyAlignment="1">
      <alignment horizontal="left" vertical="top" wrapText="1"/>
    </xf>
    <xf numFmtId="1" fontId="32" fillId="0" borderId="74" xfId="0" applyNumberFormat="1" applyFont="1" applyBorder="1" applyAlignment="1">
      <alignment vertical="top" wrapText="1"/>
    </xf>
    <xf numFmtId="164" fontId="43" fillId="0" borderId="74" xfId="0" applyNumberFormat="1" applyFont="1" applyBorder="1" applyAlignment="1">
      <alignment vertical="center" wrapText="1"/>
    </xf>
    <xf numFmtId="0" fontId="43" fillId="0" borderId="74" xfId="0" applyFont="1" applyBorder="1" applyAlignment="1">
      <alignment vertical="top" wrapText="1"/>
    </xf>
    <xf numFmtId="0" fontId="43" fillId="0" borderId="74" xfId="0" applyFont="1" applyBorder="1" applyAlignment="1">
      <alignment horizontal="left" vertical="top" wrapText="1"/>
    </xf>
    <xf numFmtId="0" fontId="32" fillId="0" borderId="74" xfId="0" applyFont="1" applyBorder="1" applyAlignment="1">
      <alignment vertical="top" wrapText="1"/>
    </xf>
    <xf numFmtId="1" fontId="43" fillId="0" borderId="74" xfId="0" applyNumberFormat="1" applyFont="1" applyBorder="1" applyAlignment="1">
      <alignment vertical="top" wrapText="1"/>
    </xf>
    <xf numFmtId="166" fontId="43" fillId="0" borderId="74" xfId="0" applyNumberFormat="1" applyFont="1" applyBorder="1" applyAlignment="1">
      <alignment vertical="top" wrapText="1"/>
    </xf>
    <xf numFmtId="166" fontId="43" fillId="0" borderId="74" xfId="0" applyNumberFormat="1" applyFont="1" applyBorder="1" applyAlignment="1">
      <alignment horizontal="center" vertical="top" wrapText="1"/>
    </xf>
    <xf numFmtId="164" fontId="43" fillId="0" borderId="74" xfId="1" applyNumberFormat="1" applyFont="1" applyFill="1" applyBorder="1" applyAlignment="1">
      <alignment horizontal="center" vertical="center" wrapText="1"/>
    </xf>
    <xf numFmtId="0" fontId="5" fillId="0" borderId="49" xfId="0" applyFont="1" applyBorder="1" applyAlignment="1">
      <alignment horizontal="justify" vertical="center" wrapText="1"/>
    </xf>
    <xf numFmtId="0" fontId="43" fillId="0" borderId="74" xfId="0" applyFont="1" applyBorder="1" applyAlignment="1">
      <alignment horizontal="center" vertical="center" wrapText="1"/>
    </xf>
    <xf numFmtId="0" fontId="22" fillId="5" borderId="74" xfId="0" applyFont="1" applyFill="1" applyBorder="1" applyAlignment="1">
      <alignment horizontal="center" vertical="center" wrapText="1"/>
    </xf>
    <xf numFmtId="0" fontId="21" fillId="5" borderId="74" xfId="0" applyFont="1" applyFill="1" applyBorder="1" applyAlignment="1">
      <alignment horizontal="center" vertical="center" wrapText="1"/>
    </xf>
    <xf numFmtId="0" fontId="21" fillId="5" borderId="74" xfId="0" applyFont="1" applyFill="1" applyBorder="1" applyAlignment="1">
      <alignment horizontal="center" vertical="top" wrapText="1"/>
    </xf>
    <xf numFmtId="0" fontId="22" fillId="0" borderId="74" xfId="0" applyFont="1" applyBorder="1" applyAlignment="1">
      <alignment vertical="center"/>
    </xf>
    <xf numFmtId="166" fontId="22" fillId="5" borderId="74" xfId="0" applyNumberFormat="1" applyFont="1" applyFill="1" applyBorder="1" applyAlignment="1">
      <alignment horizontal="center" vertical="top" wrapText="1"/>
    </xf>
    <xf numFmtId="0" fontId="22" fillId="5" borderId="74" xfId="0" applyFont="1" applyFill="1" applyBorder="1" applyAlignment="1">
      <alignment horizontal="center" vertical="top" wrapText="1"/>
    </xf>
    <xf numFmtId="0" fontId="21" fillId="5" borderId="74" xfId="0" applyFont="1" applyFill="1" applyBorder="1" applyAlignment="1">
      <alignment vertical="top"/>
    </xf>
    <xf numFmtId="0" fontId="32" fillId="0" borderId="74" xfId="0" applyFont="1" applyBorder="1" applyAlignment="1">
      <alignment vertical="center" wrapText="1"/>
    </xf>
    <xf numFmtId="0" fontId="31" fillId="0" borderId="9" xfId="0" applyFont="1" applyBorder="1" applyAlignment="1">
      <alignment wrapText="1"/>
    </xf>
    <xf numFmtId="0" fontId="31" fillId="4" borderId="9" xfId="0" applyFont="1" applyFill="1" applyBorder="1" applyAlignment="1">
      <alignment wrapText="1"/>
    </xf>
    <xf numFmtId="0" fontId="32" fillId="0" borderId="74" xfId="0" applyFont="1" applyBorder="1" applyAlignment="1">
      <alignment vertical="top"/>
    </xf>
    <xf numFmtId="0" fontId="45" fillId="0" borderId="74" xfId="0" applyFont="1" applyBorder="1" applyAlignment="1">
      <alignment horizontal="center" vertical="top"/>
    </xf>
    <xf numFmtId="0" fontId="32" fillId="0" borderId="74" xfId="0" applyFont="1" applyBorder="1" applyAlignment="1">
      <alignment horizontal="center" vertical="top"/>
    </xf>
    <xf numFmtId="0" fontId="32" fillId="4" borderId="74" xfId="0" applyFont="1" applyFill="1" applyBorder="1" applyAlignment="1">
      <alignment vertical="center" wrapText="1"/>
    </xf>
    <xf numFmtId="0" fontId="32" fillId="0" borderId="74" xfId="4" applyFont="1" applyBorder="1" applyAlignment="1">
      <alignment horizontal="left" vertical="justify"/>
    </xf>
    <xf numFmtId="0" fontId="46" fillId="0" borderId="74" xfId="4" applyFont="1" applyBorder="1" applyAlignment="1">
      <alignment horizontal="center" vertical="center" wrapText="1"/>
    </xf>
    <xf numFmtId="0" fontId="32" fillId="0" borderId="74" xfId="4" applyFont="1" applyBorder="1" applyAlignment="1">
      <alignment vertical="center" wrapText="1"/>
    </xf>
    <xf numFmtId="0" fontId="32" fillId="0" borderId="74" xfId="4" applyFont="1" applyBorder="1" applyAlignment="1">
      <alignment horizontal="left" wrapText="1"/>
    </xf>
    <xf numFmtId="0" fontId="32" fillId="0" borderId="74" xfId="4" applyFont="1" applyBorder="1" applyAlignment="1">
      <alignment horizontal="left" vertical="center" wrapText="1"/>
    </xf>
    <xf numFmtId="0" fontId="32" fillId="0" borderId="74" xfId="0" applyFont="1" applyBorder="1" applyAlignment="1">
      <alignment horizontal="left" vertical="top"/>
    </xf>
    <xf numFmtId="164" fontId="43" fillId="0" borderId="74" xfId="1" applyNumberFormat="1" applyFont="1" applyFill="1" applyBorder="1" applyAlignment="1">
      <alignment vertical="center" wrapText="1"/>
    </xf>
    <xf numFmtId="0" fontId="44" fillId="0" borderId="74" xfId="0" applyFont="1" applyBorder="1" applyAlignment="1">
      <alignment vertical="top"/>
    </xf>
    <xf numFmtId="164" fontId="43" fillId="5" borderId="74" xfId="1" applyNumberFormat="1" applyFont="1" applyFill="1" applyBorder="1" applyAlignment="1">
      <alignment vertical="center" wrapText="1"/>
    </xf>
    <xf numFmtId="0" fontId="43" fillId="5" borderId="74" xfId="0" applyFont="1" applyFill="1" applyBorder="1" applyAlignment="1">
      <alignment horizontal="center" vertical="center" wrapText="1"/>
    </xf>
    <xf numFmtId="0" fontId="32" fillId="0" borderId="74" xfId="0" applyFont="1" applyBorder="1" applyAlignment="1">
      <alignment horizontal="center" vertical="top" wrapText="1"/>
    </xf>
    <xf numFmtId="0" fontId="32" fillId="2" borderId="74" xfId="0" applyFont="1" applyFill="1" applyBorder="1" applyAlignment="1">
      <alignment horizontal="left" vertical="top"/>
    </xf>
    <xf numFmtId="0" fontId="45" fillId="0" borderId="74" xfId="0" applyFont="1" applyBorder="1" applyAlignment="1">
      <alignment horizontal="center" vertical="center"/>
    </xf>
    <xf numFmtId="0" fontId="43" fillId="0" borderId="74" xfId="0" applyFont="1" applyBorder="1" applyAlignment="1">
      <alignment horizontal="center" vertical="top"/>
    </xf>
    <xf numFmtId="1" fontId="32" fillId="5" borderId="74" xfId="0" applyNumberFormat="1" applyFont="1" applyFill="1" applyBorder="1" applyAlignment="1">
      <alignment vertical="top" wrapText="1"/>
    </xf>
    <xf numFmtId="166" fontId="32" fillId="5" borderId="74" xfId="0" applyNumberFormat="1" applyFont="1" applyFill="1" applyBorder="1" applyAlignment="1">
      <alignment vertical="top" wrapText="1"/>
    </xf>
    <xf numFmtId="0" fontId="32" fillId="5" borderId="74" xfId="0" applyFont="1" applyFill="1" applyBorder="1" applyAlignment="1">
      <alignment horizontal="center" vertical="center" wrapText="1"/>
    </xf>
    <xf numFmtId="1" fontId="32" fillId="0" borderId="74" xfId="0" applyNumberFormat="1" applyFont="1" applyBorder="1" applyAlignment="1">
      <alignment horizontal="center" vertical="top" wrapText="1"/>
    </xf>
    <xf numFmtId="166" fontId="32" fillId="6" borderId="74" xfId="0" applyNumberFormat="1" applyFont="1" applyFill="1" applyBorder="1" applyAlignment="1">
      <alignment horizontal="left" vertical="top" wrapText="1"/>
    </xf>
    <xf numFmtId="166" fontId="43" fillId="5" borderId="74" xfId="0" applyNumberFormat="1" applyFont="1" applyFill="1" applyBorder="1" applyAlignment="1">
      <alignment horizontal="center" vertical="top" wrapText="1"/>
    </xf>
    <xf numFmtId="1" fontId="32" fillId="4" borderId="74" xfId="0" applyNumberFormat="1" applyFont="1" applyFill="1" applyBorder="1" applyAlignment="1">
      <alignment vertical="top" wrapText="1"/>
    </xf>
    <xf numFmtId="0" fontId="32" fillId="4" borderId="74" xfId="0" applyFont="1" applyFill="1" applyBorder="1" applyAlignment="1">
      <alignment horizontal="center" vertical="center" wrapText="1"/>
    </xf>
    <xf numFmtId="0" fontId="36" fillId="6" borderId="52" xfId="0" applyFont="1" applyFill="1" applyBorder="1" applyAlignment="1">
      <alignment horizontal="center" vertical="center" wrapText="1"/>
    </xf>
    <xf numFmtId="0" fontId="36" fillId="6" borderId="52" xfId="0" applyFont="1" applyFill="1" applyBorder="1" applyAlignment="1">
      <alignment horizontal="center"/>
    </xf>
    <xf numFmtId="0" fontId="36" fillId="6" borderId="52" xfId="0" applyFont="1" applyFill="1" applyBorder="1" applyAlignment="1">
      <alignment wrapText="1"/>
    </xf>
    <xf numFmtId="0" fontId="22" fillId="4" borderId="74" xfId="0" applyFont="1" applyFill="1" applyBorder="1" applyAlignment="1">
      <alignment wrapText="1"/>
    </xf>
    <xf numFmtId="0" fontId="40" fillId="4" borderId="0" xfId="0" applyFont="1" applyFill="1"/>
    <xf numFmtId="166" fontId="43" fillId="4" borderId="74" xfId="0" applyNumberFormat="1" applyFont="1" applyFill="1" applyBorder="1" applyAlignment="1">
      <alignment horizontal="center" vertical="top" wrapText="1"/>
    </xf>
    <xf numFmtId="0" fontId="43" fillId="4" borderId="74" xfId="0" applyFont="1" applyFill="1" applyBorder="1" applyAlignment="1">
      <alignment horizontal="center" vertical="center" wrapText="1"/>
    </xf>
    <xf numFmtId="0" fontId="36" fillId="6" borderId="77" xfId="0" applyFont="1" applyFill="1" applyBorder="1" applyAlignment="1">
      <alignment horizontal="center" vertical="center" wrapText="1"/>
    </xf>
    <xf numFmtId="0" fontId="36" fillId="6" borderId="77" xfId="0" applyFont="1" applyFill="1" applyBorder="1" applyAlignment="1">
      <alignment horizontal="center"/>
    </xf>
    <xf numFmtId="0" fontId="36" fillId="6" borderId="77" xfId="0" applyFont="1" applyFill="1" applyBorder="1" applyAlignment="1">
      <alignment wrapText="1"/>
    </xf>
    <xf numFmtId="1" fontId="34" fillId="4" borderId="9" xfId="0" applyNumberFormat="1" applyFont="1" applyFill="1" applyBorder="1" applyAlignment="1">
      <alignment vertical="top" wrapText="1"/>
    </xf>
    <xf numFmtId="166" fontId="36" fillId="6" borderId="77" xfId="0" applyNumberFormat="1" applyFont="1" applyFill="1" applyBorder="1" applyAlignment="1">
      <alignment horizontal="center" vertical="top" wrapText="1"/>
    </xf>
    <xf numFmtId="0" fontId="34" fillId="6" borderId="77" xfId="0" applyFont="1" applyFill="1" applyBorder="1" applyAlignment="1">
      <alignment horizontal="center" vertical="center" wrapText="1"/>
    </xf>
    <xf numFmtId="0" fontId="21" fillId="4" borderId="60" xfId="0" applyFont="1" applyFill="1" applyBorder="1" applyAlignment="1">
      <alignment horizontal="center" vertical="center" wrapText="1"/>
    </xf>
    <xf numFmtId="0" fontId="22" fillId="4" borderId="60" xfId="0" applyFont="1" applyFill="1" applyBorder="1" applyAlignment="1">
      <alignment horizontal="center" vertical="center" wrapText="1"/>
    </xf>
    <xf numFmtId="0" fontId="22" fillId="4" borderId="60" xfId="0" applyFont="1" applyFill="1" applyBorder="1" applyAlignment="1">
      <alignment horizontal="center"/>
    </xf>
    <xf numFmtId="0" fontId="22" fillId="4" borderId="60" xfId="0" applyFont="1" applyFill="1" applyBorder="1" applyAlignment="1">
      <alignment wrapText="1"/>
    </xf>
    <xf numFmtId="0" fontId="21" fillId="4" borderId="74" xfId="0" applyFont="1" applyFill="1" applyBorder="1" applyAlignment="1">
      <alignment horizontal="center" vertical="center" wrapText="1"/>
    </xf>
    <xf numFmtId="0" fontId="22" fillId="4" borderId="74" xfId="0" applyFont="1" applyFill="1" applyBorder="1" applyAlignment="1">
      <alignment horizontal="center" vertical="center" wrapText="1"/>
    </xf>
    <xf numFmtId="0" fontId="22" fillId="4" borderId="74" xfId="0" applyFont="1" applyFill="1" applyBorder="1" applyAlignment="1">
      <alignment horizontal="center"/>
    </xf>
    <xf numFmtId="0" fontId="32" fillId="0" borderId="74" xfId="0" applyFont="1" applyBorder="1" applyAlignment="1">
      <alignment horizontal="right" vertical="center"/>
    </xf>
    <xf numFmtId="0" fontId="32" fillId="0" borderId="74" xfId="0" applyFont="1" applyBorder="1" applyAlignment="1">
      <alignment horizontal="right" vertical="center" wrapText="1"/>
    </xf>
    <xf numFmtId="164" fontId="43" fillId="0" borderId="74" xfId="3" applyNumberFormat="1" applyFont="1" applyFill="1" applyBorder="1" applyAlignment="1">
      <alignment vertical="center" wrapText="1"/>
    </xf>
    <xf numFmtId="166" fontId="32" fillId="0" borderId="74" xfId="0" applyNumberFormat="1" applyFont="1" applyBorder="1" applyAlignment="1">
      <alignment horizontal="center" vertical="top" wrapText="1"/>
    </xf>
    <xf numFmtId="0" fontId="6" fillId="0" borderId="74" xfId="0" applyFont="1" applyBorder="1" applyAlignment="1">
      <alignment horizontal="right" vertical="top" wrapText="1"/>
    </xf>
    <xf numFmtId="0" fontId="6" fillId="0" borderId="74" xfId="0" applyFont="1" applyBorder="1" applyAlignment="1">
      <alignment horizontal="justify" vertical="top" wrapText="1"/>
    </xf>
    <xf numFmtId="0" fontId="6" fillId="0" borderId="74" xfId="0" applyFont="1" applyBorder="1" applyAlignment="1">
      <alignment horizontal="center" vertical="center" wrapText="1"/>
    </xf>
    <xf numFmtId="0" fontId="5" fillId="0" borderId="74" xfId="0" applyFont="1" applyBorder="1" applyAlignment="1">
      <alignment horizontal="center" vertical="top" wrapText="1"/>
    </xf>
    <xf numFmtId="0" fontId="5" fillId="0" borderId="74" xfId="0" applyFont="1" applyBorder="1" applyAlignment="1">
      <alignment horizontal="center" vertical="center"/>
    </xf>
    <xf numFmtId="0" fontId="5" fillId="0" borderId="74" xfId="0" applyFont="1" applyBorder="1" applyAlignment="1">
      <alignment horizontal="right" vertical="center" wrapText="1" shrinkToFit="1"/>
    </xf>
    <xf numFmtId="0" fontId="5" fillId="0" borderId="74" xfId="0" applyFont="1" applyBorder="1" applyAlignment="1">
      <alignment horizontal="justify" vertical="center" wrapText="1"/>
    </xf>
    <xf numFmtId="0" fontId="5" fillId="0" borderId="74" xfId="0" applyFont="1" applyBorder="1" applyAlignment="1">
      <alignment vertical="center"/>
    </xf>
    <xf numFmtId="0" fontId="5" fillId="0" borderId="54" xfId="0" applyFont="1" applyBorder="1" applyAlignment="1">
      <alignment horizontal="right" vertical="center" wrapText="1"/>
    </xf>
    <xf numFmtId="0" fontId="5" fillId="0" borderId="54" xfId="0" applyFont="1" applyBorder="1" applyAlignment="1">
      <alignment horizontal="justify" vertical="center" wrapText="1"/>
    </xf>
    <xf numFmtId="0" fontId="6" fillId="0" borderId="54" xfId="0" applyFont="1" applyBorder="1" applyAlignment="1">
      <alignment horizontal="right" vertical="center" wrapText="1"/>
    </xf>
    <xf numFmtId="0" fontId="6" fillId="0" borderId="54" xfId="0" applyFont="1" applyBorder="1" applyAlignment="1">
      <alignment horizontal="justify" vertical="center" wrapText="1"/>
    </xf>
    <xf numFmtId="0" fontId="5" fillId="0" borderId="74" xfId="0" applyFont="1" applyBorder="1" applyAlignment="1">
      <alignment vertical="center" wrapText="1"/>
    </xf>
    <xf numFmtId="0" fontId="6" fillId="5" borderId="74" xfId="0" applyFont="1" applyFill="1" applyBorder="1" applyAlignment="1">
      <alignment horizontal="center" vertical="center" wrapText="1"/>
    </xf>
    <xf numFmtId="0" fontId="5" fillId="5" borderId="74" xfId="0" applyFont="1" applyFill="1" applyBorder="1" applyAlignment="1">
      <alignment horizontal="center" vertical="center" wrapText="1"/>
    </xf>
    <xf numFmtId="0" fontId="2" fillId="0" borderId="74" xfId="0" applyFont="1" applyBorder="1" applyAlignment="1">
      <alignment horizontal="center" vertical="top"/>
    </xf>
    <xf numFmtId="0" fontId="6" fillId="5" borderId="74" xfId="0" applyFont="1" applyFill="1" applyBorder="1" applyAlignment="1">
      <alignment horizontal="center" vertical="top" wrapText="1"/>
    </xf>
    <xf numFmtId="166" fontId="32" fillId="5" borderId="74" xfId="0" applyNumberFormat="1" applyFont="1" applyFill="1" applyBorder="1" applyAlignment="1">
      <alignment horizontal="center" vertical="top" wrapText="1"/>
    </xf>
    <xf numFmtId="0" fontId="6" fillId="0" borderId="74" xfId="0" applyFont="1" applyBorder="1" applyAlignment="1">
      <alignment horizontal="center" vertical="top" wrapText="1"/>
    </xf>
    <xf numFmtId="0" fontId="6" fillId="0" borderId="74" xfId="0" applyFont="1" applyBorder="1" applyAlignment="1">
      <alignment vertical="top" wrapText="1"/>
    </xf>
    <xf numFmtId="0" fontId="5" fillId="0" borderId="74" xfId="0" applyFont="1" applyBorder="1" applyAlignment="1">
      <alignment horizontal="justify" vertical="top" wrapText="1"/>
    </xf>
    <xf numFmtId="0" fontId="5" fillId="0" borderId="54" xfId="0" applyFont="1" applyBorder="1" applyAlignment="1">
      <alignment vertical="top" wrapText="1"/>
    </xf>
    <xf numFmtId="0" fontId="0" fillId="0" borderId="54" xfId="0" applyBorder="1" applyAlignment="1">
      <alignment horizontal="center"/>
    </xf>
    <xf numFmtId="0" fontId="5" fillId="0" borderId="74" xfId="0" applyFont="1" applyBorder="1" applyAlignment="1">
      <alignment horizontal="center"/>
    </xf>
    <xf numFmtId="0" fontId="6" fillId="0" borderId="6" xfId="0" applyFont="1" applyBorder="1" applyAlignment="1">
      <alignment vertical="center" wrapText="1"/>
    </xf>
    <xf numFmtId="0" fontId="5" fillId="0" borderId="7" xfId="0" applyFont="1" applyBorder="1" applyAlignment="1">
      <alignment horizontal="center" vertical="center" wrapText="1"/>
    </xf>
    <xf numFmtId="0" fontId="9" fillId="0" borderId="0" xfId="0" applyFont="1" applyAlignment="1">
      <alignment wrapText="1"/>
    </xf>
    <xf numFmtId="0" fontId="9" fillId="0" borderId="0" xfId="0" applyFont="1" applyAlignment="1">
      <alignment horizontal="center" wrapText="1"/>
    </xf>
    <xf numFmtId="0" fontId="14" fillId="0" borderId="0" xfId="0" applyFont="1" applyAlignment="1">
      <alignment horizontal="left"/>
    </xf>
    <xf numFmtId="0" fontId="9" fillId="0" borderId="0" xfId="0" applyFont="1"/>
    <xf numFmtId="0" fontId="12" fillId="0" borderId="0" xfId="0" applyFont="1" applyAlignment="1">
      <alignment wrapText="1"/>
    </xf>
    <xf numFmtId="0" fontId="2" fillId="4" borderId="0" xfId="0" applyFont="1" applyFill="1" applyAlignment="1">
      <alignment vertical="top"/>
    </xf>
    <xf numFmtId="0" fontId="6" fillId="7" borderId="60" xfId="0" applyFont="1" applyFill="1" applyBorder="1" applyAlignment="1">
      <alignment vertical="top"/>
    </xf>
    <xf numFmtId="166" fontId="22" fillId="0" borderId="33" xfId="0" applyNumberFormat="1" applyFont="1" applyBorder="1" applyAlignment="1">
      <alignment vertical="center"/>
    </xf>
    <xf numFmtId="1" fontId="5" fillId="7" borderId="60" xfId="0" applyNumberFormat="1" applyFont="1" applyFill="1" applyBorder="1" applyAlignment="1">
      <alignment vertical="top" wrapText="1"/>
    </xf>
    <xf numFmtId="166" fontId="5" fillId="7" borderId="60" xfId="0" applyNumberFormat="1" applyFont="1" applyFill="1" applyBorder="1" applyAlignment="1">
      <alignment horizontal="center" vertical="top" wrapText="1"/>
    </xf>
    <xf numFmtId="0" fontId="6" fillId="7" borderId="60" xfId="0" applyFont="1" applyFill="1" applyBorder="1" applyAlignment="1">
      <alignment horizontal="center" vertical="center" wrapText="1"/>
    </xf>
    <xf numFmtId="0" fontId="2" fillId="4" borderId="60" xfId="0" applyFont="1" applyFill="1" applyBorder="1" applyAlignment="1">
      <alignment horizontal="center" vertical="top"/>
    </xf>
    <xf numFmtId="0" fontId="6" fillId="4" borderId="60" xfId="0" applyFont="1" applyFill="1" applyBorder="1" applyAlignment="1">
      <alignment horizontal="center" vertical="top" wrapText="1"/>
    </xf>
    <xf numFmtId="41" fontId="14" fillId="0" borderId="24" xfId="2" applyFont="1" applyBorder="1" applyAlignment="1">
      <alignment vertical="center"/>
    </xf>
    <xf numFmtId="0" fontId="14" fillId="0" borderId="24" xfId="0" applyFont="1" applyBorder="1" applyAlignment="1">
      <alignment vertical="center" wrapText="1"/>
    </xf>
    <xf numFmtId="0" fontId="6" fillId="0" borderId="0" xfId="0" applyFont="1" applyAlignment="1">
      <alignment wrapText="1"/>
    </xf>
    <xf numFmtId="0" fontId="6" fillId="0" borderId="0" xfId="0" applyFont="1" applyAlignment="1">
      <alignment horizontal="right" wrapText="1"/>
    </xf>
    <xf numFmtId="0" fontId="35" fillId="0" borderId="0" xfId="0" applyFont="1"/>
    <xf numFmtId="0" fontId="35" fillId="0" borderId="0" xfId="0" applyFont="1" applyAlignment="1">
      <alignment horizontal="center"/>
    </xf>
    <xf numFmtId="164" fontId="6" fillId="0" borderId="54" xfId="1" applyNumberFormat="1" applyFont="1" applyFill="1" applyBorder="1" applyAlignment="1">
      <alignment horizontal="center" vertical="top" wrapText="1"/>
    </xf>
    <xf numFmtId="49" fontId="6" fillId="0" borderId="54" xfId="1" quotePrefix="1" applyNumberFormat="1" applyFont="1" applyFill="1" applyBorder="1" applyAlignment="1">
      <alignment vertical="center" wrapText="1"/>
    </xf>
    <xf numFmtId="49" fontId="6" fillId="0" borderId="54" xfId="1" quotePrefix="1" applyNumberFormat="1" applyFont="1" applyFill="1" applyBorder="1" applyAlignment="1">
      <alignment horizontal="center" vertical="center" wrapText="1"/>
    </xf>
    <xf numFmtId="49" fontId="6" fillId="0" borderId="54" xfId="1" applyNumberFormat="1" applyFont="1" applyFill="1" applyBorder="1" applyAlignment="1">
      <alignment horizontal="center" vertical="center" wrapText="1"/>
    </xf>
    <xf numFmtId="49" fontId="6" fillId="0" borderId="59" xfId="1" applyNumberFormat="1" applyFont="1" applyFill="1" applyBorder="1" applyAlignment="1">
      <alignment horizontal="center" vertical="center" wrapText="1"/>
    </xf>
    <xf numFmtId="49" fontId="0" fillId="0" borderId="0" xfId="0" applyNumberFormat="1" applyAlignment="1">
      <alignment horizontal="center"/>
    </xf>
    <xf numFmtId="164" fontId="6" fillId="0" borderId="54" xfId="1" applyNumberFormat="1" applyFont="1" applyFill="1" applyBorder="1" applyAlignment="1">
      <alignment vertical="center" wrapText="1"/>
    </xf>
    <xf numFmtId="164" fontId="6" fillId="0" borderId="54" xfId="1" applyNumberFormat="1" applyFont="1" applyFill="1" applyBorder="1" applyAlignment="1">
      <alignment horizontal="center" vertical="center" wrapText="1"/>
    </xf>
    <xf numFmtId="164" fontId="5" fillId="0" borderId="54" xfId="1" applyNumberFormat="1" applyFont="1" applyFill="1" applyBorder="1" applyAlignment="1">
      <alignment horizontal="center" vertical="center" wrapText="1"/>
    </xf>
    <xf numFmtId="164" fontId="6" fillId="0" borderId="60" xfId="1" applyNumberFormat="1" applyFont="1" applyFill="1" applyBorder="1" applyAlignment="1">
      <alignment vertical="center" wrapText="1"/>
    </xf>
    <xf numFmtId="164" fontId="6" fillId="0" borderId="60" xfId="1" applyNumberFormat="1" applyFont="1" applyFill="1" applyBorder="1" applyAlignment="1">
      <alignment horizontal="center" vertical="center" wrapText="1"/>
    </xf>
    <xf numFmtId="164" fontId="5" fillId="0" borderId="60" xfId="1" applyNumberFormat="1" applyFont="1" applyFill="1" applyBorder="1" applyAlignment="1">
      <alignment horizontal="center" vertical="center" wrapText="1"/>
    </xf>
    <xf numFmtId="0" fontId="6" fillId="0" borderId="60" xfId="0" applyFont="1" applyBorder="1" applyAlignment="1">
      <alignment vertical="top" wrapText="1"/>
    </xf>
    <xf numFmtId="0" fontId="6" fillId="0" borderId="60" xfId="0" applyFont="1" applyBorder="1" applyAlignment="1">
      <alignment horizontal="left" vertical="top" wrapText="1"/>
    </xf>
    <xf numFmtId="0" fontId="6" fillId="0" borderId="60" xfId="0" applyFont="1" applyBorder="1" applyAlignment="1">
      <alignment horizontal="center" vertical="top" wrapText="1"/>
    </xf>
    <xf numFmtId="0" fontId="6" fillId="0" borderId="60" xfId="0" applyFont="1" applyBorder="1" applyAlignment="1">
      <alignment vertical="top"/>
    </xf>
    <xf numFmtId="166" fontId="5" fillId="0" borderId="74" xfId="0" applyNumberFormat="1" applyFont="1" applyBorder="1" applyAlignment="1">
      <alignment vertical="top" wrapText="1"/>
    </xf>
    <xf numFmtId="0" fontId="12" fillId="0" borderId="9" xfId="0" applyFont="1" applyBorder="1" applyAlignment="1">
      <alignment wrapText="1"/>
    </xf>
    <xf numFmtId="0" fontId="12" fillId="4" borderId="9" xfId="0" applyFont="1" applyFill="1" applyBorder="1" applyAlignment="1">
      <alignment wrapText="1"/>
    </xf>
    <xf numFmtId="0" fontId="5" fillId="0" borderId="74" xfId="0" applyFont="1" applyBorder="1" applyAlignment="1">
      <alignment vertical="top"/>
    </xf>
    <xf numFmtId="0" fontId="0" fillId="0" borderId="74" xfId="0" applyBorder="1" applyAlignment="1">
      <alignment horizontal="center" vertical="top"/>
    </xf>
    <xf numFmtId="0" fontId="5" fillId="0" borderId="74" xfId="0" applyFont="1" applyBorder="1" applyAlignment="1">
      <alignment horizontal="center" vertical="top"/>
    </xf>
    <xf numFmtId="0" fontId="5" fillId="4" borderId="74" xfId="0" applyFont="1" applyFill="1" applyBorder="1" applyAlignment="1">
      <alignment vertical="center" wrapText="1"/>
    </xf>
    <xf numFmtId="0" fontId="5" fillId="0" borderId="74" xfId="4" applyFont="1" applyBorder="1" applyAlignment="1">
      <alignment horizontal="left" vertical="justify"/>
    </xf>
    <xf numFmtId="0" fontId="49" fillId="0" borderId="74" xfId="4" applyFont="1" applyBorder="1" applyAlignment="1">
      <alignment horizontal="center" vertical="center" wrapText="1"/>
    </xf>
    <xf numFmtId="0" fontId="5" fillId="0" borderId="74" xfId="4" applyFont="1" applyBorder="1" applyAlignment="1">
      <alignment vertical="center" wrapText="1"/>
    </xf>
    <xf numFmtId="0" fontId="5" fillId="0" borderId="74" xfId="4" applyFont="1" applyBorder="1" applyAlignment="1">
      <alignment horizontal="left" wrapText="1"/>
    </xf>
    <xf numFmtId="0" fontId="5" fillId="0" borderId="74" xfId="4" applyFont="1" applyBorder="1" applyAlignment="1">
      <alignment horizontal="left" vertical="center" wrapText="1"/>
    </xf>
    <xf numFmtId="0" fontId="5" fillId="0" borderId="74" xfId="0" applyFont="1" applyBorder="1" applyAlignment="1">
      <alignment horizontal="left" vertical="top"/>
    </xf>
    <xf numFmtId="1" fontId="6" fillId="0" borderId="74" xfId="0" applyNumberFormat="1" applyFont="1" applyBorder="1" applyAlignment="1">
      <alignment vertical="top" wrapText="1"/>
    </xf>
    <xf numFmtId="166" fontId="6" fillId="0" borderId="74" xfId="0" applyNumberFormat="1" applyFont="1" applyBorder="1" applyAlignment="1">
      <alignment vertical="top" wrapText="1"/>
    </xf>
    <xf numFmtId="1" fontId="5" fillId="0" borderId="74" xfId="0" applyNumberFormat="1" applyFont="1" applyBorder="1" applyAlignment="1">
      <alignment vertical="top" wrapText="1"/>
    </xf>
    <xf numFmtId="1" fontId="5" fillId="7" borderId="74" xfId="0" applyNumberFormat="1" applyFont="1" applyFill="1" applyBorder="1" applyAlignment="1">
      <alignment vertical="top" wrapText="1"/>
    </xf>
    <xf numFmtId="166" fontId="6" fillId="7" borderId="74" xfId="0" applyNumberFormat="1" applyFont="1" applyFill="1" applyBorder="1" applyAlignment="1">
      <alignment horizontal="center" vertical="top" wrapText="1"/>
    </xf>
    <xf numFmtId="0" fontId="6" fillId="7" borderId="74" xfId="0" applyFont="1" applyFill="1" applyBorder="1" applyAlignment="1">
      <alignment horizontal="center" vertical="center" wrapText="1"/>
    </xf>
    <xf numFmtId="0" fontId="5" fillId="7" borderId="60" xfId="0" applyFont="1" applyFill="1" applyBorder="1" applyAlignment="1">
      <alignment horizontal="center" vertical="top" wrapText="1"/>
    </xf>
    <xf numFmtId="0" fontId="5" fillId="7" borderId="60" xfId="0" applyFont="1" applyFill="1" applyBorder="1" applyAlignment="1">
      <alignment vertical="top"/>
    </xf>
    <xf numFmtId="164" fontId="6" fillId="0" borderId="74" xfId="1" applyNumberFormat="1" applyFont="1" applyFill="1" applyBorder="1" applyAlignment="1">
      <alignment vertical="center" wrapText="1"/>
    </xf>
    <xf numFmtId="0" fontId="6" fillId="0" borderId="74" xfId="0" applyFont="1" applyBorder="1" applyAlignment="1">
      <alignment horizontal="left" vertical="top" wrapText="1"/>
    </xf>
    <xf numFmtId="0" fontId="5" fillId="0" borderId="74" xfId="0" applyFont="1" applyBorder="1" applyAlignment="1">
      <alignment horizontal="left" vertical="top" wrapText="1"/>
    </xf>
    <xf numFmtId="166" fontId="5" fillId="0" borderId="74" xfId="0" applyNumberFormat="1" applyFont="1" applyBorder="1" applyAlignment="1">
      <alignment horizontal="left" vertical="top" wrapText="1"/>
    </xf>
    <xf numFmtId="166" fontId="5" fillId="7" borderId="74" xfId="0" applyNumberFormat="1" applyFont="1" applyFill="1" applyBorder="1" applyAlignment="1">
      <alignment vertical="top" wrapText="1"/>
    </xf>
    <xf numFmtId="1" fontId="5" fillId="4" borderId="74" xfId="0" applyNumberFormat="1" applyFont="1" applyFill="1" applyBorder="1" applyAlignment="1">
      <alignment vertical="top" wrapText="1"/>
    </xf>
    <xf numFmtId="0" fontId="5" fillId="4" borderId="74" xfId="0" applyFont="1" applyFill="1" applyBorder="1" applyAlignment="1">
      <alignment horizontal="left" vertical="top" wrapText="1"/>
    </xf>
    <xf numFmtId="0" fontId="5" fillId="4" borderId="74" xfId="0" applyFont="1" applyFill="1" applyBorder="1" applyAlignment="1">
      <alignment horizontal="center" vertical="center" wrapText="1"/>
    </xf>
    <xf numFmtId="0" fontId="5" fillId="4" borderId="60" xfId="0" applyFont="1" applyFill="1" applyBorder="1" applyAlignment="1">
      <alignment vertical="top"/>
    </xf>
    <xf numFmtId="0" fontId="5" fillId="4" borderId="74" xfId="0" applyFont="1" applyFill="1" applyBorder="1" applyAlignment="1">
      <alignment horizontal="center" vertical="top" wrapText="1"/>
    </xf>
    <xf numFmtId="0" fontId="6" fillId="4" borderId="74" xfId="0" applyFont="1" applyFill="1" applyBorder="1" applyAlignment="1">
      <alignment vertical="center"/>
    </xf>
    <xf numFmtId="166" fontId="6" fillId="4" borderId="74" xfId="0" applyNumberFormat="1" applyFont="1" applyFill="1" applyBorder="1" applyAlignment="1">
      <alignment horizontal="center" vertical="top" wrapText="1"/>
    </xf>
    <xf numFmtId="0" fontId="6" fillId="4" borderId="74" xfId="0" applyFont="1" applyFill="1" applyBorder="1" applyAlignment="1">
      <alignment horizontal="center" vertical="top" wrapText="1"/>
    </xf>
    <xf numFmtId="0" fontId="5" fillId="4" borderId="74" xfId="0" applyFont="1" applyFill="1" applyBorder="1" applyAlignment="1">
      <alignment vertical="top"/>
    </xf>
    <xf numFmtId="0" fontId="2" fillId="7" borderId="74" xfId="0" applyFont="1" applyFill="1" applyBorder="1" applyAlignment="1">
      <alignment vertical="top"/>
    </xf>
    <xf numFmtId="164" fontId="6" fillId="4" borderId="74" xfId="1" applyNumberFormat="1" applyFont="1" applyFill="1" applyBorder="1" applyAlignment="1">
      <alignment vertical="center" wrapText="1"/>
    </xf>
    <xf numFmtId="0" fontId="6" fillId="4" borderId="74" xfId="0" applyFont="1" applyFill="1" applyBorder="1" applyAlignment="1">
      <alignment horizontal="center" vertical="center" wrapText="1"/>
    </xf>
    <xf numFmtId="164" fontId="6" fillId="5" borderId="74" xfId="1" applyNumberFormat="1" applyFont="1" applyFill="1" applyBorder="1" applyAlignment="1">
      <alignment vertical="center" wrapText="1"/>
    </xf>
    <xf numFmtId="0" fontId="5" fillId="5" borderId="60" xfId="0" applyFont="1" applyFill="1" applyBorder="1" applyAlignment="1">
      <alignment horizontal="center" vertical="top" wrapText="1"/>
    </xf>
    <xf numFmtId="0" fontId="6" fillId="5" borderId="60" xfId="0" applyFont="1" applyFill="1" applyBorder="1" applyAlignment="1">
      <alignment vertical="center"/>
    </xf>
    <xf numFmtId="166" fontId="6" fillId="5" borderId="60" xfId="0" applyNumberFormat="1" applyFont="1" applyFill="1" applyBorder="1" applyAlignment="1">
      <alignment horizontal="center" vertical="center" wrapText="1"/>
    </xf>
    <xf numFmtId="164" fontId="6" fillId="0" borderId="60" xfId="0" applyNumberFormat="1" applyFont="1" applyBorder="1" applyAlignment="1">
      <alignment vertical="center" wrapText="1"/>
    </xf>
    <xf numFmtId="1" fontId="6" fillId="7" borderId="74" xfId="0" applyNumberFormat="1" applyFont="1" applyFill="1" applyBorder="1" applyAlignment="1">
      <alignment vertical="top" wrapText="1"/>
    </xf>
    <xf numFmtId="164" fontId="6" fillId="7" borderId="74" xfId="1" applyNumberFormat="1" applyFont="1" applyFill="1" applyBorder="1" applyAlignment="1">
      <alignment horizontal="center" vertical="center" wrapText="1"/>
    </xf>
    <xf numFmtId="164" fontId="6" fillId="0" borderId="74" xfId="0" applyNumberFormat="1" applyFont="1" applyBorder="1" applyAlignment="1">
      <alignment vertical="center" wrapText="1"/>
    </xf>
    <xf numFmtId="164" fontId="6" fillId="0" borderId="60" xfId="3" applyNumberFormat="1" applyFont="1" applyFill="1" applyBorder="1" applyAlignment="1">
      <alignment vertical="center" wrapText="1"/>
    </xf>
    <xf numFmtId="164" fontId="6" fillId="0" borderId="60" xfId="3" applyNumberFormat="1" applyFont="1" applyFill="1" applyBorder="1" applyAlignment="1">
      <alignment horizontal="center" vertical="center" wrapText="1"/>
    </xf>
    <xf numFmtId="164" fontId="5" fillId="0" borderId="60" xfId="3" applyNumberFormat="1" applyFont="1" applyFill="1" applyBorder="1" applyAlignment="1">
      <alignment horizontal="center" vertical="center" wrapText="1"/>
    </xf>
    <xf numFmtId="0" fontId="5" fillId="0" borderId="74" xfId="0" applyFont="1" applyBorder="1" applyAlignment="1">
      <alignment horizontal="right" vertical="center"/>
    </xf>
    <xf numFmtId="0" fontId="5" fillId="0" borderId="74" xfId="0" applyFont="1" applyBorder="1" applyAlignment="1">
      <alignment horizontal="right" vertical="center" wrapText="1"/>
    </xf>
    <xf numFmtId="164" fontId="6" fillId="0" borderId="74" xfId="3" applyNumberFormat="1" applyFont="1" applyFill="1" applyBorder="1" applyAlignment="1">
      <alignment vertical="center" wrapText="1"/>
    </xf>
    <xf numFmtId="166" fontId="5" fillId="7" borderId="74" xfId="0" applyNumberFormat="1" applyFont="1" applyFill="1" applyBorder="1" applyAlignment="1">
      <alignment horizontal="center" vertical="top" wrapText="1"/>
    </xf>
    <xf numFmtId="1" fontId="5" fillId="5" borderId="74" xfId="0" applyNumberFormat="1" applyFont="1" applyFill="1" applyBorder="1" applyAlignment="1">
      <alignment vertical="top" wrapText="1"/>
    </xf>
    <xf numFmtId="166" fontId="6" fillId="5" borderId="74" xfId="0" applyNumberFormat="1" applyFont="1" applyFill="1" applyBorder="1" applyAlignment="1">
      <alignment horizontal="center" vertical="top" wrapText="1"/>
    </xf>
    <xf numFmtId="0" fontId="5" fillId="5" borderId="60" xfId="0" applyFont="1" applyFill="1" applyBorder="1" applyAlignment="1">
      <alignment vertical="top"/>
    </xf>
    <xf numFmtId="0" fontId="5" fillId="4" borderId="60" xfId="0" applyFont="1" applyFill="1" applyBorder="1" applyAlignment="1">
      <alignment horizontal="center" vertical="center" wrapText="1"/>
    </xf>
    <xf numFmtId="0" fontId="5" fillId="4" borderId="60" xfId="0" applyFont="1" applyFill="1" applyBorder="1" applyAlignment="1">
      <alignment horizontal="center" vertical="center"/>
    </xf>
    <xf numFmtId="0" fontId="6" fillId="4" borderId="60" xfId="0" applyFont="1" applyFill="1" applyBorder="1" applyAlignment="1">
      <alignment horizontal="center" vertical="center" wrapText="1"/>
    </xf>
    <xf numFmtId="166" fontId="5" fillId="5" borderId="74" xfId="0" applyNumberFormat="1" applyFont="1" applyFill="1" applyBorder="1" applyAlignment="1">
      <alignment horizontal="center" vertical="top" wrapText="1"/>
    </xf>
    <xf numFmtId="0" fontId="5" fillId="5" borderId="74" xfId="0" applyFont="1" applyFill="1" applyBorder="1" applyAlignment="1">
      <alignment vertical="top"/>
    </xf>
    <xf numFmtId="0" fontId="5" fillId="2" borderId="74" xfId="0" applyFont="1" applyFill="1" applyBorder="1" applyAlignment="1">
      <alignment horizontal="left" vertical="top"/>
    </xf>
    <xf numFmtId="0" fontId="0" fillId="0" borderId="74" xfId="0" applyBorder="1" applyAlignment="1">
      <alignment horizontal="center" vertical="center"/>
    </xf>
    <xf numFmtId="166" fontId="5" fillId="4" borderId="74" xfId="0" applyNumberFormat="1" applyFont="1" applyFill="1" applyBorder="1" applyAlignment="1">
      <alignment vertical="top" wrapText="1"/>
    </xf>
    <xf numFmtId="1" fontId="5" fillId="4" borderId="60" xfId="0" applyNumberFormat="1" applyFont="1" applyFill="1" applyBorder="1" applyAlignment="1">
      <alignment horizontal="center" vertical="center" wrapText="1"/>
    </xf>
    <xf numFmtId="0" fontId="5" fillId="4" borderId="60" xfId="0" applyFont="1" applyFill="1" applyBorder="1" applyAlignment="1">
      <alignment horizontal="center" vertical="top" wrapText="1"/>
    </xf>
    <xf numFmtId="0" fontId="6" fillId="7" borderId="74" xfId="0" applyFont="1" applyFill="1" applyBorder="1" applyAlignment="1">
      <alignment horizontal="center" vertical="top"/>
    </xf>
    <xf numFmtId="0" fontId="5" fillId="7" borderId="74" xfId="0" applyFont="1" applyFill="1" applyBorder="1" applyAlignment="1">
      <alignment horizontal="center" vertical="center"/>
    </xf>
    <xf numFmtId="0" fontId="5" fillId="0" borderId="60" xfId="0" applyFont="1" applyBorder="1" applyAlignment="1">
      <alignment horizontal="justify" vertical="center" wrapText="1"/>
    </xf>
    <xf numFmtId="0" fontId="0" fillId="0" borderId="60" xfId="0" applyBorder="1" applyAlignment="1">
      <alignment horizontal="center" vertical="top"/>
    </xf>
    <xf numFmtId="0" fontId="5" fillId="0" borderId="60" xfId="0" applyFont="1" applyBorder="1" applyAlignment="1">
      <alignment horizontal="center"/>
    </xf>
    <xf numFmtId="0" fontId="5" fillId="0" borderId="60" xfId="0" applyFont="1" applyBorder="1" applyAlignment="1">
      <alignment wrapText="1"/>
    </xf>
    <xf numFmtId="0" fontId="6" fillId="0" borderId="60" xfId="0" applyFont="1" applyBorder="1" applyAlignment="1">
      <alignment wrapText="1"/>
    </xf>
    <xf numFmtId="165" fontId="5" fillId="0" borderId="60" xfId="0" applyNumberFormat="1" applyFont="1" applyBorder="1" applyAlignment="1">
      <alignment wrapText="1"/>
    </xf>
    <xf numFmtId="0" fontId="0" fillId="0" borderId="74" xfId="0" applyBorder="1"/>
    <xf numFmtId="0" fontId="5" fillId="0" borderId="60" xfId="0" quotePrefix="1" applyFont="1" applyBorder="1"/>
    <xf numFmtId="0" fontId="0" fillId="0" borderId="74" xfId="0" applyBorder="1" applyAlignment="1">
      <alignment horizontal="center" wrapText="1"/>
    </xf>
    <xf numFmtId="0" fontId="5" fillId="0" borderId="60" xfId="0" quotePrefix="1" applyFont="1" applyBorder="1" applyAlignment="1">
      <alignment horizontal="left"/>
    </xf>
    <xf numFmtId="166" fontId="5" fillId="5" borderId="74" xfId="0" applyNumberFormat="1" applyFont="1" applyFill="1" applyBorder="1" applyAlignment="1">
      <alignment vertical="top" wrapText="1"/>
    </xf>
    <xf numFmtId="166" fontId="5" fillId="6" borderId="74" xfId="0" applyNumberFormat="1" applyFont="1" applyFill="1" applyBorder="1" applyAlignment="1">
      <alignment horizontal="left" vertical="top" wrapText="1"/>
    </xf>
    <xf numFmtId="0" fontId="6" fillId="4" borderId="60" xfId="0" applyFont="1" applyFill="1" applyBorder="1" applyAlignment="1">
      <alignment horizontal="center"/>
    </xf>
    <xf numFmtId="0" fontId="6" fillId="4" borderId="60" xfId="0" applyFont="1" applyFill="1" applyBorder="1" applyAlignment="1">
      <alignment wrapText="1"/>
    </xf>
    <xf numFmtId="0" fontId="0" fillId="4" borderId="0" xfId="0" applyFill="1"/>
    <xf numFmtId="0" fontId="6" fillId="4" borderId="74" xfId="0" applyFont="1" applyFill="1" applyBorder="1" applyAlignment="1">
      <alignment horizontal="center"/>
    </xf>
    <xf numFmtId="0" fontId="6" fillId="4" borderId="74" xfId="0" applyFont="1" applyFill="1" applyBorder="1" applyAlignment="1">
      <alignment wrapText="1"/>
    </xf>
    <xf numFmtId="0" fontId="6" fillId="6" borderId="52" xfId="0" applyFont="1" applyFill="1" applyBorder="1" applyAlignment="1">
      <alignment wrapText="1"/>
    </xf>
    <xf numFmtId="0" fontId="6" fillId="6" borderId="77" xfId="0" applyFont="1" applyFill="1" applyBorder="1" applyAlignment="1">
      <alignment wrapText="1"/>
    </xf>
    <xf numFmtId="0" fontId="6" fillId="8" borderId="77" xfId="0" applyFont="1" applyFill="1" applyBorder="1" applyAlignment="1">
      <alignment wrapText="1"/>
    </xf>
    <xf numFmtId="0" fontId="6" fillId="5" borderId="74" xfId="0" applyFont="1" applyFill="1" applyBorder="1" applyAlignment="1">
      <alignment wrapText="1"/>
    </xf>
    <xf numFmtId="1" fontId="5" fillId="4" borderId="9" xfId="0" applyNumberFormat="1" applyFont="1" applyFill="1" applyBorder="1" applyAlignment="1">
      <alignment vertical="top" wrapText="1"/>
    </xf>
    <xf numFmtId="166" fontId="6" fillId="6" borderId="77" xfId="0" applyNumberFormat="1" applyFont="1" applyFill="1" applyBorder="1" applyAlignment="1">
      <alignment horizontal="center" vertical="top" wrapText="1"/>
    </xf>
    <xf numFmtId="0" fontId="6" fillId="6" borderId="77"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6" fillId="6" borderId="77" xfId="0" applyFont="1" applyFill="1" applyBorder="1" applyAlignment="1">
      <alignment horizontal="center"/>
    </xf>
    <xf numFmtId="1" fontId="6" fillId="0" borderId="60" xfId="0" applyNumberFormat="1" applyFont="1" applyBorder="1" applyAlignment="1">
      <alignment vertical="top" wrapText="1"/>
    </xf>
    <xf numFmtId="0" fontId="6" fillId="0" borderId="60" xfId="0" applyFont="1" applyBorder="1" applyAlignment="1">
      <alignment horizontal="justify" vertical="center" wrapText="1"/>
    </xf>
    <xf numFmtId="0" fontId="0" fillId="0" borderId="0" xfId="0" applyAlignment="1">
      <alignment horizontal="center" wrapText="1"/>
    </xf>
    <xf numFmtId="0" fontId="6" fillId="0" borderId="0" xfId="0" applyFont="1" applyAlignment="1">
      <alignment horizontal="center" wrapText="1"/>
    </xf>
    <xf numFmtId="0" fontId="6" fillId="0" borderId="0" xfId="0" applyFont="1" applyAlignment="1">
      <alignment horizontal="center"/>
    </xf>
    <xf numFmtId="0" fontId="6" fillId="0" borderId="74" xfId="0" applyFont="1" applyBorder="1" applyAlignment="1">
      <alignment vertical="top"/>
    </xf>
    <xf numFmtId="0" fontId="50" fillId="0" borderId="9" xfId="0" applyFont="1" applyBorder="1" applyAlignment="1">
      <alignment wrapText="1"/>
    </xf>
    <xf numFmtId="0" fontId="43" fillId="0" borderId="9" xfId="0" applyFont="1" applyBorder="1" applyAlignment="1">
      <alignment vertical="center" wrapText="1"/>
    </xf>
    <xf numFmtId="0" fontId="43" fillId="0" borderId="74" xfId="0" applyFont="1" applyBorder="1" applyAlignment="1">
      <alignment vertical="center" wrapText="1"/>
    </xf>
    <xf numFmtId="166" fontId="6" fillId="0" borderId="74" xfId="0" applyNumberFormat="1" applyFont="1" applyBorder="1" applyAlignment="1">
      <alignment horizontal="left" vertical="top" wrapText="1"/>
    </xf>
    <xf numFmtId="0" fontId="5" fillId="0" borderId="0" xfId="0" applyFont="1" applyAlignment="1">
      <alignment horizontal="center" vertical="top" wrapText="1"/>
    </xf>
    <xf numFmtId="0" fontId="6" fillId="4" borderId="74" xfId="0" applyFont="1" applyFill="1" applyBorder="1" applyAlignment="1">
      <alignment horizontal="left" vertical="top" wrapText="1"/>
    </xf>
    <xf numFmtId="164" fontId="6" fillId="0" borderId="74" xfId="3" applyNumberFormat="1" applyFont="1" applyFill="1" applyBorder="1" applyAlignment="1">
      <alignment horizontal="center" vertical="center" wrapText="1"/>
    </xf>
    <xf numFmtId="164" fontId="5" fillId="0" borderId="74" xfId="3" applyNumberFormat="1" applyFont="1" applyFill="1" applyBorder="1" applyAlignment="1">
      <alignment horizontal="center" vertical="center" wrapText="1"/>
    </xf>
    <xf numFmtId="0" fontId="22" fillId="0" borderId="0" xfId="0" applyFont="1" applyAlignment="1">
      <alignment horizontal="right"/>
    </xf>
    <xf numFmtId="0" fontId="5" fillId="0" borderId="64" xfId="0" applyFont="1" applyBorder="1" applyAlignment="1">
      <alignment horizontal="center" vertical="center" wrapText="1"/>
    </xf>
    <xf numFmtId="0" fontId="6" fillId="0" borderId="64" xfId="0" applyFont="1" applyBorder="1" applyAlignment="1">
      <alignment vertical="center" wrapText="1"/>
    </xf>
    <xf numFmtId="0" fontId="5" fillId="0" borderId="64" xfId="0" applyFont="1" applyBorder="1" applyAlignment="1">
      <alignment vertical="center" wrapText="1"/>
    </xf>
    <xf numFmtId="0" fontId="2" fillId="0" borderId="5" xfId="0" applyFont="1" applyBorder="1" applyAlignment="1">
      <alignment vertical="center"/>
    </xf>
    <xf numFmtId="0" fontId="6" fillId="0" borderId="64" xfId="0" applyFont="1" applyBorder="1" applyAlignment="1">
      <alignment horizontal="center" vertical="center" wrapText="1"/>
    </xf>
    <xf numFmtId="0" fontId="25" fillId="0" borderId="36" xfId="0" applyFont="1" applyBorder="1" applyAlignment="1">
      <alignment vertical="center" wrapText="1"/>
    </xf>
    <xf numFmtId="0" fontId="22" fillId="0" borderId="0" xfId="0" applyFont="1" applyAlignment="1">
      <alignment vertical="center"/>
    </xf>
    <xf numFmtId="0" fontId="22" fillId="0" borderId="1" xfId="0" applyFont="1" applyBorder="1" applyAlignment="1">
      <alignment horizontal="justify" vertical="top" wrapText="1"/>
    </xf>
    <xf numFmtId="0" fontId="22" fillId="0" borderId="27" xfId="0" applyFont="1" applyBorder="1" applyAlignment="1">
      <alignment horizontal="justify" vertical="center" wrapText="1"/>
    </xf>
    <xf numFmtId="0" fontId="6" fillId="0" borderId="27" xfId="0" applyFont="1" applyBorder="1" applyAlignment="1">
      <alignment horizontal="justify" vertical="center" wrapText="1"/>
    </xf>
    <xf numFmtId="0" fontId="22" fillId="0" borderId="29" xfId="0" applyFont="1" applyBorder="1" applyAlignment="1">
      <alignment horizontal="left" vertical="center" wrapText="1"/>
    </xf>
    <xf numFmtId="0" fontId="21" fillId="0" borderId="79" xfId="0" applyFont="1" applyBorder="1" applyAlignment="1">
      <alignment horizontal="left" vertical="center" wrapText="1"/>
    </xf>
    <xf numFmtId="0" fontId="2" fillId="0" borderId="0" xfId="0" applyFont="1" applyAlignment="1">
      <alignment horizontal="center" vertical="top"/>
    </xf>
    <xf numFmtId="0" fontId="22" fillId="0" borderId="48" xfId="0" applyFont="1" applyBorder="1" applyAlignment="1">
      <alignment horizontal="center" vertical="center" wrapText="1"/>
    </xf>
    <xf numFmtId="164" fontId="22" fillId="0" borderId="64" xfId="1" applyNumberFormat="1" applyFont="1" applyFill="1" applyBorder="1" applyAlignment="1">
      <alignment horizontal="center" vertical="center" wrapText="1"/>
    </xf>
    <xf numFmtId="49" fontId="22" fillId="0" borderId="74" xfId="1" quotePrefix="1" applyNumberFormat="1" applyFont="1" applyFill="1" applyBorder="1" applyAlignment="1">
      <alignment horizontal="center" vertical="center" wrapText="1"/>
    </xf>
    <xf numFmtId="49" fontId="22" fillId="0" borderId="74" xfId="1" applyNumberFormat="1" applyFont="1" applyFill="1" applyBorder="1" applyAlignment="1">
      <alignment horizontal="center" vertical="center" wrapText="1"/>
    </xf>
    <xf numFmtId="49" fontId="29" fillId="0" borderId="74" xfId="1" applyNumberFormat="1" applyFont="1" applyFill="1" applyBorder="1" applyAlignment="1">
      <alignment horizontal="center" vertical="center" wrapText="1"/>
    </xf>
    <xf numFmtId="0" fontId="21" fillId="0" borderId="0" xfId="0" quotePrefix="1" applyFont="1"/>
    <xf numFmtId="0" fontId="0" fillId="0" borderId="0" xfId="0" applyAlignment="1">
      <alignment horizontal="center" vertical="center" wrapText="1"/>
    </xf>
    <xf numFmtId="0" fontId="6" fillId="0" borderId="0" xfId="0" applyFont="1" applyAlignment="1">
      <alignment horizontal="center" vertical="center" wrapText="1"/>
    </xf>
    <xf numFmtId="0" fontId="35" fillId="0" borderId="0" xfId="0" applyFont="1" applyAlignment="1">
      <alignment horizontal="center" vertical="center"/>
    </xf>
    <xf numFmtId="164" fontId="6" fillId="0" borderId="37" xfId="1" applyNumberFormat="1" applyFont="1" applyBorder="1" applyAlignment="1">
      <alignment horizontal="center" vertical="center" wrapText="1"/>
    </xf>
    <xf numFmtId="164" fontId="6" fillId="0" borderId="38" xfId="1" applyNumberFormat="1" applyFont="1" applyBorder="1" applyAlignment="1">
      <alignment horizontal="center" vertical="center" wrapText="1"/>
    </xf>
    <xf numFmtId="164" fontId="6" fillId="0" borderId="75" xfId="1" applyNumberFormat="1" applyFont="1" applyBorder="1" applyAlignment="1">
      <alignment horizontal="center" vertical="center" wrapText="1"/>
    </xf>
    <xf numFmtId="0" fontId="35"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vertical="center" wrapText="1"/>
    </xf>
    <xf numFmtId="0" fontId="5" fillId="0" borderId="0" xfId="0" applyFont="1" applyAlignment="1">
      <alignment horizontal="left" vertical="center" wrapText="1"/>
    </xf>
    <xf numFmtId="165" fontId="5" fillId="0" borderId="0" xfId="0" applyNumberFormat="1" applyFont="1" applyAlignment="1">
      <alignment vertical="center" wrapText="1"/>
    </xf>
    <xf numFmtId="0" fontId="6" fillId="0" borderId="0" xfId="0" applyFont="1" applyAlignment="1">
      <alignment horizontal="center" vertical="center"/>
    </xf>
    <xf numFmtId="0" fontId="13" fillId="0" borderId="86" xfId="0" applyFont="1" applyBorder="1" applyAlignment="1">
      <alignment horizontal="center" vertical="top" wrapText="1"/>
    </xf>
    <xf numFmtId="0" fontId="13" fillId="0" borderId="83" xfId="0" applyFont="1" applyBorder="1" applyAlignment="1">
      <alignment horizontal="justify" vertical="top" wrapText="1"/>
    </xf>
    <xf numFmtId="0" fontId="12" fillId="0" borderId="86" xfId="0" applyFont="1" applyBorder="1" applyAlignment="1">
      <alignment horizontal="center" vertical="top" wrapText="1"/>
    </xf>
    <xf numFmtId="0" fontId="5" fillId="0" borderId="0" xfId="0" applyFont="1" applyAlignment="1">
      <alignment horizontal="justify" vertical="center"/>
    </xf>
    <xf numFmtId="0" fontId="12" fillId="0" borderId="83" xfId="0" applyFont="1" applyBorder="1" applyAlignment="1">
      <alignment horizontal="justify" vertical="top" wrapText="1"/>
    </xf>
    <xf numFmtId="0" fontId="12" fillId="0" borderId="86" xfId="5" applyFont="1" applyBorder="1" applyAlignment="1">
      <alignment horizontal="center" vertical="top" wrapText="1"/>
    </xf>
    <xf numFmtId="0" fontId="12" fillId="0" borderId="83" xfId="5" applyFont="1" applyBorder="1" applyAlignment="1">
      <alignment horizontal="justify" vertical="top" wrapText="1"/>
    </xf>
    <xf numFmtId="164" fontId="13" fillId="0" borderId="10" xfId="1" applyNumberFormat="1" applyFont="1" applyBorder="1" applyAlignment="1">
      <alignment horizontal="center" vertical="center" wrapText="1"/>
    </xf>
    <xf numFmtId="164" fontId="13" fillId="0" borderId="11" xfId="1" applyNumberFormat="1" applyFont="1" applyBorder="1" applyAlignment="1">
      <alignment horizontal="center" vertical="center" wrapText="1"/>
    </xf>
    <xf numFmtId="164" fontId="13" fillId="0" borderId="12" xfId="1" applyNumberFormat="1" applyFont="1" applyBorder="1" applyAlignment="1">
      <alignment horizontal="center" vertical="center" wrapText="1"/>
    </xf>
    <xf numFmtId="0" fontId="13" fillId="0" borderId="82" xfId="0" applyFont="1" applyBorder="1" applyAlignment="1">
      <alignment horizontal="center" vertical="top" wrapText="1"/>
    </xf>
    <xf numFmtId="0" fontId="13" fillId="0" borderId="84" xfId="0" applyFont="1" applyBorder="1" applyAlignment="1">
      <alignment horizontal="justify" vertical="top" wrapText="1"/>
    </xf>
    <xf numFmtId="0" fontId="13" fillId="0" borderId="85" xfId="0" applyFont="1" applyBorder="1" applyAlignment="1">
      <alignment vertical="top"/>
    </xf>
    <xf numFmtId="0" fontId="48" fillId="0" borderId="86" xfId="0" applyFont="1" applyBorder="1" applyAlignment="1">
      <alignment horizontal="center" vertical="top" wrapText="1"/>
    </xf>
    <xf numFmtId="0" fontId="48" fillId="0" borderId="83" xfId="0" applyFont="1" applyBorder="1" applyAlignment="1">
      <alignment horizontal="justify" vertical="top" wrapText="1"/>
    </xf>
    <xf numFmtId="0" fontId="47" fillId="0" borderId="87" xfId="0" applyFont="1" applyBorder="1" applyAlignment="1">
      <alignment vertical="top"/>
    </xf>
    <xf numFmtId="9" fontId="13" fillId="0" borderId="87" xfId="0" applyNumberFormat="1" applyFont="1" applyBorder="1" applyAlignment="1">
      <alignment vertical="top"/>
    </xf>
    <xf numFmtId="0" fontId="47" fillId="0" borderId="86" xfId="0" applyFont="1" applyBorder="1" applyAlignment="1">
      <alignment horizontal="center" vertical="top" wrapText="1"/>
    </xf>
    <xf numFmtId="0" fontId="47" fillId="0" borderId="83" xfId="0" applyFont="1" applyBorder="1" applyAlignment="1">
      <alignment horizontal="justify" vertical="top" wrapText="1"/>
    </xf>
    <xf numFmtId="0" fontId="48" fillId="0" borderId="87" xfId="0" applyFont="1" applyBorder="1" applyAlignment="1">
      <alignment vertical="top"/>
    </xf>
    <xf numFmtId="0" fontId="12" fillId="0" borderId="87" xfId="0" applyFont="1" applyBorder="1" applyAlignment="1">
      <alignment vertical="top"/>
    </xf>
    <xf numFmtId="0" fontId="12" fillId="0" borderId="87" xfId="5" applyFont="1" applyBorder="1" applyAlignment="1">
      <alignment vertical="top"/>
    </xf>
    <xf numFmtId="0" fontId="13" fillId="0" borderId="30" xfId="0" applyFont="1" applyBorder="1" applyAlignment="1">
      <alignment horizontal="center" vertical="top" wrapText="1"/>
    </xf>
    <xf numFmtId="0" fontId="13" fillId="0" borderId="31" xfId="0" applyFont="1" applyBorder="1" applyAlignment="1">
      <alignment horizontal="justify" vertical="top" wrapText="1"/>
    </xf>
    <xf numFmtId="0" fontId="12" fillId="0" borderId="32" xfId="0" applyFont="1" applyBorder="1" applyAlignment="1">
      <alignment vertical="top"/>
    </xf>
    <xf numFmtId="0" fontId="13" fillId="0" borderId="84" xfId="0" applyFont="1" applyBorder="1" applyAlignment="1">
      <alignment vertical="top" wrapText="1"/>
    </xf>
    <xf numFmtId="0" fontId="47" fillId="0" borderId="83" xfId="0" applyFont="1" applyBorder="1" applyAlignment="1">
      <alignment vertical="top" wrapText="1"/>
    </xf>
    <xf numFmtId="3" fontId="12" fillId="0" borderId="83" xfId="0" applyNumberFormat="1" applyFont="1" applyBorder="1" applyAlignment="1">
      <alignment vertical="top" wrapText="1"/>
    </xf>
    <xf numFmtId="0" fontId="48" fillId="0" borderId="83" xfId="0" applyFont="1" applyBorder="1" applyAlignment="1">
      <alignment vertical="top" wrapText="1"/>
    </xf>
    <xf numFmtId="0" fontId="12" fillId="0" borderId="83" xfId="0" applyFont="1" applyBorder="1" applyAlignment="1">
      <alignment vertical="top" wrapText="1"/>
    </xf>
    <xf numFmtId="3" fontId="12" fillId="0" borderId="83" xfId="5" applyNumberFormat="1" applyFont="1" applyBorder="1" applyAlignment="1">
      <alignment vertical="top" wrapText="1"/>
    </xf>
    <xf numFmtId="0" fontId="14" fillId="0" borderId="0" xfId="0" applyFont="1" applyAlignment="1">
      <alignment horizontal="center" vertical="center" wrapText="1"/>
    </xf>
    <xf numFmtId="0" fontId="21" fillId="0" borderId="5" xfId="0" applyFont="1" applyBorder="1" applyAlignment="1">
      <alignment vertical="center" wrapText="1"/>
    </xf>
    <xf numFmtId="0" fontId="21" fillId="0" borderId="64" xfId="0" applyFont="1" applyBorder="1" applyAlignment="1">
      <alignment vertical="center" wrapText="1"/>
    </xf>
    <xf numFmtId="0" fontId="21" fillId="0" borderId="6" xfId="0" applyFont="1" applyBorder="1" applyAlignment="1">
      <alignment vertical="center" wrapText="1"/>
    </xf>
    <xf numFmtId="166" fontId="21" fillId="0" borderId="22" xfId="0" applyNumberFormat="1" applyFont="1" applyBorder="1" applyAlignment="1">
      <alignment vertical="top" wrapText="1"/>
    </xf>
    <xf numFmtId="166" fontId="21" fillId="0" borderId="35" xfId="0" applyNumberFormat="1" applyFont="1" applyBorder="1" applyAlignment="1">
      <alignment vertical="top" wrapText="1"/>
    </xf>
    <xf numFmtId="166" fontId="21" fillId="0" borderId="44" xfId="0" applyNumberFormat="1" applyFont="1" applyBorder="1" applyAlignment="1">
      <alignment vertical="top" wrapText="1"/>
    </xf>
    <xf numFmtId="166" fontId="21" fillId="0" borderId="41" xfId="0" applyNumberFormat="1" applyFont="1" applyBorder="1" applyAlignment="1">
      <alignment vertical="top" wrapText="1"/>
    </xf>
    <xf numFmtId="1" fontId="21" fillId="0" borderId="44" xfId="0" applyNumberFormat="1" applyFont="1" applyBorder="1" applyAlignment="1">
      <alignment vertical="top" wrapText="1"/>
    </xf>
    <xf numFmtId="1" fontId="22" fillId="0" borderId="44" xfId="0" applyNumberFormat="1" applyFont="1" applyBorder="1" applyAlignment="1">
      <alignment horizontal="center" vertical="top" wrapText="1"/>
    </xf>
    <xf numFmtId="166" fontId="21" fillId="0" borderId="88" xfId="0" applyNumberFormat="1" applyFont="1" applyBorder="1" applyAlignment="1">
      <alignment vertical="top" wrapText="1"/>
    </xf>
    <xf numFmtId="1" fontId="21" fillId="0" borderId="41" xfId="0" applyNumberFormat="1" applyFont="1" applyBorder="1" applyAlignment="1">
      <alignment vertical="top" wrapText="1"/>
    </xf>
    <xf numFmtId="0" fontId="7" fillId="0" borderId="74" xfId="0" applyFont="1" applyBorder="1" applyAlignment="1">
      <alignment horizontal="justify" vertical="top" wrapText="1"/>
    </xf>
    <xf numFmtId="0" fontId="7" fillId="0" borderId="74" xfId="0" applyFont="1" applyBorder="1" applyAlignment="1">
      <alignment horizontal="center" vertical="top" wrapText="1"/>
    </xf>
    <xf numFmtId="0" fontId="7" fillId="0" borderId="74" xfId="0" applyFont="1" applyBorder="1" applyAlignment="1">
      <alignment vertical="top"/>
    </xf>
    <xf numFmtId="0" fontId="5" fillId="0" borderId="1" xfId="0" applyFont="1" applyBorder="1" applyAlignment="1">
      <alignment horizontal="center" vertical="center" wrapText="1"/>
    </xf>
    <xf numFmtId="0" fontId="32" fillId="0" borderId="49" xfId="0" applyFont="1" applyBorder="1" applyAlignment="1">
      <alignment horizontal="center" vertical="center" wrapText="1"/>
    </xf>
    <xf numFmtId="0" fontId="21" fillId="0" borderId="74" xfId="0" applyFont="1" applyBorder="1" applyAlignment="1">
      <alignment horizontal="center" vertical="center" wrapText="1"/>
    </xf>
    <xf numFmtId="0" fontId="22" fillId="0" borderId="74" xfId="0" applyFont="1" applyBorder="1" applyAlignment="1">
      <alignment horizontal="center" vertical="center" wrapText="1"/>
    </xf>
    <xf numFmtId="0" fontId="35" fillId="0" borderId="53" xfId="0" applyFont="1" applyBorder="1" applyAlignment="1">
      <alignment vertical="center"/>
    </xf>
    <xf numFmtId="164" fontId="6" fillId="0" borderId="39" xfId="1" applyNumberFormat="1" applyFont="1" applyBorder="1" applyAlignment="1">
      <alignment horizontal="center" vertical="center" wrapText="1"/>
    </xf>
    <xf numFmtId="0" fontId="35" fillId="0" borderId="0" xfId="0" applyFont="1" applyAlignment="1">
      <alignment wrapText="1"/>
    </xf>
    <xf numFmtId="0" fontId="35" fillId="0" borderId="53" xfId="0" applyFont="1" applyBorder="1" applyAlignment="1">
      <alignment horizontal="center" vertical="center"/>
    </xf>
    <xf numFmtId="41" fontId="13" fillId="0" borderId="54" xfId="0" applyNumberFormat="1" applyFont="1" applyBorder="1" applyAlignment="1">
      <alignment horizontal="right" vertical="center" wrapText="1"/>
    </xf>
    <xf numFmtId="41" fontId="12" fillId="0" borderId="54" xfId="2" applyFont="1" applyFill="1" applyBorder="1" applyAlignment="1">
      <alignment horizontal="right" vertical="center" wrapText="1"/>
    </xf>
    <xf numFmtId="41" fontId="12" fillId="0" borderId="54" xfId="2" applyFont="1" applyBorder="1" applyAlignment="1">
      <alignment horizontal="right" vertical="center" wrapText="1"/>
    </xf>
    <xf numFmtId="3" fontId="13" fillId="0" borderId="74" xfId="0" applyNumberFormat="1" applyFont="1" applyBorder="1" applyAlignment="1">
      <alignment horizontal="right" vertical="center" wrapText="1"/>
    </xf>
    <xf numFmtId="41" fontId="13" fillId="0" borderId="74" xfId="0" applyNumberFormat="1" applyFont="1" applyBorder="1" applyAlignment="1">
      <alignment horizontal="right" vertical="center" wrapText="1"/>
    </xf>
    <xf numFmtId="167" fontId="12" fillId="4" borderId="74" xfId="1" applyNumberFormat="1" applyFont="1" applyFill="1" applyBorder="1" applyAlignment="1">
      <alignment horizontal="right" vertical="center"/>
    </xf>
    <xf numFmtId="3" fontId="12" fillId="0" borderId="74" xfId="0" applyNumberFormat="1" applyFont="1" applyBorder="1" applyAlignment="1">
      <alignment horizontal="right" vertical="top" wrapText="1"/>
    </xf>
    <xf numFmtId="164" fontId="12" fillId="0" borderId="74" xfId="3" applyNumberFormat="1" applyFont="1" applyFill="1" applyBorder="1" applyAlignment="1">
      <alignment horizontal="right" vertical="top" wrapText="1"/>
    </xf>
    <xf numFmtId="3" fontId="13" fillId="0" borderId="54" xfId="0" applyNumberFormat="1" applyFont="1" applyBorder="1" applyAlignment="1">
      <alignment horizontal="center" vertical="center" wrapText="1"/>
    </xf>
    <xf numFmtId="0" fontId="21" fillId="0" borderId="90" xfId="0" applyFont="1" applyBorder="1" applyAlignment="1">
      <alignment horizontal="right" vertical="center" wrapText="1"/>
    </xf>
    <xf numFmtId="164" fontId="22" fillId="0" borderId="74" xfId="1" applyNumberFormat="1" applyFont="1" applyBorder="1" applyAlignment="1">
      <alignment horizontal="center" vertical="center" wrapText="1"/>
    </xf>
    <xf numFmtId="164" fontId="22" fillId="0" borderId="74" xfId="1" applyNumberFormat="1" applyFont="1" applyBorder="1" applyAlignment="1">
      <alignment horizontal="left" vertical="center" wrapText="1"/>
    </xf>
    <xf numFmtId="164" fontId="22" fillId="0" borderId="74" xfId="1" quotePrefix="1" applyNumberFormat="1" applyFont="1" applyBorder="1" applyAlignment="1">
      <alignment horizontal="center" vertical="center" wrapText="1"/>
    </xf>
    <xf numFmtId="164" fontId="22" fillId="0" borderId="74" xfId="1" quotePrefix="1" applyNumberFormat="1" applyFont="1" applyBorder="1" applyAlignment="1">
      <alignment vertical="center" wrapText="1"/>
    </xf>
    <xf numFmtId="0" fontId="22" fillId="0" borderId="74" xfId="0" applyFont="1" applyBorder="1" applyAlignment="1">
      <alignment horizontal="right" vertical="top" wrapText="1"/>
    </xf>
    <xf numFmtId="0" fontId="22" fillId="0" borderId="74" xfId="0" applyFont="1" applyBorder="1" applyAlignment="1">
      <alignment horizontal="center" vertical="top" wrapText="1"/>
    </xf>
    <xf numFmtId="0" fontId="22" fillId="0" borderId="74" xfId="0" applyFont="1" applyBorder="1" applyAlignment="1">
      <alignment vertical="top"/>
    </xf>
    <xf numFmtId="0" fontId="21" fillId="0" borderId="74" xfId="0" applyFont="1" applyBorder="1" applyAlignment="1">
      <alignment horizontal="right" vertical="center" wrapText="1"/>
    </xf>
    <xf numFmtId="0" fontId="21" fillId="0" borderId="74" xfId="0" applyFont="1" applyBorder="1" applyAlignment="1">
      <alignment horizontal="left" vertical="center" wrapText="1"/>
    </xf>
    <xf numFmtId="0" fontId="21" fillId="0" borderId="74" xfId="0" applyFont="1" applyBorder="1" applyAlignment="1">
      <alignment vertical="center"/>
    </xf>
    <xf numFmtId="0" fontId="22" fillId="0" borderId="74" xfId="0" applyFont="1" applyBorder="1" applyAlignment="1">
      <alignment horizontal="justify" vertical="center" wrapText="1"/>
    </xf>
    <xf numFmtId="0" fontId="25" fillId="0" borderId="0" xfId="0" applyFont="1" applyAlignment="1">
      <alignment wrapText="1"/>
    </xf>
    <xf numFmtId="0" fontId="52" fillId="0" borderId="0" xfId="0" applyFont="1"/>
    <xf numFmtId="0" fontId="25" fillId="0" borderId="0" xfId="0" applyFont="1"/>
    <xf numFmtId="0" fontId="30" fillId="0" borderId="0" xfId="0" applyFont="1"/>
    <xf numFmtId="164" fontId="24" fillId="0" borderId="64" xfId="1" applyNumberFormat="1" applyFont="1" applyBorder="1" applyAlignment="1">
      <alignment horizontal="center" vertical="center" wrapText="1"/>
    </xf>
    <xf numFmtId="164" fontId="24" fillId="0" borderId="3" xfId="1" applyNumberFormat="1" applyFont="1" applyBorder="1" applyAlignment="1">
      <alignment horizontal="center" vertical="center" wrapText="1"/>
    </xf>
    <xf numFmtId="164" fontId="10" fillId="0" borderId="60" xfId="3" applyNumberFormat="1" applyFont="1" applyBorder="1" applyAlignment="1">
      <alignment horizontal="left" vertical="center" wrapText="1"/>
    </xf>
    <xf numFmtId="0" fontId="52" fillId="0" borderId="2" xfId="0" applyFont="1" applyBorder="1"/>
    <xf numFmtId="164" fontId="24" fillId="0" borderId="4" xfId="1" applyNumberFormat="1" applyFont="1" applyBorder="1" applyAlignment="1">
      <alignment horizontal="center" vertical="center" wrapText="1"/>
    </xf>
    <xf numFmtId="164" fontId="24" fillId="0" borderId="5" xfId="1" applyNumberFormat="1" applyFont="1" applyBorder="1" applyAlignment="1">
      <alignment horizontal="center" vertical="center" wrapText="1"/>
    </xf>
    <xf numFmtId="0" fontId="24" fillId="0" borderId="65" xfId="0" applyFont="1" applyBorder="1" applyAlignment="1">
      <alignment horizontal="center" vertical="center" wrapText="1"/>
    </xf>
    <xf numFmtId="0" fontId="24" fillId="0" borderId="1" xfId="0" applyFont="1" applyBorder="1" applyAlignment="1">
      <alignment horizontal="justify" vertical="center" wrapText="1"/>
    </xf>
    <xf numFmtId="0" fontId="24" fillId="0" borderId="61" xfId="0" applyFont="1" applyBorder="1" applyAlignment="1">
      <alignment horizontal="center" vertical="center" wrapText="1"/>
    </xf>
    <xf numFmtId="0" fontId="25" fillId="0" borderId="66" xfId="0" applyFont="1" applyBorder="1" applyAlignment="1">
      <alignment vertical="center"/>
    </xf>
    <xf numFmtId="0" fontId="25" fillId="0" borderId="67" xfId="0" applyFont="1" applyBorder="1" applyAlignment="1">
      <alignment vertical="center"/>
    </xf>
    <xf numFmtId="0" fontId="25" fillId="0" borderId="67" xfId="0" applyFont="1" applyBorder="1" applyAlignment="1">
      <alignment horizontal="center" vertical="center"/>
    </xf>
    <xf numFmtId="0" fontId="25" fillId="0" borderId="68" xfId="0" applyFont="1" applyBorder="1" applyAlignment="1">
      <alignment horizontal="center" vertical="center"/>
    </xf>
    <xf numFmtId="0" fontId="24" fillId="0" borderId="69" xfId="0" applyFont="1" applyBorder="1" applyAlignment="1">
      <alignment vertical="center"/>
    </xf>
    <xf numFmtId="0" fontId="53" fillId="0" borderId="0" xfId="0" applyFont="1" applyAlignment="1">
      <alignment vertical="top"/>
    </xf>
    <xf numFmtId="0" fontId="25" fillId="0" borderId="65" xfId="0" applyFont="1" applyBorder="1" applyAlignment="1">
      <alignment horizontal="center" vertical="center" wrapText="1"/>
    </xf>
    <xf numFmtId="0" fontId="25" fillId="0" borderId="1" xfId="0" applyFont="1" applyBorder="1" applyAlignment="1">
      <alignment horizontal="justify" vertical="center" wrapText="1"/>
    </xf>
    <xf numFmtId="0" fontId="25" fillId="0" borderId="1" xfId="0" applyFont="1" applyBorder="1" applyAlignment="1">
      <alignment horizontal="center" vertical="center" wrapText="1"/>
    </xf>
    <xf numFmtId="0" fontId="25" fillId="0" borderId="1" xfId="0" applyFont="1" applyBorder="1" applyAlignment="1">
      <alignment vertical="center"/>
    </xf>
    <xf numFmtId="0" fontId="25" fillId="0" borderId="1" xfId="0" applyFont="1" applyBorder="1" applyAlignment="1">
      <alignment horizontal="center" vertical="center"/>
    </xf>
    <xf numFmtId="0" fontId="25" fillId="0" borderId="70" xfId="0" applyFont="1" applyBorder="1" applyAlignment="1">
      <alignment vertical="center"/>
    </xf>
    <xf numFmtId="0" fontId="14" fillId="0" borderId="65" xfId="0" applyFont="1" applyBorder="1" applyAlignment="1">
      <alignment horizontal="center" vertical="center" wrapText="1"/>
    </xf>
    <xf numFmtId="0" fontId="14"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71" xfId="0" applyFont="1" applyBorder="1" applyAlignment="1">
      <alignment vertical="center"/>
    </xf>
    <xf numFmtId="0" fontId="9" fillId="0" borderId="71" xfId="0" applyFont="1" applyBorder="1" applyAlignment="1">
      <alignment horizontal="center" vertical="center"/>
    </xf>
    <xf numFmtId="0" fontId="9" fillId="0" borderId="70" xfId="0" applyFont="1" applyBorder="1" applyAlignment="1">
      <alignment vertical="center"/>
    </xf>
    <xf numFmtId="0" fontId="25" fillId="0" borderId="71" xfId="0" applyFont="1" applyBorder="1" applyAlignment="1">
      <alignment vertical="center"/>
    </xf>
    <xf numFmtId="0" fontId="25" fillId="0" borderId="71" xfId="0" applyFont="1" applyBorder="1" applyAlignment="1">
      <alignment horizontal="center" vertical="center"/>
    </xf>
    <xf numFmtId="0" fontId="25" fillId="0" borderId="49" xfId="0" applyFont="1" applyBorder="1" applyAlignment="1">
      <alignment vertical="center"/>
    </xf>
    <xf numFmtId="0" fontId="25" fillId="0" borderId="49" xfId="0" applyFont="1" applyBorder="1" applyAlignment="1">
      <alignment horizontal="center" vertical="center"/>
    </xf>
    <xf numFmtId="0" fontId="25" fillId="0" borderId="71" xfId="0" applyFont="1" applyBorder="1" applyAlignment="1">
      <alignment horizontal="center" vertical="center" wrapText="1"/>
    </xf>
    <xf numFmtId="0" fontId="24" fillId="0" borderId="71" xfId="0" applyFont="1" applyBorder="1" applyAlignment="1">
      <alignment vertical="center"/>
    </xf>
    <xf numFmtId="0" fontId="24" fillId="0" borderId="71" xfId="0" applyFont="1" applyBorder="1" applyAlignment="1">
      <alignment horizontal="center" vertical="center"/>
    </xf>
    <xf numFmtId="0" fontId="25" fillId="0" borderId="73" xfId="0" applyFont="1" applyBorder="1" applyAlignment="1">
      <alignment vertical="center"/>
    </xf>
    <xf numFmtId="0" fontId="25" fillId="0" borderId="0" xfId="0" applyFont="1" applyAlignment="1">
      <alignment horizontal="center"/>
    </xf>
    <xf numFmtId="0" fontId="24" fillId="0" borderId="0" xfId="0" applyFont="1" applyAlignment="1">
      <alignment wrapText="1"/>
    </xf>
    <xf numFmtId="0" fontId="24" fillId="0" borderId="0" xfId="0" applyFont="1"/>
    <xf numFmtId="165" fontId="25" fillId="0" borderId="0" xfId="0" applyNumberFormat="1" applyFont="1" applyAlignment="1">
      <alignment wrapText="1"/>
    </xf>
    <xf numFmtId="0" fontId="24" fillId="0" borderId="0" xfId="0" applyFont="1" applyAlignment="1">
      <alignment horizontal="center"/>
    </xf>
    <xf numFmtId="0" fontId="52" fillId="0" borderId="0" xfId="0" applyFont="1" applyAlignment="1">
      <alignment horizontal="center"/>
    </xf>
    <xf numFmtId="0" fontId="52" fillId="0" borderId="0" xfId="0" applyFont="1" applyAlignment="1">
      <alignment wrapText="1"/>
    </xf>
    <xf numFmtId="0" fontId="2" fillId="0" borderId="0" xfId="0" applyFont="1"/>
    <xf numFmtId="0" fontId="0" fillId="0" borderId="74" xfId="0" applyBorder="1" applyAlignment="1">
      <alignment vertical="center"/>
    </xf>
    <xf numFmtId="164" fontId="5" fillId="0" borderId="74" xfId="1" applyNumberFormat="1" applyFont="1" applyBorder="1" applyAlignment="1">
      <alignment horizontal="center" vertical="center" wrapText="1"/>
    </xf>
    <xf numFmtId="164" fontId="5" fillId="0" borderId="74" xfId="1" applyNumberFormat="1" applyFont="1" applyBorder="1" applyAlignment="1">
      <alignment vertical="center" wrapText="1"/>
    </xf>
    <xf numFmtId="164" fontId="5" fillId="0" borderId="74" xfId="1" applyNumberFormat="1" applyFont="1" applyBorder="1" applyAlignment="1">
      <alignment horizontal="left" vertical="center" wrapText="1"/>
    </xf>
    <xf numFmtId="0" fontId="0" fillId="0" borderId="74" xfId="0" applyBorder="1" applyAlignment="1">
      <alignment vertical="center" wrapText="1"/>
    </xf>
    <xf numFmtId="3" fontId="5" fillId="0" borderId="74" xfId="0" applyNumberFormat="1" applyFont="1" applyBorder="1" applyAlignment="1">
      <alignment horizontal="center" vertical="center" wrapText="1"/>
    </xf>
    <xf numFmtId="164" fontId="5" fillId="0" borderId="74" xfId="3" applyNumberFormat="1" applyFont="1" applyBorder="1" applyAlignment="1">
      <alignment horizontal="center" vertical="center" wrapText="1"/>
    </xf>
    <xf numFmtId="49" fontId="5" fillId="0" borderId="74" xfId="3" applyNumberFormat="1" applyFont="1" applyBorder="1" applyAlignment="1">
      <alignment horizontal="center" vertical="center" wrapText="1"/>
    </xf>
    <xf numFmtId="0" fontId="5" fillId="0" borderId="74" xfId="5" applyFont="1" applyBorder="1" applyAlignment="1">
      <alignment horizontal="center" vertical="center"/>
    </xf>
    <xf numFmtId="0" fontId="6" fillId="0" borderId="74" xfId="0" applyFont="1" applyBorder="1" applyAlignment="1">
      <alignment vertical="center"/>
    </xf>
    <xf numFmtId="0" fontId="2" fillId="0" borderId="74" xfId="0" applyFont="1" applyBorder="1" applyAlignment="1">
      <alignment horizontal="center" vertical="center"/>
    </xf>
    <xf numFmtId="164" fontId="5" fillId="0" borderId="74" xfId="0" applyNumberFormat="1" applyFont="1" applyBorder="1" applyAlignment="1">
      <alignment horizontal="center" vertical="center" wrapText="1"/>
    </xf>
    <xf numFmtId="0" fontId="25" fillId="0" borderId="79" xfId="0" applyFont="1" applyBorder="1" applyAlignment="1">
      <alignment horizontal="left" vertical="center" wrapText="1"/>
    </xf>
    <xf numFmtId="164" fontId="25" fillId="0" borderId="79" xfId="1" applyNumberFormat="1" applyFont="1" applyBorder="1" applyAlignment="1">
      <alignment horizontal="center" vertical="center" wrapText="1"/>
    </xf>
    <xf numFmtId="164" fontId="25" fillId="0" borderId="5" xfId="1" applyNumberFormat="1" applyFont="1" applyBorder="1" applyAlignment="1">
      <alignment horizontal="center" vertical="center" wrapText="1"/>
    </xf>
    <xf numFmtId="0" fontId="55" fillId="0" borderId="79" xfId="0" applyFont="1" applyBorder="1" applyAlignment="1">
      <alignment vertical="center" wrapText="1"/>
    </xf>
    <xf numFmtId="49" fontId="24" fillId="0" borderId="74" xfId="1" quotePrefix="1" applyNumberFormat="1" applyFont="1" applyFill="1" applyBorder="1" applyAlignment="1">
      <alignment horizontal="center" vertical="center" wrapText="1"/>
    </xf>
    <xf numFmtId="49" fontId="24" fillId="0" borderId="74" xfId="1" applyNumberFormat="1" applyFont="1" applyFill="1" applyBorder="1" applyAlignment="1">
      <alignment horizontal="center" vertical="center" wrapText="1"/>
    </xf>
    <xf numFmtId="0" fontId="52" fillId="0" borderId="78" xfId="0" applyFont="1" applyBorder="1"/>
    <xf numFmtId="0" fontId="0" fillId="0" borderId="74" xfId="0" applyBorder="1" applyAlignment="1">
      <alignment vertical="top"/>
    </xf>
    <xf numFmtId="0" fontId="25" fillId="0" borderId="79" xfId="0" applyFont="1" applyBorder="1" applyAlignment="1">
      <alignment horizontal="center" vertical="center"/>
    </xf>
    <xf numFmtId="0" fontId="12" fillId="0" borderId="91" xfId="0" applyFont="1" applyBorder="1" applyAlignment="1">
      <alignment horizontal="center" vertical="top" wrapText="1"/>
    </xf>
    <xf numFmtId="0" fontId="6" fillId="0" borderId="74" xfId="0" applyFont="1" applyBorder="1" applyAlignment="1">
      <alignment horizontal="right" vertical="center" wrapText="1"/>
    </xf>
    <xf numFmtId="164" fontId="6" fillId="0" borderId="74" xfId="1" applyNumberFormat="1" applyFont="1" applyBorder="1" applyAlignment="1">
      <alignment horizontal="center" vertical="center" wrapText="1"/>
    </xf>
    <xf numFmtId="3" fontId="6" fillId="0" borderId="74" xfId="0" applyNumberFormat="1" applyFont="1" applyBorder="1" applyAlignment="1">
      <alignment horizontal="center" vertical="center" wrapText="1"/>
    </xf>
    <xf numFmtId="3" fontId="13" fillId="0" borderId="83" xfId="0" applyNumberFormat="1" applyFont="1" applyBorder="1" applyAlignment="1">
      <alignment vertical="top" wrapText="1"/>
    </xf>
    <xf numFmtId="41" fontId="12" fillId="0" borderId="74" xfId="0" applyNumberFormat="1" applyFont="1" applyBorder="1" applyAlignment="1">
      <alignment horizontal="right" vertical="center" wrapText="1"/>
    </xf>
    <xf numFmtId="0" fontId="12" fillId="0" borderId="83" xfId="0" applyFont="1" applyBorder="1" applyAlignment="1">
      <alignment vertical="top"/>
    </xf>
    <xf numFmtId="0" fontId="56" fillId="0" borderId="74" xfId="0" applyFont="1" applyBorder="1" applyAlignment="1">
      <alignment horizontal="center" vertical="center" shrinkToFit="1"/>
    </xf>
    <xf numFmtId="3" fontId="57" fillId="0" borderId="74" xfId="1" applyNumberFormat="1" applyFont="1" applyBorder="1" applyAlignment="1">
      <alignment horizontal="center" vertical="center"/>
    </xf>
    <xf numFmtId="0" fontId="21" fillId="0" borderId="48" xfId="0" applyFont="1" applyBorder="1" applyAlignment="1">
      <alignment horizontal="center" vertical="center" wrapText="1"/>
    </xf>
    <xf numFmtId="0" fontId="1" fillId="0" borderId="0" xfId="0" applyFont="1" applyAlignment="1">
      <alignment horizontal="center" vertical="top"/>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4"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96" xfId="0" applyFont="1" applyBorder="1" applyAlignment="1">
      <alignment vertical="center"/>
    </xf>
    <xf numFmtId="0" fontId="21" fillId="0" borderId="97" xfId="0" applyFont="1" applyBorder="1" applyAlignment="1">
      <alignment vertical="center"/>
    </xf>
    <xf numFmtId="0" fontId="21" fillId="0" borderId="98" xfId="0" applyFont="1" applyBorder="1" applyAlignment="1">
      <alignment vertical="center"/>
    </xf>
    <xf numFmtId="0" fontId="21" fillId="0" borderId="99" xfId="0" applyFont="1" applyBorder="1" applyAlignment="1">
      <alignment vertical="center"/>
    </xf>
    <xf numFmtId="0" fontId="22" fillId="0" borderId="29" xfId="0" applyFont="1" applyBorder="1" applyAlignment="1">
      <alignment horizontal="center" vertical="center" wrapText="1"/>
    </xf>
    <xf numFmtId="0" fontId="4" fillId="0" borderId="74" xfId="0" applyFont="1" applyBorder="1" applyAlignment="1">
      <alignment horizontal="center" vertical="top"/>
    </xf>
    <xf numFmtId="0" fontId="21" fillId="0" borderId="74" xfId="0" applyFont="1" applyBorder="1" applyAlignment="1">
      <alignment horizontal="center" vertical="center"/>
    </xf>
    <xf numFmtId="164" fontId="22" fillId="0" borderId="74" xfId="0" applyNumberFormat="1" applyFont="1" applyBorder="1" applyAlignment="1">
      <alignment horizontal="center" vertical="center" wrapText="1"/>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0" fontId="21" fillId="0" borderId="101" xfId="0" applyFont="1" applyBorder="1" applyAlignment="1">
      <alignment horizontal="center" vertical="center" wrapText="1"/>
    </xf>
    <xf numFmtId="0" fontId="22" fillId="0" borderId="101" xfId="0" applyFont="1" applyBorder="1" applyAlignment="1">
      <alignment horizontal="center" vertical="center" wrapText="1"/>
    </xf>
    <xf numFmtId="0" fontId="21" fillId="0" borderId="100" xfId="0" applyFont="1" applyBorder="1" applyAlignment="1">
      <alignment horizontal="center" vertical="center" wrapText="1"/>
    </xf>
    <xf numFmtId="0" fontId="22" fillId="0" borderId="100" xfId="0" applyFont="1" applyBorder="1" applyAlignment="1">
      <alignment horizontal="center" vertical="center" wrapText="1"/>
    </xf>
    <xf numFmtId="0" fontId="1" fillId="0" borderId="100" xfId="0" applyFont="1" applyBorder="1" applyAlignment="1">
      <alignment horizontal="center" vertical="top"/>
    </xf>
    <xf numFmtId="0" fontId="5" fillId="0" borderId="100" xfId="0" applyFont="1" applyBorder="1" applyAlignment="1">
      <alignment horizontal="center" vertical="center"/>
    </xf>
    <xf numFmtId="0" fontId="22" fillId="0" borderId="100" xfId="0" applyFont="1" applyBorder="1" applyAlignment="1">
      <alignment horizontal="center" vertical="center"/>
    </xf>
    <xf numFmtId="0" fontId="5" fillId="0" borderId="100" xfId="0" applyFont="1" applyBorder="1" applyAlignment="1">
      <alignment vertical="center" wrapText="1"/>
    </xf>
    <xf numFmtId="0" fontId="5" fillId="0" borderId="100" xfId="0" applyFont="1" applyBorder="1" applyAlignment="1">
      <alignment horizontal="center" vertical="center" wrapText="1"/>
    </xf>
    <xf numFmtId="0" fontId="32" fillId="0" borderId="100" xfId="0" applyFont="1" applyBorder="1" applyAlignment="1">
      <alignment horizontal="center" vertical="center" wrapText="1"/>
    </xf>
    <xf numFmtId="0" fontId="21" fillId="0" borderId="100" xfId="0" applyFont="1" applyBorder="1" applyAlignment="1">
      <alignment horizontal="center" vertical="center"/>
    </xf>
    <xf numFmtId="166" fontId="21" fillId="0" borderId="100" xfId="0" applyNumberFormat="1" applyFont="1" applyBorder="1" applyAlignment="1">
      <alignment horizontal="left" vertical="top" wrapText="1"/>
    </xf>
    <xf numFmtId="0" fontId="21" fillId="0" borderId="100" xfId="0" applyFont="1" applyBorder="1" applyAlignment="1">
      <alignment horizontal="left" vertical="top" wrapText="1"/>
    </xf>
    <xf numFmtId="0" fontId="5" fillId="0" borderId="100" xfId="0" applyFont="1" applyBorder="1" applyAlignment="1">
      <alignment horizontal="center" vertical="top" wrapText="1"/>
    </xf>
    <xf numFmtId="0" fontId="5" fillId="0" borderId="100" xfId="0" applyFont="1" applyBorder="1" applyAlignment="1">
      <alignment vertical="top" wrapText="1"/>
    </xf>
    <xf numFmtId="0" fontId="9" fillId="0" borderId="0" xfId="0" applyFont="1" applyAlignment="1">
      <alignment horizontal="center"/>
    </xf>
    <xf numFmtId="0" fontId="14" fillId="0" borderId="0" xfId="0" applyFont="1" applyAlignment="1">
      <alignment horizontal="center"/>
    </xf>
    <xf numFmtId="0" fontId="14" fillId="0" borderId="0" xfId="0" applyFont="1" applyAlignment="1">
      <alignment horizontal="left" vertical="center"/>
    </xf>
    <xf numFmtId="0" fontId="5" fillId="0" borderId="100" xfId="0" applyFont="1" applyBorder="1" applyAlignment="1">
      <alignment horizontal="justify" vertical="top" wrapText="1"/>
    </xf>
    <xf numFmtId="0" fontId="32" fillId="0" borderId="100" xfId="0" applyFont="1" applyBorder="1" applyAlignment="1">
      <alignment vertical="center"/>
    </xf>
    <xf numFmtId="0" fontId="32" fillId="0" borderId="100" xfId="0" applyFont="1" applyBorder="1" applyAlignment="1">
      <alignment horizontal="justify" vertical="center" wrapText="1"/>
    </xf>
    <xf numFmtId="3" fontId="32" fillId="0" borderId="100" xfId="0" applyNumberFormat="1" applyFont="1" applyBorder="1" applyAlignment="1">
      <alignment horizontal="center" vertical="center" wrapText="1"/>
    </xf>
    <xf numFmtId="0" fontId="21" fillId="0" borderId="79" xfId="0" applyFont="1" applyBorder="1" applyAlignment="1">
      <alignment horizontal="justify" vertical="center"/>
    </xf>
    <xf numFmtId="0" fontId="0" fillId="0" borderId="100" xfId="0" applyBorder="1" applyAlignment="1">
      <alignment wrapText="1"/>
    </xf>
    <xf numFmtId="0" fontId="5" fillId="0" borderId="100" xfId="0" applyFont="1" applyBorder="1" applyAlignment="1">
      <alignment horizontal="justify" vertical="center" wrapText="1"/>
    </xf>
    <xf numFmtId="0" fontId="5" fillId="0" borderId="100" xfId="0" applyFont="1" applyBorder="1" applyAlignment="1">
      <alignment wrapText="1"/>
    </xf>
    <xf numFmtId="0" fontId="6" fillId="0" borderId="100" xfId="0" applyFont="1" applyBorder="1" applyAlignment="1">
      <alignment horizontal="center" vertical="center" wrapText="1"/>
    </xf>
    <xf numFmtId="0" fontId="21" fillId="0" borderId="0" xfId="0" quotePrefix="1" applyFont="1" applyAlignment="1">
      <alignment horizontal="left"/>
    </xf>
    <xf numFmtId="0" fontId="58" fillId="0" borderId="0" xfId="0" applyFont="1"/>
    <xf numFmtId="49" fontId="58" fillId="0" borderId="0" xfId="0" applyNumberFormat="1" applyFont="1" applyAlignment="1">
      <alignment horizontal="center"/>
    </xf>
    <xf numFmtId="164" fontId="22" fillId="7" borderId="54" xfId="1" applyNumberFormat="1" applyFont="1" applyFill="1" applyBorder="1" applyAlignment="1">
      <alignment vertical="center" wrapText="1"/>
    </xf>
    <xf numFmtId="0" fontId="61" fillId="0" borderId="0" xfId="0" applyFont="1" applyAlignment="1">
      <alignment vertical="top"/>
    </xf>
    <xf numFmtId="166" fontId="21" fillId="0" borderId="74" xfId="0" applyNumberFormat="1" applyFont="1" applyBorder="1" applyAlignment="1">
      <alignment vertical="top" wrapText="1"/>
    </xf>
    <xf numFmtId="0" fontId="21" fillId="0" borderId="100" xfId="0" applyFont="1" applyBorder="1" applyAlignment="1">
      <alignment vertical="center" wrapText="1"/>
    </xf>
    <xf numFmtId="0" fontId="41" fillId="0" borderId="9" xfId="0" applyFont="1" applyBorder="1" applyAlignment="1">
      <alignment wrapText="1"/>
    </xf>
    <xf numFmtId="0" fontId="22" fillId="5" borderId="100" xfId="0" applyFont="1" applyFill="1" applyBorder="1" applyAlignment="1">
      <alignment horizontal="center" vertical="center" wrapText="1"/>
    </xf>
    <xf numFmtId="0" fontId="21" fillId="0" borderId="100" xfId="0" applyFont="1" applyBorder="1"/>
    <xf numFmtId="0" fontId="21" fillId="9" borderId="89" xfId="0" applyFont="1" applyFill="1" applyBorder="1" applyAlignment="1">
      <alignment horizontal="justify" wrapText="1"/>
    </xf>
    <xf numFmtId="0" fontId="61" fillId="0" borderId="100" xfId="0" applyFont="1" applyBorder="1" applyAlignment="1">
      <alignment horizontal="center" vertical="top"/>
    </xf>
    <xf numFmtId="0" fontId="22" fillId="0" borderId="100" xfId="0" applyFont="1" applyBorder="1" applyAlignment="1">
      <alignment horizontal="center" vertical="top"/>
    </xf>
    <xf numFmtId="0" fontId="21" fillId="0" borderId="100" xfId="0" applyFont="1" applyBorder="1" applyAlignment="1">
      <alignment horizontal="center" vertical="top"/>
    </xf>
    <xf numFmtId="0" fontId="22" fillId="4" borderId="100" xfId="0" applyFont="1" applyFill="1" applyBorder="1" applyAlignment="1">
      <alignment horizontal="center" vertical="center" wrapText="1"/>
    </xf>
    <xf numFmtId="1" fontId="22" fillId="0" borderId="74" xfId="0" applyNumberFormat="1" applyFont="1" applyBorder="1" applyAlignment="1">
      <alignment vertical="top" wrapText="1"/>
    </xf>
    <xf numFmtId="166" fontId="22" fillId="0" borderId="100" xfId="0" applyNumberFormat="1" applyFont="1" applyBorder="1" applyAlignment="1">
      <alignment vertical="top" wrapText="1"/>
    </xf>
    <xf numFmtId="0" fontId="21" fillId="0" borderId="74" xfId="0" applyFont="1" applyBorder="1" applyAlignment="1">
      <alignment vertical="center" wrapText="1"/>
    </xf>
    <xf numFmtId="1" fontId="21" fillId="0" borderId="74" xfId="0" applyNumberFormat="1" applyFont="1" applyBorder="1" applyAlignment="1">
      <alignment vertical="top" wrapText="1"/>
    </xf>
    <xf numFmtId="166" fontId="21" fillId="0" borderId="100" xfId="0" applyNumberFormat="1" applyFont="1" applyBorder="1" applyAlignment="1">
      <alignment vertical="top" wrapText="1"/>
    </xf>
    <xf numFmtId="1" fontId="21" fillId="7" borderId="74" xfId="0" applyNumberFormat="1" applyFont="1" applyFill="1" applyBorder="1" applyAlignment="1">
      <alignment vertical="top" wrapText="1"/>
    </xf>
    <xf numFmtId="166" fontId="22" fillId="7" borderId="74" xfId="0" applyNumberFormat="1" applyFont="1" applyFill="1" applyBorder="1" applyAlignment="1">
      <alignment horizontal="center" vertical="top" wrapText="1"/>
    </xf>
    <xf numFmtId="0" fontId="22" fillId="7" borderId="74" xfId="0" applyFont="1" applyFill="1" applyBorder="1" applyAlignment="1">
      <alignment horizontal="center" vertical="center" wrapText="1"/>
    </xf>
    <xf numFmtId="0" fontId="21" fillId="7" borderId="60" xfId="0" applyFont="1" applyFill="1" applyBorder="1" applyAlignment="1">
      <alignment horizontal="center" vertical="top" wrapText="1"/>
    </xf>
    <xf numFmtId="0" fontId="21" fillId="7" borderId="60" xfId="0" applyFont="1" applyFill="1" applyBorder="1" applyAlignment="1">
      <alignment vertical="top"/>
    </xf>
    <xf numFmtId="164" fontId="22" fillId="0" borderId="74" xfId="1" applyNumberFormat="1" applyFont="1" applyFill="1" applyBorder="1" applyAlignment="1">
      <alignment vertical="center" wrapText="1"/>
    </xf>
    <xf numFmtId="0" fontId="22" fillId="0" borderId="74" xfId="0" applyFont="1" applyBorder="1" applyAlignment="1">
      <alignment vertical="top" wrapText="1"/>
    </xf>
    <xf numFmtId="0" fontId="22" fillId="0" borderId="74" xfId="0" applyFont="1" applyBorder="1" applyAlignment="1">
      <alignment horizontal="left" vertical="top" wrapText="1"/>
    </xf>
    <xf numFmtId="0" fontId="21" fillId="0" borderId="74" xfId="0" applyFont="1" applyBorder="1" applyAlignment="1">
      <alignment horizontal="left" vertical="top" wrapText="1"/>
    </xf>
    <xf numFmtId="166" fontId="21" fillId="0" borderId="74" xfId="0" applyNumberFormat="1" applyFont="1" applyBorder="1" applyAlignment="1">
      <alignment horizontal="left" vertical="top" wrapText="1"/>
    </xf>
    <xf numFmtId="166" fontId="22" fillId="0" borderId="74" xfId="0" applyNumberFormat="1" applyFont="1" applyBorder="1" applyAlignment="1">
      <alignment vertical="top" wrapText="1"/>
    </xf>
    <xf numFmtId="166" fontId="21" fillId="7" borderId="74" xfId="0" applyNumberFormat="1" applyFont="1" applyFill="1" applyBorder="1" applyAlignment="1">
      <alignment vertical="top" wrapText="1"/>
    </xf>
    <xf numFmtId="0" fontId="22" fillId="7" borderId="60" xfId="0" applyFont="1" applyFill="1" applyBorder="1" applyAlignment="1">
      <alignment horizontal="center" vertical="top"/>
    </xf>
    <xf numFmtId="1" fontId="21" fillId="4" borderId="74" xfId="0" applyNumberFormat="1" applyFont="1" applyFill="1" applyBorder="1" applyAlignment="1">
      <alignment vertical="top" wrapText="1"/>
    </xf>
    <xf numFmtId="0" fontId="61" fillId="4" borderId="0" xfId="0" applyFont="1" applyFill="1" applyAlignment="1">
      <alignment vertical="top"/>
    </xf>
    <xf numFmtId="0" fontId="21" fillId="4" borderId="60" xfId="0" applyFont="1" applyFill="1" applyBorder="1" applyAlignment="1">
      <alignment vertical="top"/>
    </xf>
    <xf numFmtId="0" fontId="21" fillId="4" borderId="74" xfId="0" applyFont="1" applyFill="1" applyBorder="1" applyAlignment="1">
      <alignment horizontal="center" vertical="top" wrapText="1"/>
    </xf>
    <xf numFmtId="0" fontId="22" fillId="4" borderId="74" xfId="0" applyFont="1" applyFill="1" applyBorder="1" applyAlignment="1">
      <alignment vertical="center"/>
    </xf>
    <xf numFmtId="166" fontId="22" fillId="4" borderId="74" xfId="0" applyNumberFormat="1" applyFont="1" applyFill="1" applyBorder="1" applyAlignment="1">
      <alignment horizontal="center" vertical="top" wrapText="1"/>
    </xf>
    <xf numFmtId="0" fontId="22" fillId="4" borderId="74" xfId="0" applyFont="1" applyFill="1" applyBorder="1" applyAlignment="1">
      <alignment horizontal="center" vertical="top" wrapText="1"/>
    </xf>
    <xf numFmtId="0" fontId="21" fillId="4" borderId="74" xfId="0" applyFont="1" applyFill="1" applyBorder="1" applyAlignment="1">
      <alignment vertical="top"/>
    </xf>
    <xf numFmtId="0" fontId="61" fillId="7" borderId="74" xfId="0" applyFont="1" applyFill="1" applyBorder="1" applyAlignment="1">
      <alignment vertical="top"/>
    </xf>
    <xf numFmtId="164" fontId="22" fillId="4" borderId="74" xfId="1" applyNumberFormat="1" applyFont="1" applyFill="1" applyBorder="1" applyAlignment="1">
      <alignment vertical="center" wrapText="1"/>
    </xf>
    <xf numFmtId="164" fontId="22" fillId="5" borderId="74" xfId="1" applyNumberFormat="1" applyFont="1" applyFill="1" applyBorder="1" applyAlignment="1">
      <alignment vertical="center" wrapText="1"/>
    </xf>
    <xf numFmtId="0" fontId="22" fillId="5" borderId="60" xfId="0" applyFont="1" applyFill="1" applyBorder="1" applyAlignment="1">
      <alignment vertical="center"/>
    </xf>
    <xf numFmtId="166" fontId="22" fillId="5" borderId="60" xfId="0" applyNumberFormat="1" applyFont="1" applyFill="1" applyBorder="1" applyAlignment="1">
      <alignment horizontal="center" vertical="center" wrapText="1"/>
    </xf>
    <xf numFmtId="164" fontId="22" fillId="7" borderId="60" xfId="1" applyNumberFormat="1" applyFont="1" applyFill="1" applyBorder="1" applyAlignment="1">
      <alignment vertical="center" wrapText="1"/>
    </xf>
    <xf numFmtId="164" fontId="22" fillId="0" borderId="60" xfId="0" applyNumberFormat="1" applyFont="1" applyBorder="1" applyAlignment="1">
      <alignment vertical="center" wrapText="1"/>
    </xf>
    <xf numFmtId="0" fontId="21" fillId="0" borderId="74" xfId="0" applyFont="1" applyBorder="1" applyAlignment="1">
      <alignment horizontal="center" vertical="top" wrapText="1"/>
    </xf>
    <xf numFmtId="0" fontId="58" fillId="0" borderId="0" xfId="0" applyFont="1" applyAlignment="1">
      <alignment vertical="top"/>
    </xf>
    <xf numFmtId="0" fontId="21" fillId="0" borderId="74" xfId="0" applyFont="1" applyBorder="1" applyAlignment="1">
      <alignment horizontal="center" wrapText="1"/>
    </xf>
    <xf numFmtId="1" fontId="22" fillId="7" borderId="74" xfId="0" applyNumberFormat="1" applyFont="1" applyFill="1" applyBorder="1" applyAlignment="1">
      <alignment vertical="top" wrapText="1"/>
    </xf>
    <xf numFmtId="164" fontId="22" fillId="7" borderId="74" xfId="1" applyNumberFormat="1" applyFont="1" applyFill="1" applyBorder="1" applyAlignment="1">
      <alignment horizontal="center" vertical="center" wrapText="1"/>
    </xf>
    <xf numFmtId="164" fontId="22" fillId="0" borderId="74" xfId="0" applyNumberFormat="1" applyFont="1" applyBorder="1" applyAlignment="1">
      <alignment vertical="center" wrapText="1"/>
    </xf>
    <xf numFmtId="0" fontId="21" fillId="0" borderId="74" xfId="0" applyFont="1" applyBorder="1" applyAlignment="1">
      <alignment vertical="top" wrapText="1"/>
    </xf>
    <xf numFmtId="0" fontId="61" fillId="0" borderId="60" xfId="0" applyFont="1" applyBorder="1" applyAlignment="1">
      <alignment vertical="top"/>
    </xf>
    <xf numFmtId="1" fontId="21" fillId="7" borderId="60" xfId="0" applyNumberFormat="1" applyFont="1" applyFill="1" applyBorder="1" applyAlignment="1">
      <alignment vertical="top" wrapText="1"/>
    </xf>
    <xf numFmtId="166" fontId="21" fillId="7" borderId="60" xfId="0" applyNumberFormat="1" applyFont="1" applyFill="1" applyBorder="1" applyAlignment="1">
      <alignment horizontal="center" vertical="top" wrapText="1"/>
    </xf>
    <xf numFmtId="0" fontId="22" fillId="7" borderId="60" xfId="0" applyFont="1" applyFill="1" applyBorder="1" applyAlignment="1">
      <alignment horizontal="center" vertical="center" wrapText="1"/>
    </xf>
    <xf numFmtId="164" fontId="22" fillId="7" borderId="60" xfId="3" applyNumberFormat="1" applyFont="1" applyFill="1" applyBorder="1" applyAlignment="1">
      <alignment vertical="center" wrapText="1"/>
    </xf>
    <xf numFmtId="164" fontId="22" fillId="0" borderId="60" xfId="3" applyNumberFormat="1" applyFont="1" applyFill="1" applyBorder="1" applyAlignment="1">
      <alignment horizontal="center" vertical="center" wrapText="1"/>
    </xf>
    <xf numFmtId="164" fontId="21" fillId="0" borderId="60" xfId="3" applyNumberFormat="1" applyFont="1" applyFill="1" applyBorder="1" applyAlignment="1">
      <alignment horizontal="center" vertical="center" wrapText="1"/>
    </xf>
    <xf numFmtId="0" fontId="21" fillId="0" borderId="100" xfId="0" applyFont="1" applyBorder="1" applyAlignment="1">
      <alignment horizontal="right" vertical="center"/>
    </xf>
    <xf numFmtId="0" fontId="21" fillId="0" borderId="100" xfId="0" applyFont="1" applyBorder="1" applyAlignment="1">
      <alignment horizontal="right" vertical="center" wrapText="1"/>
    </xf>
    <xf numFmtId="0" fontId="21" fillId="0" borderId="74" xfId="0" applyFont="1" applyBorder="1" applyAlignment="1">
      <alignment vertical="top"/>
    </xf>
    <xf numFmtId="164" fontId="22" fillId="0" borderId="74" xfId="3" applyNumberFormat="1" applyFont="1" applyFill="1" applyBorder="1" applyAlignment="1">
      <alignment vertical="center" wrapText="1"/>
    </xf>
    <xf numFmtId="166" fontId="21" fillId="7" borderId="74" xfId="0" applyNumberFormat="1" applyFont="1" applyFill="1" applyBorder="1" applyAlignment="1">
      <alignment horizontal="center" vertical="top" wrapText="1"/>
    </xf>
    <xf numFmtId="1" fontId="21" fillId="5" borderId="74" xfId="0" applyNumberFormat="1" applyFont="1" applyFill="1" applyBorder="1" applyAlignment="1">
      <alignment vertical="top" wrapText="1"/>
    </xf>
    <xf numFmtId="0" fontId="22" fillId="5" borderId="60" xfId="0" applyFont="1" applyFill="1" applyBorder="1" applyAlignment="1">
      <alignment vertical="top"/>
    </xf>
    <xf numFmtId="0" fontId="21" fillId="4" borderId="74" xfId="0" applyFont="1" applyFill="1" applyBorder="1" applyAlignment="1">
      <alignment horizontal="left" vertical="top" wrapText="1"/>
    </xf>
    <xf numFmtId="0" fontId="21" fillId="4" borderId="60" xfId="0" applyFont="1" applyFill="1" applyBorder="1" applyAlignment="1">
      <alignment horizontal="center" vertical="center"/>
    </xf>
    <xf numFmtId="0" fontId="61" fillId="4" borderId="60" xfId="0" applyFont="1" applyFill="1" applyBorder="1" applyAlignment="1">
      <alignment horizontal="center" vertical="top"/>
    </xf>
    <xf numFmtId="0" fontId="22" fillId="4" borderId="60" xfId="0" applyFont="1" applyFill="1" applyBorder="1" applyAlignment="1">
      <alignment horizontal="center" vertical="top" wrapText="1"/>
    </xf>
    <xf numFmtId="166" fontId="21" fillId="5" borderId="74" xfId="0" applyNumberFormat="1" applyFont="1" applyFill="1" applyBorder="1" applyAlignment="1">
      <alignment horizontal="center" vertical="top" wrapText="1"/>
    </xf>
    <xf numFmtId="166" fontId="21" fillId="0" borderId="60" xfId="0" applyNumberFormat="1" applyFont="1" applyBorder="1" applyAlignment="1">
      <alignment vertical="top" wrapText="1"/>
    </xf>
    <xf numFmtId="0" fontId="58" fillId="0" borderId="100" xfId="0" applyFont="1" applyBorder="1" applyAlignment="1">
      <alignment horizontal="center" vertical="center"/>
    </xf>
    <xf numFmtId="0" fontId="58" fillId="0" borderId="100" xfId="0" applyFont="1" applyBorder="1" applyAlignment="1">
      <alignment horizontal="center" vertical="top"/>
    </xf>
    <xf numFmtId="1" fontId="21" fillId="0" borderId="60" xfId="0" applyNumberFormat="1" applyFont="1" applyBorder="1" applyAlignment="1">
      <alignment vertical="top"/>
    </xf>
    <xf numFmtId="166" fontId="21" fillId="4" borderId="74" xfId="0" applyNumberFormat="1" applyFont="1" applyFill="1" applyBorder="1" applyAlignment="1">
      <alignment vertical="top" wrapText="1"/>
    </xf>
    <xf numFmtId="1" fontId="21" fillId="4" borderId="60" xfId="0" applyNumberFormat="1" applyFont="1" applyFill="1" applyBorder="1" applyAlignment="1">
      <alignment horizontal="center" vertical="center" wrapText="1"/>
    </xf>
    <xf numFmtId="0" fontId="21" fillId="4" borderId="60" xfId="0" applyFont="1" applyFill="1" applyBorder="1" applyAlignment="1">
      <alignment horizontal="center" vertical="top" wrapText="1"/>
    </xf>
    <xf numFmtId="0" fontId="22" fillId="7" borderId="74" xfId="0" applyFont="1" applyFill="1" applyBorder="1" applyAlignment="1">
      <alignment horizontal="center" vertical="top"/>
    </xf>
    <xf numFmtId="0" fontId="21" fillId="7" borderId="74" xfId="0" applyFont="1" applyFill="1" applyBorder="1" applyAlignment="1">
      <alignment horizontal="center" vertical="center"/>
    </xf>
    <xf numFmtId="0" fontId="61" fillId="0" borderId="60" xfId="0" applyFont="1" applyBorder="1" applyAlignment="1">
      <alignment horizontal="center" vertical="top"/>
    </xf>
    <xf numFmtId="0" fontId="58" fillId="0" borderId="60" xfId="0" applyFont="1" applyBorder="1" applyAlignment="1">
      <alignment horizontal="center" vertical="top"/>
    </xf>
    <xf numFmtId="0" fontId="21" fillId="0" borderId="74" xfId="0" applyFont="1" applyBorder="1" applyAlignment="1">
      <alignment horizontal="center"/>
    </xf>
    <xf numFmtId="0" fontId="58" fillId="0" borderId="74" xfId="0" applyFont="1" applyBorder="1"/>
    <xf numFmtId="0" fontId="58" fillId="0" borderId="74" xfId="0" applyFont="1" applyBorder="1" applyAlignment="1">
      <alignment horizontal="center" wrapText="1"/>
    </xf>
    <xf numFmtId="1" fontId="21" fillId="0" borderId="100" xfId="0" applyNumberFormat="1" applyFont="1" applyBorder="1" applyAlignment="1">
      <alignment vertical="top" wrapText="1"/>
    </xf>
    <xf numFmtId="0" fontId="21" fillId="0" borderId="100" xfId="0" applyFont="1" applyBorder="1" applyAlignment="1">
      <alignment vertical="top"/>
    </xf>
    <xf numFmtId="0" fontId="21" fillId="0" borderId="100" xfId="0" applyFont="1" applyBorder="1" applyAlignment="1">
      <alignment horizontal="center"/>
    </xf>
    <xf numFmtId="0" fontId="21" fillId="0" borderId="100" xfId="0" quotePrefix="1" applyFont="1" applyBorder="1" applyAlignment="1">
      <alignment horizontal="left"/>
    </xf>
    <xf numFmtId="166" fontId="21" fillId="5" borderId="74" xfId="0" applyNumberFormat="1" applyFont="1" applyFill="1" applyBorder="1" applyAlignment="1">
      <alignment vertical="top" wrapText="1"/>
    </xf>
    <xf numFmtId="166" fontId="21" fillId="6" borderId="74" xfId="0" applyNumberFormat="1" applyFont="1" applyFill="1" applyBorder="1" applyAlignment="1">
      <alignment horizontal="left" vertical="top" wrapText="1"/>
    </xf>
    <xf numFmtId="0" fontId="58" fillId="4" borderId="0" xfId="0" applyFont="1" applyFill="1"/>
    <xf numFmtId="0" fontId="22" fillId="6" borderId="52" xfId="0" applyFont="1" applyFill="1" applyBorder="1" applyAlignment="1">
      <alignment wrapText="1"/>
    </xf>
    <xf numFmtId="0" fontId="22" fillId="6" borderId="77" xfId="0" applyFont="1" applyFill="1" applyBorder="1" applyAlignment="1">
      <alignment wrapText="1"/>
    </xf>
    <xf numFmtId="0" fontId="22" fillId="8" borderId="77" xfId="0" applyFont="1" applyFill="1" applyBorder="1" applyAlignment="1">
      <alignment vertical="center" wrapText="1"/>
    </xf>
    <xf numFmtId="0" fontId="22" fillId="5" borderId="74" xfId="0" applyFont="1" applyFill="1" applyBorder="1" applyAlignment="1">
      <alignment vertical="center" wrapText="1"/>
    </xf>
    <xf numFmtId="1" fontId="21" fillId="4" borderId="9" xfId="0" applyNumberFormat="1" applyFont="1" applyFill="1" applyBorder="1" applyAlignment="1">
      <alignment vertical="top" wrapText="1"/>
    </xf>
    <xf numFmtId="166" fontId="22" fillId="6" borderId="77" xfId="0" applyNumberFormat="1" applyFont="1" applyFill="1" applyBorder="1" applyAlignment="1">
      <alignment horizontal="center" vertical="top" wrapText="1"/>
    </xf>
    <xf numFmtId="0" fontId="22" fillId="6" borderId="77" xfId="0" applyFont="1" applyFill="1" applyBorder="1" applyAlignment="1">
      <alignment horizontal="center" vertical="center" wrapText="1"/>
    </xf>
    <xf numFmtId="0" fontId="21" fillId="6" borderId="77" xfId="0" applyFont="1" applyFill="1" applyBorder="1" applyAlignment="1">
      <alignment horizontal="center" vertical="center" wrapText="1"/>
    </xf>
    <xf numFmtId="0" fontId="22" fillId="6" borderId="77" xfId="0" applyFont="1" applyFill="1" applyBorder="1" applyAlignment="1">
      <alignment horizontal="center"/>
    </xf>
    <xf numFmtId="0" fontId="58" fillId="0" borderId="0" xfId="0" applyFont="1" applyAlignment="1">
      <alignment horizontal="center"/>
    </xf>
    <xf numFmtId="0" fontId="58" fillId="0" borderId="0" xfId="0" applyFont="1" applyAlignment="1">
      <alignment wrapText="1"/>
    </xf>
    <xf numFmtId="0" fontId="58" fillId="0" borderId="0" xfId="0" applyFont="1" applyAlignment="1">
      <alignment horizontal="center" wrapText="1"/>
    </xf>
    <xf numFmtId="3" fontId="12" fillId="0" borderId="100" xfId="0" applyNumberFormat="1" applyFont="1" applyBorder="1" applyAlignment="1">
      <alignment horizontal="right" vertical="center"/>
    </xf>
    <xf numFmtId="41" fontId="12" fillId="0" borderId="100" xfId="2" applyFont="1" applyBorder="1" applyAlignment="1">
      <alignment horizontal="right" vertical="center" wrapText="1"/>
    </xf>
    <xf numFmtId="3" fontId="12" fillId="0" borderId="100" xfId="0" applyNumberFormat="1" applyFont="1" applyBorder="1" applyAlignment="1">
      <alignment horizontal="right" vertical="center" wrapText="1"/>
    </xf>
    <xf numFmtId="0" fontId="7" fillId="0" borderId="100" xfId="0" applyFont="1" applyBorder="1" applyAlignment="1">
      <alignment horizontal="justify" vertical="top" wrapText="1"/>
    </xf>
    <xf numFmtId="0" fontId="7" fillId="0" borderId="100" xfId="0" applyFont="1" applyBorder="1" applyAlignment="1">
      <alignment horizontal="center" vertical="top" wrapText="1"/>
    </xf>
    <xf numFmtId="0" fontId="7" fillId="0" borderId="100" xfId="0" applyFont="1" applyBorder="1" applyAlignment="1">
      <alignment vertical="top"/>
    </xf>
    <xf numFmtId="0" fontId="7" fillId="0" borderId="100" xfId="0" applyFont="1" applyBorder="1" applyAlignment="1">
      <alignment vertical="top" wrapText="1"/>
    </xf>
    <xf numFmtId="0" fontId="13" fillId="0" borderId="0" xfId="0" applyFont="1" applyAlignment="1">
      <alignment horizontal="center"/>
    </xf>
    <xf numFmtId="0" fontId="5" fillId="0" borderId="100" xfId="5" applyFont="1" applyBorder="1" applyAlignment="1">
      <alignment vertical="center"/>
    </xf>
    <xf numFmtId="164" fontId="62" fillId="0" borderId="100" xfId="3" applyNumberFormat="1" applyFont="1" applyBorder="1" applyAlignment="1">
      <alignment horizontal="center" vertical="center" wrapText="1"/>
    </xf>
    <xf numFmtId="3" fontId="1" fillId="0" borderId="100" xfId="5" applyNumberFormat="1" applyFont="1" applyBorder="1" applyAlignment="1">
      <alignment horizontal="center"/>
    </xf>
    <xf numFmtId="3" fontId="5" fillId="0" borderId="100" xfId="0" applyNumberFormat="1" applyFont="1" applyBorder="1" applyAlignment="1">
      <alignment horizontal="center" vertical="center" wrapText="1"/>
    </xf>
    <xf numFmtId="164" fontId="63" fillId="0" borderId="100" xfId="1" applyNumberFormat="1" applyFont="1" applyBorder="1" applyAlignment="1">
      <alignment horizontal="left" vertical="center" wrapText="1"/>
    </xf>
    <xf numFmtId="0" fontId="63" fillId="0" borderId="100" xfId="0" applyFont="1" applyBorder="1" applyAlignment="1">
      <alignment horizontal="justify" vertical="center" wrapText="1"/>
    </xf>
    <xf numFmtId="0" fontId="63" fillId="0" borderId="100" xfId="0" applyFont="1" applyBorder="1" applyAlignment="1">
      <alignment horizontal="center" vertical="center" wrapText="1"/>
    </xf>
    <xf numFmtId="0" fontId="63" fillId="0" borderId="100" xfId="0" applyFont="1" applyBorder="1" applyAlignment="1">
      <alignment vertical="center" wrapText="1"/>
    </xf>
    <xf numFmtId="0" fontId="12" fillId="0" borderId="0" xfId="0" applyFont="1"/>
    <xf numFmtId="0" fontId="65" fillId="0" borderId="0" xfId="0" applyFont="1" applyAlignment="1">
      <alignment horizontal="center"/>
    </xf>
    <xf numFmtId="0" fontId="65" fillId="0" borderId="0" xfId="0" applyFont="1"/>
    <xf numFmtId="3" fontId="65" fillId="0" borderId="0" xfId="0" applyNumberFormat="1" applyFont="1" applyAlignment="1">
      <alignment horizontal="right" vertical="top" wrapText="1"/>
    </xf>
    <xf numFmtId="0" fontId="64" fillId="0" borderId="0" xfId="0" applyFont="1" applyAlignment="1">
      <alignment horizontal="center"/>
    </xf>
    <xf numFmtId="0" fontId="67" fillId="0" borderId="0" xfId="0" applyFont="1" applyAlignment="1">
      <alignment horizontal="center"/>
    </xf>
    <xf numFmtId="0" fontId="65" fillId="0" borderId="0" xfId="0" applyFont="1" applyAlignment="1">
      <alignment vertical="center"/>
    </xf>
    <xf numFmtId="0" fontId="65" fillId="0" borderId="0" xfId="0" applyFont="1" applyAlignment="1">
      <alignment horizontal="center" vertical="center"/>
    </xf>
    <xf numFmtId="3" fontId="65" fillId="0" borderId="0" xfId="0" applyNumberFormat="1" applyFont="1" applyAlignment="1">
      <alignment horizontal="right" vertical="center" wrapText="1"/>
    </xf>
    <xf numFmtId="0" fontId="64" fillId="0" borderId="0" xfId="0" applyFont="1" applyAlignment="1">
      <alignment horizontal="center" vertical="center"/>
    </xf>
    <xf numFmtId="0" fontId="13" fillId="0" borderId="0" xfId="0" applyFont="1" applyAlignment="1">
      <alignment vertical="center"/>
    </xf>
    <xf numFmtId="0" fontId="13" fillId="0" borderId="100" xfId="0" applyFont="1" applyBorder="1" applyAlignment="1">
      <alignment horizontal="center" vertical="top" wrapText="1"/>
    </xf>
    <xf numFmtId="0" fontId="66" fillId="0" borderId="100" xfId="0" applyFont="1" applyBorder="1" applyAlignment="1">
      <alignment horizontal="center" vertical="top" wrapText="1"/>
    </xf>
    <xf numFmtId="3" fontId="66" fillId="0" borderId="100" xfId="0" applyNumberFormat="1" applyFont="1" applyBorder="1" applyAlignment="1">
      <alignment horizontal="center" vertical="top" wrapText="1"/>
    </xf>
    <xf numFmtId="0" fontId="68" fillId="0" borderId="100" xfId="0" applyFont="1" applyBorder="1" applyAlignment="1">
      <alignment horizontal="center" vertical="top" wrapText="1"/>
    </xf>
    <xf numFmtId="0" fontId="69" fillId="0" borderId="100" xfId="0" applyFont="1" applyBorder="1"/>
    <xf numFmtId="0" fontId="12" fillId="0" borderId="100" xfId="0" applyFont="1" applyBorder="1" applyAlignment="1">
      <alignment horizontal="center" vertical="top" wrapText="1"/>
    </xf>
    <xf numFmtId="3" fontId="12" fillId="0" borderId="100" xfId="0" applyNumberFormat="1" applyFont="1" applyBorder="1" applyAlignment="1">
      <alignment horizontal="right" vertical="top" wrapText="1"/>
    </xf>
    <xf numFmtId="3" fontId="14" fillId="0" borderId="100" xfId="0" applyNumberFormat="1" applyFont="1" applyBorder="1" applyAlignment="1">
      <alignment horizontal="right" vertical="top" wrapText="1"/>
    </xf>
    <xf numFmtId="0" fontId="12" fillId="0" borderId="100" xfId="0" applyFont="1" applyBorder="1"/>
    <xf numFmtId="0" fontId="64" fillId="0" borderId="100" xfId="0" applyFont="1" applyBorder="1"/>
    <xf numFmtId="3" fontId="9" fillId="0" borderId="100" xfId="0" applyNumberFormat="1" applyFont="1" applyBorder="1" applyAlignment="1">
      <alignment horizontal="right" vertical="top" wrapText="1"/>
    </xf>
    <xf numFmtId="0" fontId="12" fillId="0" borderId="100" xfId="0" applyFont="1" applyBorder="1" applyAlignment="1">
      <alignment horizontal="right" vertical="center"/>
    </xf>
    <xf numFmtId="0" fontId="0" fillId="0" borderId="100" xfId="0" applyBorder="1" applyAlignment="1">
      <alignment horizontal="center"/>
    </xf>
    <xf numFmtId="0" fontId="69" fillId="0" borderId="100" xfId="0" applyFont="1" applyBorder="1" applyAlignment="1">
      <alignment horizontal="center"/>
    </xf>
    <xf numFmtId="0" fontId="12" fillId="0" borderId="100" xfId="0" applyFont="1" applyBorder="1" applyAlignment="1">
      <alignment vertical="center"/>
    </xf>
    <xf numFmtId="0" fontId="64" fillId="0" borderId="100" xfId="0" applyFont="1" applyBorder="1" applyAlignment="1">
      <alignment horizontal="right"/>
    </xf>
    <xf numFmtId="0" fontId="70" fillId="0" borderId="100" xfId="0" applyFont="1" applyBorder="1"/>
    <xf numFmtId="0" fontId="0" fillId="0" borderId="100" xfId="0" applyBorder="1"/>
    <xf numFmtId="0" fontId="12" fillId="0" borderId="100" xfId="0" applyFont="1" applyBorder="1" applyAlignment="1">
      <alignment horizontal="right"/>
    </xf>
    <xf numFmtId="0" fontId="64" fillId="0" borderId="100" xfId="0" applyFont="1" applyBorder="1" applyAlignment="1">
      <alignment vertical="center"/>
    </xf>
    <xf numFmtId="0" fontId="12" fillId="0" borderId="100" xfId="0" applyFont="1" applyBorder="1" applyAlignment="1">
      <alignment horizontal="center" vertical="center" wrapText="1"/>
    </xf>
    <xf numFmtId="0" fontId="64" fillId="0" borderId="100" xfId="0" applyFont="1" applyBorder="1" applyAlignment="1">
      <alignment horizontal="right" vertical="center"/>
    </xf>
    <xf numFmtId="0" fontId="69" fillId="0" borderId="0" xfId="0" applyFont="1"/>
    <xf numFmtId="0" fontId="63" fillId="0" borderId="100" xfId="0" applyFont="1" applyBorder="1" applyAlignment="1">
      <alignment horizontal="center" vertical="top" wrapText="1"/>
    </xf>
    <xf numFmtId="3" fontId="71" fillId="0" borderId="100" xfId="0" applyNumberFormat="1" applyFont="1" applyBorder="1" applyAlignment="1">
      <alignment horizontal="right" vertical="top" wrapText="1"/>
    </xf>
    <xf numFmtId="0" fontId="69" fillId="0" borderId="100" xfId="0" applyFont="1" applyBorder="1" applyAlignment="1">
      <alignment vertical="top" wrapText="1"/>
    </xf>
    <xf numFmtId="0" fontId="63" fillId="0" borderId="100" xfId="0" applyFont="1" applyBorder="1" applyAlignment="1">
      <alignment horizontal="right"/>
    </xf>
    <xf numFmtId="0" fontId="64" fillId="0" borderId="0" xfId="0" applyFont="1"/>
    <xf numFmtId="0" fontId="63" fillId="0" borderId="100" xfId="0" applyFont="1" applyBorder="1"/>
    <xf numFmtId="3" fontId="0" fillId="0" borderId="100" xfId="0" applyNumberFormat="1" applyBorder="1"/>
    <xf numFmtId="0" fontId="66" fillId="0" borderId="100" xfId="0" applyFont="1" applyBorder="1" applyAlignment="1">
      <alignment horizontal="justify" vertical="top" wrapText="1"/>
    </xf>
    <xf numFmtId="0" fontId="12" fillId="0" borderId="100" xfId="0" applyFont="1" applyBorder="1" applyAlignment="1">
      <alignment horizontal="right" vertical="top" wrapText="1"/>
    </xf>
    <xf numFmtId="0" fontId="72" fillId="0" borderId="0" xfId="0" applyFont="1"/>
    <xf numFmtId="3" fontId="0" fillId="0" borderId="78" xfId="0" applyNumberFormat="1" applyBorder="1"/>
    <xf numFmtId="0" fontId="0" fillId="0" borderId="78" xfId="0" applyBorder="1"/>
    <xf numFmtId="0" fontId="73" fillId="0" borderId="56" xfId="0" applyFont="1" applyBorder="1"/>
    <xf numFmtId="0" fontId="67" fillId="0" borderId="0" xfId="0" applyFont="1"/>
    <xf numFmtId="3" fontId="12" fillId="0" borderId="0" xfId="0" applyNumberFormat="1" applyFont="1" applyAlignment="1">
      <alignment horizontal="right" vertical="top" wrapText="1"/>
    </xf>
    <xf numFmtId="0" fontId="66" fillId="0" borderId="0" xfId="0" applyFont="1"/>
    <xf numFmtId="0" fontId="9" fillId="0" borderId="0" xfId="0" applyFont="1" applyAlignment="1">
      <alignment horizontal="center" vertical="center" wrapText="1"/>
    </xf>
    <xf numFmtId="167" fontId="9" fillId="0" borderId="0" xfId="1" applyNumberFormat="1" applyFont="1" applyAlignment="1">
      <alignment vertical="center" wrapText="1"/>
    </xf>
    <xf numFmtId="43" fontId="9" fillId="0" borderId="0" xfId="1" applyFont="1" applyAlignment="1">
      <alignment vertical="center" wrapText="1"/>
    </xf>
    <xf numFmtId="164" fontId="9" fillId="0" borderId="0" xfId="1" applyNumberFormat="1" applyFont="1" applyAlignment="1">
      <alignment horizontal="right" vertical="center" wrapText="1"/>
    </xf>
    <xf numFmtId="164" fontId="9" fillId="0" borderId="0" xfId="1" applyNumberFormat="1" applyFont="1" applyAlignment="1">
      <alignment horizontal="center" vertical="center" wrapText="1"/>
    </xf>
    <xf numFmtId="0" fontId="9" fillId="0" borderId="0" xfId="0" applyFont="1" applyAlignment="1">
      <alignment vertical="center" wrapText="1"/>
    </xf>
    <xf numFmtId="0" fontId="14" fillId="0" borderId="0" xfId="0" applyFont="1" applyAlignment="1">
      <alignment vertical="center" wrapText="1"/>
    </xf>
    <xf numFmtId="0" fontId="71" fillId="0" borderId="0" xfId="0" applyFont="1" applyAlignment="1">
      <alignment vertical="center" wrapText="1"/>
    </xf>
    <xf numFmtId="0" fontId="11" fillId="0" borderId="100" xfId="0" applyFont="1" applyBorder="1" applyAlignment="1">
      <alignment horizontal="center" vertical="center"/>
    </xf>
    <xf numFmtId="0" fontId="14" fillId="0" borderId="100" xfId="0" applyFont="1" applyBorder="1" applyAlignment="1">
      <alignment horizontal="center" vertical="center" wrapText="1"/>
    </xf>
    <xf numFmtId="167" fontId="14" fillId="0" borderId="100" xfId="1" applyNumberFormat="1" applyFont="1" applyBorder="1" applyAlignment="1">
      <alignment horizontal="center" vertical="center" wrapText="1"/>
    </xf>
    <xf numFmtId="43" fontId="14" fillId="0" borderId="100" xfId="1" applyFont="1" applyBorder="1" applyAlignment="1">
      <alignment horizontal="center" vertical="center" wrapText="1"/>
    </xf>
    <xf numFmtId="0" fontId="10" fillId="0" borderId="0" xfId="0" applyFont="1" applyAlignment="1">
      <alignment vertical="center"/>
    </xf>
    <xf numFmtId="0" fontId="10" fillId="0" borderId="100" xfId="0" applyFont="1" applyBorder="1" applyAlignment="1">
      <alignment horizontal="center" vertical="center"/>
    </xf>
    <xf numFmtId="0" fontId="9" fillId="0" borderId="100" xfId="0" applyFont="1" applyBorder="1" applyAlignment="1">
      <alignment horizontal="center" vertical="center" wrapText="1"/>
    </xf>
    <xf numFmtId="167" fontId="9" fillId="0" borderId="100" xfId="1" quotePrefix="1" applyNumberFormat="1" applyFont="1" applyBorder="1" applyAlignment="1">
      <alignment horizontal="center" vertical="center" wrapText="1"/>
    </xf>
    <xf numFmtId="167" fontId="9" fillId="0" borderId="100" xfId="1" quotePrefix="1" applyNumberFormat="1" applyFont="1" applyBorder="1" applyAlignment="1">
      <alignment wrapText="1"/>
    </xf>
    <xf numFmtId="0" fontId="7" fillId="0" borderId="0" xfId="0" applyFont="1" applyAlignment="1">
      <alignment vertical="center"/>
    </xf>
    <xf numFmtId="0" fontId="11" fillId="0" borderId="100" xfId="0" applyFont="1" applyBorder="1" applyAlignment="1">
      <alignment vertical="center"/>
    </xf>
    <xf numFmtId="167" fontId="11" fillId="0" borderId="100" xfId="1" applyNumberFormat="1" applyFont="1" applyBorder="1" applyAlignment="1">
      <alignment vertical="center"/>
    </xf>
    <xf numFmtId="43" fontId="11" fillId="0" borderId="100" xfId="1" applyFont="1" applyBorder="1" applyAlignment="1">
      <alignment vertical="center"/>
    </xf>
    <xf numFmtId="0" fontId="11" fillId="0" borderId="100" xfId="0" applyFont="1" applyBorder="1" applyAlignment="1">
      <alignment vertical="center" wrapText="1"/>
    </xf>
    <xf numFmtId="167" fontId="11" fillId="0" borderId="100" xfId="0" applyNumberFormat="1" applyFont="1" applyBorder="1" applyAlignment="1">
      <alignment horizontal="center" vertical="center" wrapText="1"/>
    </xf>
    <xf numFmtId="0" fontId="10" fillId="0" borderId="102" xfId="0" applyFont="1" applyBorder="1" applyAlignment="1">
      <alignment horizontal="center" vertical="center"/>
    </xf>
    <xf numFmtId="0" fontId="10" fillId="0" borderId="103" xfId="0" applyFont="1" applyBorder="1" applyAlignment="1">
      <alignment vertical="center" wrapText="1"/>
    </xf>
    <xf numFmtId="0" fontId="10" fillId="0" borderId="103" xfId="0" applyFont="1" applyBorder="1" applyAlignment="1">
      <alignment horizontal="center" vertical="center"/>
    </xf>
    <xf numFmtId="167" fontId="10" fillId="0" borderId="103" xfId="1" applyNumberFormat="1" applyFont="1" applyBorder="1" applyAlignment="1">
      <alignment vertical="center"/>
    </xf>
    <xf numFmtId="43" fontId="10" fillId="0" borderId="103" xfId="1" applyFont="1" applyBorder="1" applyAlignment="1">
      <alignment vertical="center"/>
    </xf>
    <xf numFmtId="0" fontId="11" fillId="0" borderId="104" xfId="0" applyFont="1" applyBorder="1" applyAlignment="1">
      <alignment horizontal="center" vertical="center"/>
    </xf>
    <xf numFmtId="0" fontId="11" fillId="0" borderId="104" xfId="0" applyFont="1" applyBorder="1" applyAlignment="1">
      <alignment vertical="center" wrapText="1"/>
    </xf>
    <xf numFmtId="167" fontId="11" fillId="0" borderId="104" xfId="1" applyNumberFormat="1" applyFont="1" applyBorder="1" applyAlignment="1">
      <alignment vertical="center"/>
    </xf>
    <xf numFmtId="43" fontId="11" fillId="0" borderId="104" xfId="1" applyFont="1" applyBorder="1" applyAlignment="1">
      <alignment vertical="center"/>
    </xf>
    <xf numFmtId="167" fontId="11" fillId="4" borderId="104" xfId="1" applyNumberFormat="1" applyFont="1" applyFill="1" applyBorder="1" applyAlignment="1">
      <alignment vertical="center"/>
    </xf>
    <xf numFmtId="0" fontId="11" fillId="0" borderId="102" xfId="0" applyFont="1" applyBorder="1" applyAlignment="1">
      <alignment horizontal="center" vertical="center"/>
    </xf>
    <xf numFmtId="0" fontId="11" fillId="0" borderId="102" xfId="0" applyFont="1" applyBorder="1" applyAlignment="1">
      <alignment vertical="center" wrapText="1"/>
    </xf>
    <xf numFmtId="167" fontId="11" fillId="0" borderId="102" xfId="1" applyNumberFormat="1" applyFont="1" applyBorder="1" applyAlignment="1">
      <alignment vertical="center"/>
    </xf>
    <xf numFmtId="43" fontId="11" fillId="0" borderId="102" xfId="1" applyFont="1" applyBorder="1" applyAlignment="1">
      <alignment vertical="center"/>
    </xf>
    <xf numFmtId="167" fontId="11" fillId="0" borderId="103" xfId="1" applyNumberFormat="1" applyFont="1" applyBorder="1" applyAlignment="1">
      <alignment vertical="center"/>
    </xf>
    <xf numFmtId="0" fontId="11" fillId="0" borderId="105" xfId="0" applyFont="1" applyBorder="1" applyAlignment="1">
      <alignment vertical="center" wrapText="1"/>
    </xf>
    <xf numFmtId="0" fontId="11" fillId="0" borderId="103" xfId="0" applyFont="1" applyBorder="1" applyAlignment="1">
      <alignment horizontal="center" vertical="center"/>
    </xf>
    <xf numFmtId="0" fontId="11" fillId="0" borderId="103" xfId="0" applyFont="1" applyBorder="1" applyAlignment="1">
      <alignment vertical="center" wrapText="1"/>
    </xf>
    <xf numFmtId="43" fontId="11" fillId="0" borderId="103" xfId="1" applyFont="1" applyBorder="1" applyAlignment="1">
      <alignment vertical="center"/>
    </xf>
    <xf numFmtId="167" fontId="75" fillId="0" borderId="103" xfId="1" applyNumberFormat="1" applyFont="1" applyBorder="1" applyAlignment="1">
      <alignment vertical="center"/>
    </xf>
    <xf numFmtId="0" fontId="76" fillId="0" borderId="104" xfId="0" applyFont="1" applyBorder="1" applyAlignment="1">
      <alignment horizontal="center" vertical="center"/>
    </xf>
    <xf numFmtId="0" fontId="76" fillId="0" borderId="104" xfId="0" applyFont="1" applyBorder="1" applyAlignment="1">
      <alignment vertical="center" wrapText="1"/>
    </xf>
    <xf numFmtId="167" fontId="76" fillId="0" borderId="104" xfId="1" applyNumberFormat="1" applyFont="1" applyBorder="1" applyAlignment="1">
      <alignment vertical="center"/>
    </xf>
    <xf numFmtId="43" fontId="76" fillId="0" borderId="104" xfId="1" applyFont="1" applyBorder="1" applyAlignment="1">
      <alignment vertical="center"/>
    </xf>
    <xf numFmtId="0" fontId="76" fillId="0" borderId="64" xfId="0" applyFont="1" applyBorder="1" applyAlignment="1">
      <alignment vertical="center" wrapText="1"/>
    </xf>
    <xf numFmtId="0" fontId="10" fillId="0" borderId="104" xfId="0" applyFont="1" applyBorder="1" applyAlignment="1">
      <alignment horizontal="center" vertical="center"/>
    </xf>
    <xf numFmtId="0" fontId="10" fillId="0" borderId="104" xfId="0" applyFont="1" applyBorder="1" applyAlignment="1">
      <alignment vertical="center" wrapText="1"/>
    </xf>
    <xf numFmtId="167" fontId="10" fillId="0" borderId="104" xfId="1" applyNumberFormat="1" applyFont="1" applyBorder="1" applyAlignment="1">
      <alignment vertical="center"/>
    </xf>
    <xf numFmtId="43" fontId="10" fillId="0" borderId="104" xfId="1" applyFont="1" applyBorder="1" applyAlignment="1">
      <alignment vertical="center"/>
    </xf>
    <xf numFmtId="167" fontId="10" fillId="0" borderId="104" xfId="1" applyNumberFormat="1" applyFont="1" applyBorder="1" applyAlignment="1">
      <alignment horizontal="right"/>
    </xf>
    <xf numFmtId="0" fontId="76" fillId="0" borderId="103" xfId="0" applyFont="1" applyBorder="1" applyAlignment="1">
      <alignment horizontal="center" vertical="center"/>
    </xf>
    <xf numFmtId="0" fontId="76" fillId="0" borderId="103" xfId="0" applyFont="1" applyBorder="1" applyAlignment="1">
      <alignment vertical="center" wrapText="1"/>
    </xf>
    <xf numFmtId="0" fontId="10" fillId="0" borderId="104" xfId="0" applyFont="1" applyBorder="1" applyAlignment="1">
      <alignment vertical="center"/>
    </xf>
    <xf numFmtId="3" fontId="76" fillId="0" borderId="104" xfId="0" applyNumberFormat="1" applyFont="1" applyBorder="1" applyAlignment="1">
      <alignment horizontal="right" vertical="center"/>
    </xf>
    <xf numFmtId="0" fontId="10" fillId="0" borderId="64" xfId="0" applyFont="1" applyBorder="1" applyAlignment="1">
      <alignment horizontal="center" vertical="center" wrapText="1"/>
    </xf>
    <xf numFmtId="167" fontId="10" fillId="0" borderId="104" xfId="1" applyNumberFormat="1" applyFont="1" applyBorder="1" applyAlignment="1">
      <alignment horizontal="right" vertical="center"/>
    </xf>
    <xf numFmtId="0" fontId="76" fillId="0" borderId="104" xfId="0" applyFont="1" applyBorder="1" applyAlignment="1">
      <alignment vertical="center"/>
    </xf>
    <xf numFmtId="0" fontId="76" fillId="0" borderId="9" xfId="0" applyFont="1" applyBorder="1" applyAlignment="1">
      <alignment horizontal="center" vertical="center"/>
    </xf>
    <xf numFmtId="0" fontId="78" fillId="0" borderId="9" xfId="0" applyFont="1" applyBorder="1" applyAlignment="1">
      <alignment vertical="center"/>
    </xf>
    <xf numFmtId="0" fontId="10" fillId="0" borderId="9" xfId="0" applyFont="1" applyBorder="1" applyAlignment="1">
      <alignment horizontal="center" vertical="center"/>
    </xf>
    <xf numFmtId="167" fontId="10" fillId="0" borderId="9" xfId="1" applyNumberFormat="1" applyFont="1" applyBorder="1" applyAlignment="1">
      <alignment vertical="center"/>
    </xf>
    <xf numFmtId="43" fontId="10" fillId="0" borderId="9" xfId="1" applyFont="1" applyBorder="1" applyAlignment="1">
      <alignment vertical="center"/>
    </xf>
    <xf numFmtId="167" fontId="76" fillId="0" borderId="9" xfId="1" applyNumberFormat="1" applyFont="1" applyBorder="1" applyAlignment="1">
      <alignment horizontal="right" vertical="center"/>
    </xf>
    <xf numFmtId="0" fontId="76" fillId="0" borderId="9" xfId="0" applyFont="1" applyBorder="1" applyAlignment="1">
      <alignment vertical="center"/>
    </xf>
    <xf numFmtId="0" fontId="79" fillId="0" borderId="104" xfId="0" applyFont="1" applyBorder="1" applyAlignment="1">
      <alignment horizontal="center" vertical="center"/>
    </xf>
    <xf numFmtId="0" fontId="79" fillId="0" borderId="104" xfId="0" applyFont="1" applyBorder="1" applyAlignment="1">
      <alignment vertical="center" wrapText="1"/>
    </xf>
    <xf numFmtId="3" fontId="17" fillId="2" borderId="104" xfId="0" applyNumberFormat="1" applyFont="1" applyFill="1" applyBorder="1" applyAlignment="1">
      <alignment horizontal="right" vertical="center"/>
    </xf>
    <xf numFmtId="0" fontId="11" fillId="0" borderId="9" xfId="0" applyFont="1" applyBorder="1" applyAlignment="1">
      <alignment horizontal="center" vertical="center"/>
    </xf>
    <xf numFmtId="0" fontId="11" fillId="0" borderId="9" xfId="0" applyFont="1" applyBorder="1" applyAlignment="1">
      <alignment vertical="center" wrapText="1"/>
    </xf>
    <xf numFmtId="3" fontId="76" fillId="0" borderId="9" xfId="0" applyNumberFormat="1" applyFont="1" applyBorder="1" applyAlignment="1">
      <alignment horizontal="right" vertical="center"/>
    </xf>
    <xf numFmtId="0" fontId="10" fillId="0" borderId="9" xfId="0" applyFont="1" applyBorder="1" applyAlignment="1">
      <alignment vertical="center" wrapText="1"/>
    </xf>
    <xf numFmtId="167" fontId="76" fillId="0" borderId="104" xfId="1" applyNumberFormat="1" applyFont="1" applyBorder="1" applyAlignment="1">
      <alignment horizontal="right" vertical="center"/>
    </xf>
    <xf numFmtId="3" fontId="24" fillId="0" borderId="104" xfId="0" applyNumberFormat="1" applyFont="1" applyBorder="1"/>
    <xf numFmtId="0" fontId="11" fillId="0" borderId="104" xfId="0" applyFont="1" applyBorder="1" applyAlignment="1">
      <alignment horizontal="center" vertical="center" wrapText="1"/>
    </xf>
    <xf numFmtId="0" fontId="10" fillId="0" borderId="6" xfId="0" applyFont="1" applyBorder="1" applyAlignment="1">
      <alignment horizontal="center" vertical="center"/>
    </xf>
    <xf numFmtId="0" fontId="14" fillId="0" borderId="104" xfId="0" applyFont="1" applyBorder="1" applyAlignment="1">
      <alignment horizontal="left" vertical="center"/>
    </xf>
    <xf numFmtId="0" fontId="9" fillId="0" borderId="104" xfId="0" applyFont="1" applyBorder="1" applyAlignment="1">
      <alignment horizontal="center"/>
    </xf>
    <xf numFmtId="3" fontId="0" fillId="0" borderId="104" xfId="0" applyNumberFormat="1" applyBorder="1"/>
    <xf numFmtId="0" fontId="10" fillId="0" borderId="107" xfId="0" applyFont="1" applyBorder="1" applyAlignment="1">
      <alignment vertical="center"/>
    </xf>
    <xf numFmtId="0" fontId="10" fillId="0" borderId="64" xfId="0" applyFont="1" applyBorder="1" applyAlignment="1">
      <alignment horizontal="center" vertical="center"/>
    </xf>
    <xf numFmtId="0" fontId="14" fillId="0" borderId="104" xfId="0" applyFont="1" applyBorder="1"/>
    <xf numFmtId="0" fontId="10" fillId="0" borderId="64" xfId="0" applyFont="1" applyBorder="1" applyAlignment="1">
      <alignment vertical="center" wrapText="1"/>
    </xf>
    <xf numFmtId="0" fontId="10" fillId="0" borderId="108" xfId="0" applyFont="1" applyBorder="1" applyAlignment="1">
      <alignment horizontal="center" vertical="center"/>
    </xf>
    <xf numFmtId="0" fontId="14" fillId="0" borderId="64" xfId="0" applyFont="1" applyBorder="1" applyAlignment="1">
      <alignment horizontal="left" vertical="center"/>
    </xf>
    <xf numFmtId="0" fontId="10" fillId="0" borderId="91" xfId="0" applyFont="1" applyBorder="1" applyAlignment="1">
      <alignment vertical="center" wrapText="1"/>
    </xf>
    <xf numFmtId="0" fontId="14" fillId="0" borderId="103" xfId="0" applyFont="1" applyBorder="1" applyAlignment="1">
      <alignment horizontal="left" vertical="center"/>
    </xf>
    <xf numFmtId="0" fontId="10" fillId="0" borderId="0" xfId="0" applyFont="1" applyAlignment="1">
      <alignment vertical="center" wrapText="1"/>
    </xf>
    <xf numFmtId="0" fontId="14" fillId="0" borderId="103" xfId="0" applyFont="1" applyBorder="1"/>
    <xf numFmtId="0" fontId="11" fillId="0" borderId="104" xfId="0" applyFont="1" applyBorder="1" applyAlignment="1">
      <alignment vertical="center"/>
    </xf>
    <xf numFmtId="0" fontId="9" fillId="0" borderId="0" xfId="0" applyFont="1" applyAlignment="1">
      <alignment horizontal="center" vertical="center"/>
    </xf>
    <xf numFmtId="167" fontId="14" fillId="0" borderId="0" xfId="1" applyNumberFormat="1" applyFont="1" applyAlignment="1">
      <alignment vertical="center"/>
    </xf>
    <xf numFmtId="43" fontId="14" fillId="0" borderId="0" xfId="1" applyFont="1" applyAlignment="1">
      <alignment vertical="center"/>
    </xf>
    <xf numFmtId="164" fontId="9" fillId="0" borderId="0" xfId="1" applyNumberFormat="1" applyFont="1" applyAlignment="1">
      <alignment horizontal="center" vertical="center"/>
    </xf>
    <xf numFmtId="0" fontId="80" fillId="0" borderId="0" xfId="0" applyFont="1" applyAlignment="1">
      <alignment vertical="center"/>
    </xf>
    <xf numFmtId="0" fontId="71" fillId="0" borderId="0" xfId="0" applyFont="1" applyAlignment="1">
      <alignment vertical="center"/>
    </xf>
    <xf numFmtId="0" fontId="10" fillId="0" borderId="0" xfId="0" applyFont="1" applyAlignment="1">
      <alignment horizontal="center" vertical="center"/>
    </xf>
    <xf numFmtId="167" fontId="10" fillId="0" borderId="0" xfId="1" applyNumberFormat="1" applyFont="1" applyAlignment="1">
      <alignment vertical="center"/>
    </xf>
    <xf numFmtId="43" fontId="10" fillId="0" borderId="0" xfId="1" applyFont="1" applyAlignment="1">
      <alignment vertical="center"/>
    </xf>
    <xf numFmtId="0" fontId="81" fillId="0" borderId="103" xfId="0" applyFont="1" applyBorder="1" applyAlignment="1">
      <alignment horizontal="left" vertical="center"/>
    </xf>
    <xf numFmtId="0" fontId="81" fillId="2" borderId="103" xfId="0" applyFont="1" applyFill="1" applyBorder="1" applyAlignment="1">
      <alignment horizontal="center" vertical="center" wrapText="1"/>
    </xf>
    <xf numFmtId="0" fontId="81" fillId="2" borderId="104" xfId="0" applyFont="1" applyFill="1" applyBorder="1" applyAlignment="1">
      <alignment horizontal="center" vertical="center" wrapText="1"/>
    </xf>
    <xf numFmtId="0" fontId="81" fillId="2" borderId="109" xfId="0" applyFont="1" applyFill="1" applyBorder="1" applyAlignment="1">
      <alignment horizontal="center" vertical="center" wrapText="1"/>
    </xf>
    <xf numFmtId="0" fontId="6" fillId="2" borderId="104" xfId="0" applyFont="1" applyFill="1" applyBorder="1" applyAlignment="1">
      <alignment horizontal="left" vertical="center" wrapText="1"/>
    </xf>
    <xf numFmtId="0" fontId="5" fillId="0" borderId="104" xfId="0" applyFont="1" applyBorder="1"/>
    <xf numFmtId="0" fontId="0" fillId="0" borderId="104" xfId="0" applyBorder="1"/>
    <xf numFmtId="0" fontId="5" fillId="2" borderId="103" xfId="0" applyFont="1" applyFill="1" applyBorder="1" applyAlignment="1">
      <alignment horizontal="center"/>
    </xf>
    <xf numFmtId="0" fontId="82" fillId="2" borderId="104" xfId="0" applyFont="1" applyFill="1" applyBorder="1" applyAlignment="1">
      <alignment horizontal="center" vertical="top"/>
    </xf>
    <xf numFmtId="3" fontId="82" fillId="2" borderId="104" xfId="0" applyNumberFormat="1" applyFont="1" applyFill="1" applyBorder="1" applyAlignment="1">
      <alignment horizontal="center" vertical="top"/>
    </xf>
    <xf numFmtId="3" fontId="82" fillId="2" borderId="109" xfId="0" applyNumberFormat="1" applyFont="1" applyFill="1" applyBorder="1" applyAlignment="1">
      <alignment horizontal="center" vertical="top"/>
    </xf>
    <xf numFmtId="3" fontId="5" fillId="2" borderId="104" xfId="0" applyNumberFormat="1" applyFont="1" applyFill="1" applyBorder="1" applyAlignment="1">
      <alignment horizontal="right"/>
    </xf>
    <xf numFmtId="0" fontId="69" fillId="0" borderId="104" xfId="0" applyFont="1" applyBorder="1" applyAlignment="1">
      <alignment horizontal="center" vertical="top" wrapText="1"/>
    </xf>
    <xf numFmtId="0" fontId="63" fillId="0" borderId="104" xfId="0" applyFont="1" applyBorder="1" applyAlignment="1">
      <alignment horizontal="center" vertical="top" wrapText="1"/>
    </xf>
    <xf numFmtId="0" fontId="65" fillId="0" borderId="104" xfId="0" applyFont="1" applyBorder="1" applyAlignment="1">
      <alignment horizontal="center" vertical="top" wrapText="1"/>
    </xf>
    <xf numFmtId="3" fontId="65" fillId="2" borderId="104" xfId="0" applyNumberFormat="1" applyFont="1" applyFill="1" applyBorder="1" applyAlignment="1">
      <alignment horizontal="center"/>
    </xf>
    <xf numFmtId="3" fontId="0" fillId="0" borderId="104" xfId="0" applyNumberFormat="1" applyBorder="1" applyAlignment="1">
      <alignment horizontal="center" vertical="center"/>
    </xf>
    <xf numFmtId="3" fontId="65" fillId="0" borderId="104" xfId="0" applyNumberFormat="1" applyFont="1" applyBorder="1" applyAlignment="1">
      <alignment horizontal="center"/>
    </xf>
    <xf numFmtId="3" fontId="65" fillId="0" borderId="104" xfId="0" applyNumberFormat="1" applyFont="1" applyBorder="1" applyAlignment="1">
      <alignment horizontal="right"/>
    </xf>
    <xf numFmtId="0" fontId="83" fillId="0" borderId="104" xfId="0" applyFont="1" applyBorder="1" applyAlignment="1">
      <alignment horizontal="center"/>
    </xf>
    <xf numFmtId="3" fontId="83" fillId="0" borderId="104" xfId="0" applyNumberFormat="1" applyFont="1" applyBorder="1" applyAlignment="1">
      <alignment horizontal="right"/>
    </xf>
    <xf numFmtId="0" fontId="68" fillId="0" borderId="104" xfId="0" applyFont="1" applyBorder="1" applyAlignment="1">
      <alignment horizontal="left" vertical="center"/>
    </xf>
    <xf numFmtId="3" fontId="65" fillId="2" borderId="104" xfId="0" applyNumberFormat="1" applyFont="1" applyFill="1" applyBorder="1" applyAlignment="1">
      <alignment horizontal="right"/>
    </xf>
    <xf numFmtId="0" fontId="69" fillId="0" borderId="110" xfId="0" applyFont="1" applyBorder="1" applyAlignment="1">
      <alignment horizontal="center" vertical="top" wrapText="1"/>
    </xf>
    <xf numFmtId="0" fontId="65" fillId="0" borderId="104" xfId="0" applyFont="1" applyBorder="1"/>
    <xf numFmtId="3" fontId="0" fillId="0" borderId="0" xfId="0" applyNumberFormat="1" applyAlignment="1">
      <alignment horizontal="center" vertical="center"/>
    </xf>
    <xf numFmtId="0" fontId="0" fillId="0" borderId="104" xfId="0" applyBorder="1" applyAlignment="1">
      <alignment horizontal="left"/>
    </xf>
    <xf numFmtId="0" fontId="24" fillId="0" borderId="104" xfId="0" applyFont="1" applyBorder="1" applyAlignment="1">
      <alignment horizontal="left"/>
    </xf>
    <xf numFmtId="0" fontId="0" fillId="0" borderId="104" xfId="0" applyBorder="1" applyAlignment="1">
      <alignment horizontal="center"/>
    </xf>
    <xf numFmtId="0" fontId="14" fillId="0" borderId="0" xfId="0" applyFont="1"/>
    <xf numFmtId="0" fontId="14" fillId="2" borderId="0" xfId="0" applyFont="1" applyFill="1"/>
    <xf numFmtId="0" fontId="71" fillId="2" borderId="0" xfId="0" applyFont="1" applyFill="1"/>
    <xf numFmtId="0" fontId="84" fillId="2" borderId="0" xfId="0" applyFont="1" applyFill="1"/>
    <xf numFmtId="0" fontId="84" fillId="2" borderId="0" xfId="0" applyFont="1" applyFill="1" applyAlignment="1">
      <alignment horizontal="center"/>
    </xf>
    <xf numFmtId="0" fontId="85" fillId="2" borderId="0" xfId="0" applyFont="1" applyFill="1" applyAlignment="1">
      <alignment horizontal="center"/>
    </xf>
    <xf numFmtId="3" fontId="0" fillId="0" borderId="0" xfId="0" applyNumberFormat="1" applyAlignment="1">
      <alignment horizontal="center"/>
    </xf>
    <xf numFmtId="0" fontId="14" fillId="2" borderId="0" xfId="0" applyFont="1" applyFill="1" applyAlignment="1">
      <alignment horizontal="center"/>
    </xf>
    <xf numFmtId="0" fontId="86" fillId="0" borderId="0" xfId="0" applyFont="1" applyAlignment="1">
      <alignment horizontal="center"/>
    </xf>
    <xf numFmtId="0" fontId="87" fillId="0" borderId="0" xfId="0" applyFont="1" applyAlignment="1">
      <alignment horizontal="center"/>
    </xf>
    <xf numFmtId="0" fontId="88" fillId="0" borderId="0" xfId="0" applyFont="1" applyAlignment="1">
      <alignment horizontal="center"/>
    </xf>
    <xf numFmtId="0" fontId="89" fillId="0" borderId="0" xfId="0" applyFont="1"/>
    <xf numFmtId="0" fontId="89" fillId="0" borderId="0" xfId="0" applyFont="1" applyAlignment="1">
      <alignment horizontal="center"/>
    </xf>
    <xf numFmtId="0" fontId="85" fillId="0" borderId="0" xfId="0" applyFont="1" applyAlignment="1">
      <alignment horizontal="left"/>
    </xf>
    <xf numFmtId="0" fontId="90" fillId="0" borderId="0" xfId="0" applyFont="1" applyAlignment="1">
      <alignment horizontal="left"/>
    </xf>
    <xf numFmtId="0" fontId="91" fillId="0" borderId="0" xfId="0" applyFont="1" applyAlignment="1">
      <alignment horizontal="left"/>
    </xf>
    <xf numFmtId="0" fontId="92" fillId="0" borderId="0" xfId="0" applyFont="1" applyAlignment="1">
      <alignment horizontal="left"/>
    </xf>
    <xf numFmtId="0" fontId="85" fillId="0" borderId="0" xfId="0" applyFont="1"/>
    <xf numFmtId="0" fontId="85" fillId="0" borderId="0" xfId="0" applyFont="1" applyAlignment="1">
      <alignment horizontal="center"/>
    </xf>
    <xf numFmtId="0" fontId="93" fillId="0" borderId="0" xfId="0" applyFont="1" applyAlignment="1">
      <alignment horizontal="center"/>
    </xf>
    <xf numFmtId="0" fontId="92" fillId="0" borderId="0" xfId="0" applyFont="1" applyAlignment="1">
      <alignment horizontal="center"/>
    </xf>
    <xf numFmtId="0" fontId="14" fillId="2" borderId="0" xfId="0" applyFont="1" applyFill="1" applyAlignment="1">
      <alignment horizontal="center" vertical="center" wrapText="1"/>
    </xf>
    <xf numFmtId="0" fontId="14" fillId="2" borderId="0" xfId="0" quotePrefix="1" applyFont="1" applyFill="1" applyAlignment="1">
      <alignment horizontal="center" vertical="center" wrapText="1"/>
    </xf>
    <xf numFmtId="3" fontId="0" fillId="0" borderId="0" xfId="0" applyNumberFormat="1"/>
    <xf numFmtId="0" fontId="15" fillId="0" borderId="0" xfId="0" applyFont="1"/>
    <xf numFmtId="49" fontId="68" fillId="0" borderId="0" xfId="0" applyNumberFormat="1" applyFont="1" applyAlignment="1">
      <alignment horizontal="center"/>
    </xf>
    <xf numFmtId="0" fontId="14" fillId="0" borderId="0" xfId="0" applyFont="1" applyAlignment="1">
      <alignment horizontal="center" wrapText="1"/>
    </xf>
    <xf numFmtId="0" fontId="94" fillId="0" borderId="0" xfId="0" applyFont="1" applyAlignment="1">
      <alignment wrapText="1"/>
    </xf>
    <xf numFmtId="0" fontId="14" fillId="0" borderId="0" xfId="0" applyFont="1" applyAlignment="1">
      <alignment wrapText="1"/>
    </xf>
    <xf numFmtId="0" fontId="85" fillId="0" borderId="0" xfId="0" applyFont="1" applyAlignment="1">
      <alignment horizontal="center" wrapText="1"/>
    </xf>
    <xf numFmtId="0" fontId="68" fillId="0" borderId="104" xfId="0" applyFont="1" applyBorder="1" applyAlignment="1">
      <alignment horizontal="center" vertical="center" wrapText="1"/>
    </xf>
    <xf numFmtId="49" fontId="68" fillId="0" borderId="104" xfId="0" applyNumberFormat="1" applyFont="1" applyBorder="1" applyAlignment="1">
      <alignment horizontal="center" vertical="center" wrapText="1"/>
    </xf>
    <xf numFmtId="164" fontId="68" fillId="0" borderId="104" xfId="0" applyNumberFormat="1" applyFont="1" applyBorder="1" applyAlignment="1">
      <alignment horizontal="left" vertical="center" wrapText="1"/>
    </xf>
    <xf numFmtId="0" fontId="68" fillId="0" borderId="104" xfId="0" applyFont="1" applyBorder="1" applyAlignment="1">
      <alignment horizontal="left" vertical="center" wrapText="1"/>
    </xf>
    <xf numFmtId="0" fontId="95" fillId="0" borderId="0" xfId="0" applyFont="1"/>
    <xf numFmtId="0" fontId="73" fillId="0" borderId="104" xfId="0" applyFont="1" applyBorder="1" applyAlignment="1">
      <alignment horizontal="center" vertical="center" wrapText="1"/>
    </xf>
    <xf numFmtId="49" fontId="73" fillId="0" borderId="104" xfId="0" applyNumberFormat="1" applyFont="1" applyBorder="1" applyAlignment="1">
      <alignment vertical="top" wrapText="1"/>
    </xf>
    <xf numFmtId="0" fontId="73" fillId="0" borderId="104" xfId="0" applyFont="1" applyBorder="1" applyAlignment="1">
      <alignment horizontal="center" vertical="top" wrapText="1"/>
    </xf>
    <xf numFmtId="0" fontId="73" fillId="0" borderId="109" xfId="0" applyFont="1" applyBorder="1" applyAlignment="1">
      <alignment horizontal="center" vertical="top" wrapText="1"/>
    </xf>
    <xf numFmtId="164" fontId="73" fillId="0" borderId="104" xfId="1" applyNumberFormat="1" applyFont="1" applyBorder="1" applyAlignment="1">
      <alignment horizontal="center" vertical="top" wrapText="1"/>
    </xf>
    <xf numFmtId="164" fontId="73" fillId="0" borderId="104" xfId="1" applyNumberFormat="1" applyFont="1" applyBorder="1" applyAlignment="1">
      <alignment vertical="top" wrapText="1"/>
    </xf>
    <xf numFmtId="0" fontId="64" fillId="0" borderId="104" xfId="0" applyFont="1" applyBorder="1"/>
    <xf numFmtId="164" fontId="68" fillId="0" borderId="104" xfId="1" applyNumberFormat="1" applyFont="1" applyBorder="1" applyAlignment="1">
      <alignment vertical="top" wrapText="1"/>
    </xf>
    <xf numFmtId="0" fontId="68" fillId="0" borderId="104" xfId="0" applyFont="1" applyBorder="1"/>
    <xf numFmtId="49" fontId="68" fillId="0" borderId="104" xfId="0" applyNumberFormat="1" applyFont="1" applyBorder="1" applyAlignment="1">
      <alignment horizontal="left" vertical="center" wrapText="1"/>
    </xf>
    <xf numFmtId="0" fontId="64" fillId="0" borderId="104" xfId="0" applyFont="1" applyBorder="1" applyAlignment="1">
      <alignment horizontal="center" vertical="top" wrapText="1"/>
    </xf>
    <xf numFmtId="164" fontId="64" fillId="0" borderId="104" xfId="1" applyNumberFormat="1" applyFont="1" applyBorder="1" applyAlignment="1">
      <alignment horizontal="center" vertical="center" wrapText="1"/>
    </xf>
    <xf numFmtId="0" fontId="64" fillId="0" borderId="104" xfId="0" applyFont="1" applyBorder="1" applyAlignment="1">
      <alignment horizontal="center" vertical="center" wrapText="1"/>
    </xf>
    <xf numFmtId="49" fontId="64" fillId="0" borderId="104" xfId="0" applyNumberFormat="1" applyFont="1" applyBorder="1" applyAlignment="1">
      <alignment horizontal="left" vertical="center" wrapText="1"/>
    </xf>
    <xf numFmtId="0" fontId="64" fillId="0" borderId="104" xfId="0" applyFont="1" applyBorder="1" applyAlignment="1">
      <alignment horizontal="center"/>
    </xf>
    <xf numFmtId="0" fontId="64" fillId="0" borderId="109" xfId="0" applyFont="1" applyBorder="1" applyAlignment="1">
      <alignment horizontal="center" vertical="top" wrapText="1"/>
    </xf>
    <xf numFmtId="164" fontId="64" fillId="0" borderId="109" xfId="1" applyNumberFormat="1" applyFont="1" applyBorder="1" applyAlignment="1">
      <alignment horizontal="center" vertical="center" wrapText="1"/>
    </xf>
    <xf numFmtId="164" fontId="64" fillId="0" borderId="104" xfId="1" applyNumberFormat="1" applyFont="1" applyBorder="1" applyAlignment="1">
      <alignment vertical="top" wrapText="1"/>
    </xf>
    <xf numFmtId="49" fontId="14" fillId="0" borderId="104" xfId="0" applyNumberFormat="1" applyFont="1" applyBorder="1" applyAlignment="1">
      <alignment horizontal="left" vertical="center" wrapText="1"/>
    </xf>
    <xf numFmtId="0" fontId="64" fillId="0" borderId="112" xfId="0" applyFont="1" applyBorder="1" applyAlignment="1">
      <alignment vertical="top" wrapText="1"/>
    </xf>
    <xf numFmtId="0" fontId="64" fillId="0" borderId="113" xfId="0" applyFont="1" applyBorder="1" applyAlignment="1">
      <alignment vertical="top" wrapText="1"/>
    </xf>
    <xf numFmtId="0" fontId="64" fillId="0" borderId="109" xfId="0" applyFont="1" applyBorder="1" applyAlignment="1">
      <alignment horizontal="center" vertical="center" wrapText="1"/>
    </xf>
    <xf numFmtId="0" fontId="64" fillId="0" borderId="104" xfId="0" applyFont="1" applyBorder="1" applyAlignment="1">
      <alignment vertical="top" wrapText="1"/>
    </xf>
    <xf numFmtId="0" fontId="64" fillId="0" borderId="110" xfId="0" applyFont="1" applyBorder="1" applyAlignment="1">
      <alignment horizontal="center"/>
    </xf>
    <xf numFmtId="164" fontId="64" fillId="0" borderId="109" xfId="1" applyNumberFormat="1" applyFont="1" applyBorder="1" applyAlignment="1">
      <alignment vertical="top" wrapText="1"/>
    </xf>
    <xf numFmtId="164" fontId="64" fillId="0" borderId="104" xfId="1" applyNumberFormat="1" applyFont="1" applyBorder="1" applyAlignment="1">
      <alignment vertical="center" wrapText="1"/>
    </xf>
    <xf numFmtId="0" fontId="64" fillId="0" borderId="104" xfId="0" applyFont="1" applyBorder="1" applyAlignment="1">
      <alignment vertical="center"/>
    </xf>
    <xf numFmtId="0" fontId="68" fillId="0" borderId="110" xfId="0" applyFont="1" applyBorder="1" applyAlignment="1">
      <alignment vertical="top" wrapText="1"/>
    </xf>
    <xf numFmtId="0" fontId="68" fillId="0" borderId="109" xfId="0" applyFont="1" applyBorder="1" applyAlignment="1">
      <alignment vertical="top" wrapText="1"/>
    </xf>
    <xf numFmtId="0" fontId="94" fillId="0" borderId="0" xfId="0" applyFont="1" applyAlignment="1">
      <alignment horizontal="center" vertical="top" wrapText="1"/>
    </xf>
    <xf numFmtId="0" fontId="96" fillId="0" borderId="0" xfId="0" applyFont="1" applyAlignment="1">
      <alignment vertical="top" wrapText="1"/>
    </xf>
    <xf numFmtId="0" fontId="97" fillId="0" borderId="0" xfId="0" applyFont="1" applyAlignment="1">
      <alignment vertical="top" wrapText="1"/>
    </xf>
    <xf numFmtId="164" fontId="97" fillId="0" borderId="0" xfId="1" applyNumberFormat="1" applyFont="1" applyAlignment="1">
      <alignment vertical="top" wrapText="1"/>
    </xf>
    <xf numFmtId="0" fontId="98" fillId="0" borderId="0" xfId="0" applyFont="1" applyAlignment="1">
      <alignment horizontal="center"/>
    </xf>
    <xf numFmtId="49" fontId="0" fillId="0" borderId="0" xfId="0" applyNumberFormat="1"/>
    <xf numFmtId="0" fontId="98" fillId="0" borderId="0" xfId="0" applyFont="1"/>
    <xf numFmtId="0" fontId="14" fillId="0" borderId="0" xfId="0" applyFont="1" applyAlignment="1">
      <alignment horizontal="right"/>
    </xf>
    <xf numFmtId="0" fontId="99" fillId="0" borderId="0" xfId="0" applyFont="1" applyAlignment="1">
      <alignment horizontal="center"/>
    </xf>
    <xf numFmtId="0" fontId="14" fillId="0" borderId="0" xfId="0" applyFont="1" applyAlignment="1">
      <alignment horizontal="left" vertical="distributed"/>
    </xf>
    <xf numFmtId="0" fontId="13" fillId="0" borderId="104" xfId="0" applyFont="1" applyBorder="1" applyAlignment="1">
      <alignment horizontal="center" vertical="top" wrapText="1"/>
    </xf>
    <xf numFmtId="0" fontId="66" fillId="0" borderId="104" xfId="0" applyFont="1" applyBorder="1" applyAlignment="1">
      <alignment horizontal="center" vertical="top" wrapText="1"/>
    </xf>
    <xf numFmtId="3" fontId="66" fillId="0" borderId="104" xfId="0" applyNumberFormat="1" applyFont="1" applyBorder="1" applyAlignment="1">
      <alignment horizontal="center" vertical="top" wrapText="1"/>
    </xf>
    <xf numFmtId="0" fontId="68" fillId="0" borderId="104" xfId="0" applyFont="1" applyBorder="1" applyAlignment="1">
      <alignment horizontal="center" vertical="top" wrapText="1"/>
    </xf>
    <xf numFmtId="0" fontId="69" fillId="0" borderId="104" xfId="0" applyFont="1" applyBorder="1"/>
    <xf numFmtId="0" fontId="12" fillId="0" borderId="104" xfId="0" applyFont="1" applyBorder="1" applyAlignment="1">
      <alignment horizontal="center" vertical="top" wrapText="1"/>
    </xf>
    <xf numFmtId="3" fontId="12" fillId="0" borderId="104" xfId="0" applyNumberFormat="1" applyFont="1" applyBorder="1" applyAlignment="1">
      <alignment horizontal="right" vertical="top" wrapText="1"/>
    </xf>
    <xf numFmtId="3" fontId="9" fillId="0" borderId="104" xfId="0" applyNumberFormat="1" applyFont="1" applyBorder="1" applyAlignment="1">
      <alignment horizontal="right" vertical="top" wrapText="1"/>
    </xf>
    <xf numFmtId="0" fontId="12" fillId="0" borderId="104" xfId="0" applyFont="1" applyBorder="1"/>
    <xf numFmtId="1" fontId="12" fillId="0" borderId="104" xfId="0" applyNumberFormat="1" applyFont="1" applyBorder="1" applyAlignment="1">
      <alignment horizontal="center" vertical="top" wrapText="1"/>
    </xf>
    <xf numFmtId="0" fontId="12" fillId="0" borderId="104" xfId="0" applyFont="1" applyBorder="1" applyAlignment="1">
      <alignment horizontal="right" vertical="center"/>
    </xf>
    <xf numFmtId="0" fontId="69" fillId="0" borderId="104" xfId="0" applyFont="1" applyBorder="1" applyAlignment="1">
      <alignment horizontal="center"/>
    </xf>
    <xf numFmtId="0" fontId="12" fillId="0" borderId="104" xfId="0" applyFont="1" applyBorder="1" applyAlignment="1">
      <alignment vertical="center"/>
    </xf>
    <xf numFmtId="0" fontId="64" fillId="0" borderId="104" xfId="0" applyFont="1" applyBorder="1" applyAlignment="1">
      <alignment horizontal="right"/>
    </xf>
    <xf numFmtId="0" fontId="70" fillId="0" borderId="104" xfId="0" applyFont="1" applyBorder="1"/>
    <xf numFmtId="0" fontId="12" fillId="0" borderId="104" xfId="0" applyFont="1" applyBorder="1" applyAlignment="1">
      <alignment horizontal="right"/>
    </xf>
    <xf numFmtId="0" fontId="12" fillId="0" borderId="104" xfId="0" applyFont="1" applyBorder="1" applyAlignment="1">
      <alignment horizontal="center" vertical="center" wrapText="1"/>
    </xf>
    <xf numFmtId="3" fontId="12" fillId="0" borderId="104" xfId="0" applyNumberFormat="1" applyFont="1" applyBorder="1" applyAlignment="1">
      <alignment horizontal="right" vertical="center" wrapText="1"/>
    </xf>
    <xf numFmtId="0" fontId="64" fillId="0" borderId="104" xfId="0" applyFont="1" applyBorder="1" applyAlignment="1">
      <alignment horizontal="right" vertical="center"/>
    </xf>
    <xf numFmtId="0" fontId="69" fillId="0" borderId="104" xfId="0" applyFont="1" applyBorder="1" applyAlignment="1">
      <alignment vertical="top" wrapText="1"/>
    </xf>
    <xf numFmtId="0" fontId="63" fillId="0" borderId="104" xfId="0" applyFont="1" applyBorder="1" applyAlignment="1">
      <alignment horizontal="right"/>
    </xf>
    <xf numFmtId="0" fontId="63" fillId="0" borderId="104" xfId="0" applyFont="1" applyBorder="1"/>
    <xf numFmtId="0" fontId="66" fillId="0" borderId="104" xfId="0" applyFont="1" applyBorder="1" applyAlignment="1">
      <alignment horizontal="justify" vertical="top" wrapText="1"/>
    </xf>
    <xf numFmtId="3" fontId="14" fillId="0" borderId="104" xfId="0" applyNumberFormat="1" applyFont="1" applyBorder="1" applyAlignment="1">
      <alignment horizontal="right" vertical="top" wrapText="1"/>
    </xf>
    <xf numFmtId="0" fontId="12" fillId="0" borderId="104" xfId="0" applyFont="1" applyBorder="1" applyAlignment="1">
      <alignment horizontal="right" vertical="top" wrapText="1"/>
    </xf>
    <xf numFmtId="3" fontId="0" fillId="0" borderId="115" xfId="0" applyNumberFormat="1" applyBorder="1"/>
    <xf numFmtId="0" fontId="0" fillId="0" borderId="115" xfId="0" applyBorder="1"/>
    <xf numFmtId="0" fontId="100" fillId="0" borderId="104" xfId="0" applyFont="1" applyBorder="1" applyAlignment="1">
      <alignment horizontal="center" wrapText="1"/>
    </xf>
    <xf numFmtId="0" fontId="24" fillId="0" borderId="104" xfId="0" applyFont="1" applyBorder="1" applyAlignment="1">
      <alignment horizontal="center"/>
    </xf>
    <xf numFmtId="0" fontId="24" fillId="0" borderId="104" xfId="0" applyFont="1" applyBorder="1" applyAlignment="1">
      <alignment horizontal="center" vertical="center" wrapText="1"/>
    </xf>
    <xf numFmtId="0" fontId="24" fillId="0" borderId="104" xfId="0" applyFont="1" applyBorder="1" applyAlignment="1">
      <alignment horizontal="center" vertical="center"/>
    </xf>
    <xf numFmtId="0" fontId="0" fillId="0" borderId="103" xfId="0" applyBorder="1" applyAlignment="1">
      <alignment horizontal="center"/>
    </xf>
    <xf numFmtId="0" fontId="0" fillId="0" borderId="109" xfId="0" applyBorder="1" applyAlignment="1">
      <alignment horizontal="center"/>
    </xf>
    <xf numFmtId="49" fontId="24" fillId="0" borderId="103" xfId="0" applyNumberFormat="1" applyFont="1" applyBorder="1" applyAlignment="1">
      <alignment vertical="top" wrapText="1"/>
    </xf>
    <xf numFmtId="0" fontId="0" fillId="0" borderId="107" xfId="0" applyBorder="1"/>
    <xf numFmtId="0" fontId="0" fillId="0" borderId="103" xfId="0" applyBorder="1"/>
    <xf numFmtId="3" fontId="24" fillId="0" borderId="104" xfId="0" applyNumberFormat="1" applyFont="1" applyBorder="1" applyAlignment="1">
      <alignment horizontal="right"/>
    </xf>
    <xf numFmtId="49" fontId="101" fillId="0" borderId="104" xfId="0" applyNumberFormat="1" applyFont="1" applyBorder="1" applyAlignment="1">
      <alignment horizontal="center" wrapText="1"/>
    </xf>
    <xf numFmtId="0" fontId="101" fillId="0" borderId="9" xfId="0" applyFont="1" applyBorder="1" applyAlignment="1">
      <alignment horizontal="center"/>
    </xf>
    <xf numFmtId="0" fontId="101" fillId="0" borderId="104" xfId="0" applyFont="1" applyBorder="1"/>
    <xf numFmtId="0" fontId="101" fillId="0" borderId="9" xfId="0" applyFont="1" applyBorder="1"/>
    <xf numFmtId="3" fontId="101" fillId="0" borderId="104" xfId="0" applyNumberFormat="1" applyFont="1" applyBorder="1"/>
    <xf numFmtId="0" fontId="101" fillId="0" borderId="104" xfId="0" applyFont="1" applyBorder="1" applyAlignment="1">
      <alignment horizontal="right"/>
    </xf>
    <xf numFmtId="3" fontId="14" fillId="5" borderId="104" xfId="0" applyNumberFormat="1" applyFont="1" applyFill="1" applyBorder="1"/>
    <xf numFmtId="0" fontId="101" fillId="0" borderId="116" xfId="0" applyFont="1" applyBorder="1"/>
    <xf numFmtId="49" fontId="102" fillId="0" borderId="104" xfId="0" applyNumberFormat="1" applyFont="1" applyBorder="1"/>
    <xf numFmtId="0" fontId="101" fillId="0" borderId="109" xfId="0" applyFont="1" applyBorder="1"/>
    <xf numFmtId="3" fontId="102" fillId="0" borderId="117" xfId="0" applyNumberFormat="1" applyFont="1" applyBorder="1"/>
    <xf numFmtId="0" fontId="101" fillId="0" borderId="110" xfId="0" applyFont="1" applyBorder="1"/>
    <xf numFmtId="0" fontId="101" fillId="0" borderId="116" xfId="0" applyFont="1" applyBorder="1" applyAlignment="1">
      <alignment wrapText="1"/>
    </xf>
    <xf numFmtId="0" fontId="103" fillId="0" borderId="104" xfId="0" applyFont="1" applyBorder="1" applyAlignment="1">
      <alignment horizontal="center"/>
    </xf>
    <xf numFmtId="0" fontId="102" fillId="0" borderId="104" xfId="0" applyFont="1" applyBorder="1"/>
    <xf numFmtId="3" fontId="14" fillId="0" borderId="104" xfId="0" applyNumberFormat="1" applyFont="1" applyBorder="1"/>
    <xf numFmtId="0" fontId="104" fillId="0" borderId="116" xfId="0" applyFont="1" applyBorder="1" applyAlignment="1">
      <alignment wrapText="1"/>
    </xf>
    <xf numFmtId="0" fontId="100" fillId="0" borderId="0" xfId="0" applyFont="1" applyAlignment="1">
      <alignment wrapText="1"/>
    </xf>
    <xf numFmtId="0" fontId="100" fillId="0" borderId="0" xfId="0" applyFont="1"/>
    <xf numFmtId="0" fontId="100" fillId="0" borderId="104" xfId="0" applyFont="1" applyBorder="1" applyAlignment="1">
      <alignment horizontal="center"/>
    </xf>
    <xf numFmtId="0" fontId="105" fillId="0" borderId="104" xfId="0" applyFont="1" applyBorder="1"/>
    <xf numFmtId="3" fontId="102" fillId="5" borderId="104" xfId="0" applyNumberFormat="1" applyFont="1" applyFill="1" applyBorder="1"/>
    <xf numFmtId="0" fontId="101" fillId="0" borderId="103" xfId="0" applyFont="1" applyBorder="1"/>
    <xf numFmtId="0" fontId="101" fillId="0" borderId="108" xfId="0" applyFont="1" applyBorder="1"/>
    <xf numFmtId="0" fontId="14" fillId="0" borderId="104" xfId="0" applyFont="1" applyBorder="1" applyAlignment="1">
      <alignment horizontal="left" wrapText="1"/>
    </xf>
    <xf numFmtId="0" fontId="101" fillId="0" borderId="104" xfId="0" applyFont="1" applyBorder="1" applyAlignment="1">
      <alignment horizontal="center" wrapText="1"/>
    </xf>
    <xf numFmtId="3" fontId="102" fillId="0" borderId="104" xfId="0" applyNumberFormat="1" applyFont="1" applyBorder="1"/>
    <xf numFmtId="0" fontId="101" fillId="0" borderId="104" xfId="0" applyFont="1" applyBorder="1" applyAlignment="1">
      <alignment horizontal="left" wrapText="1"/>
    </xf>
    <xf numFmtId="0" fontId="101" fillId="0" borderId="102" xfId="0" applyFont="1" applyBorder="1" applyAlignment="1">
      <alignment wrapText="1"/>
    </xf>
    <xf numFmtId="0" fontId="100" fillId="0" borderId="103" xfId="0" applyFont="1" applyBorder="1" applyAlignment="1">
      <alignment horizontal="center" wrapText="1"/>
    </xf>
    <xf numFmtId="0" fontId="101" fillId="0" borderId="104" xfId="0" applyFont="1" applyBorder="1" applyAlignment="1">
      <alignment wrapText="1"/>
    </xf>
    <xf numFmtId="0" fontId="103" fillId="0" borderId="118" xfId="0" applyFont="1" applyBorder="1" applyAlignment="1">
      <alignment horizontal="center" wrapText="1"/>
    </xf>
    <xf numFmtId="0" fontId="9" fillId="0" borderId="104" xfId="0" applyFont="1" applyBorder="1" applyAlignment="1">
      <alignment horizontal="left" wrapText="1"/>
    </xf>
    <xf numFmtId="0" fontId="9" fillId="0" borderId="104" xfId="0" applyFont="1" applyBorder="1" applyAlignment="1">
      <alignment wrapText="1"/>
    </xf>
    <xf numFmtId="0" fontId="9" fillId="0" borderId="104" xfId="0" applyFont="1" applyBorder="1"/>
    <xf numFmtId="3" fontId="9" fillId="0" borderId="104" xfId="0" applyNumberFormat="1" applyFont="1" applyBorder="1"/>
    <xf numFmtId="0" fontId="14" fillId="0" borderId="118" xfId="0" applyFont="1" applyBorder="1"/>
    <xf numFmtId="0" fontId="14" fillId="0" borderId="118" xfId="0" applyFont="1" applyBorder="1" applyAlignment="1">
      <alignment wrapText="1"/>
    </xf>
    <xf numFmtId="0" fontId="103" fillId="0" borderId="0" xfId="0" applyFont="1" applyAlignment="1">
      <alignment wrapText="1"/>
    </xf>
    <xf numFmtId="0" fontId="103" fillId="0" borderId="0" xfId="0" applyFont="1"/>
    <xf numFmtId="0" fontId="100" fillId="0" borderId="106" xfId="0" applyFont="1" applyBorder="1" applyAlignment="1">
      <alignment horizontal="center" wrapText="1"/>
    </xf>
    <xf numFmtId="0" fontId="101" fillId="0" borderId="118" xfId="0" applyFont="1" applyBorder="1"/>
    <xf numFmtId="0" fontId="103" fillId="0" borderId="106" xfId="0" applyFont="1" applyBorder="1" applyAlignment="1">
      <alignment horizontal="center" wrapText="1"/>
    </xf>
    <xf numFmtId="0" fontId="14" fillId="0" borderId="106" xfId="0" applyFont="1" applyBorder="1"/>
    <xf numFmtId="0" fontId="100" fillId="0" borderId="106" xfId="0" applyFont="1" applyBorder="1" applyAlignment="1">
      <alignment horizontal="center"/>
    </xf>
    <xf numFmtId="0" fontId="101" fillId="0" borderId="104" xfId="0" applyFont="1" applyBorder="1" applyAlignment="1">
      <alignment horizontal="center"/>
    </xf>
    <xf numFmtId="0" fontId="101" fillId="0" borderId="106" xfId="0" applyFont="1" applyBorder="1"/>
    <xf numFmtId="0" fontId="103" fillId="0" borderId="106" xfId="0" applyFont="1" applyBorder="1" applyAlignment="1">
      <alignment horizontal="center"/>
    </xf>
    <xf numFmtId="0" fontId="14" fillId="0" borderId="104" xfId="0" applyFont="1" applyBorder="1" applyAlignment="1">
      <alignment horizontal="center"/>
    </xf>
    <xf numFmtId="0" fontId="14" fillId="0" borderId="9" xfId="0" applyFont="1" applyBorder="1"/>
    <xf numFmtId="0" fontId="100" fillId="0" borderId="108" xfId="0" applyFont="1" applyBorder="1" applyAlignment="1">
      <alignment horizontal="center"/>
    </xf>
    <xf numFmtId="0" fontId="100" fillId="0" borderId="119" xfId="0" applyFont="1" applyBorder="1"/>
    <xf numFmtId="0" fontId="103" fillId="0" borderId="9" xfId="0" applyFont="1" applyBorder="1" applyAlignment="1">
      <alignment horizontal="center"/>
    </xf>
    <xf numFmtId="0" fontId="100" fillId="0" borderId="9" xfId="0" applyFont="1" applyBorder="1" applyAlignment="1">
      <alignment horizontal="center"/>
    </xf>
    <xf numFmtId="0" fontId="101" fillId="0" borderId="0" xfId="0" applyFont="1"/>
    <xf numFmtId="3" fontId="9" fillId="4" borderId="104" xfId="0" applyNumberFormat="1" applyFont="1" applyFill="1" applyBorder="1"/>
    <xf numFmtId="0" fontId="14" fillId="0" borderId="104" xfId="0" applyFont="1" applyBorder="1" applyAlignment="1">
      <alignment horizontal="center" vertical="center"/>
    </xf>
    <xf numFmtId="0" fontId="14" fillId="0" borderId="104" xfId="0" applyFont="1" applyBorder="1" applyAlignment="1">
      <alignment vertical="center"/>
    </xf>
    <xf numFmtId="0" fontId="106" fillId="0" borderId="102" xfId="0" applyFont="1" applyBorder="1" applyAlignment="1">
      <alignment horizontal="center"/>
    </xf>
    <xf numFmtId="0" fontId="102" fillId="0" borderId="102" xfId="0" applyFont="1" applyBorder="1"/>
    <xf numFmtId="0" fontId="101" fillId="0" borderId="102" xfId="0" applyFont="1" applyBorder="1"/>
    <xf numFmtId="3" fontId="14" fillId="0" borderId="103" xfId="0" applyNumberFormat="1" applyFont="1" applyBorder="1"/>
    <xf numFmtId="0" fontId="100" fillId="0" borderId="118" xfId="0" applyFont="1" applyBorder="1" applyAlignment="1">
      <alignment horizontal="center"/>
    </xf>
    <xf numFmtId="3" fontId="101" fillId="0" borderId="108" xfId="0" applyNumberFormat="1" applyFont="1" applyBorder="1"/>
    <xf numFmtId="0" fontId="100" fillId="0" borderId="120" xfId="0" applyFont="1" applyBorder="1" applyAlignment="1">
      <alignment horizontal="center"/>
    </xf>
    <xf numFmtId="0" fontId="100" fillId="0" borderId="116" xfId="0" applyFont="1" applyBorder="1" applyAlignment="1">
      <alignment horizontal="center"/>
    </xf>
    <xf numFmtId="0" fontId="100" fillId="0" borderId="102" xfId="0" applyFont="1" applyBorder="1" applyAlignment="1">
      <alignment horizontal="center"/>
    </xf>
    <xf numFmtId="0" fontId="100" fillId="0" borderId="103" xfId="0" applyFont="1" applyBorder="1" applyAlignment="1">
      <alignment horizontal="center"/>
    </xf>
    <xf numFmtId="0" fontId="101" fillId="0" borderId="6" xfId="0" applyFont="1" applyBorder="1"/>
    <xf numFmtId="0" fontId="100" fillId="0" borderId="104" xfId="0" applyFont="1" applyBorder="1"/>
    <xf numFmtId="3" fontId="103" fillId="0" borderId="104" xfId="0" applyNumberFormat="1" applyFont="1" applyBorder="1"/>
    <xf numFmtId="0" fontId="100" fillId="0" borderId="103" xfId="0" applyFont="1" applyBorder="1"/>
    <xf numFmtId="0" fontId="100" fillId="0" borderId="121" xfId="0" applyFont="1" applyBorder="1" applyAlignment="1">
      <alignment horizontal="center"/>
    </xf>
    <xf numFmtId="3" fontId="101" fillId="0" borderId="103" xfId="0" applyNumberFormat="1" applyFont="1" applyBorder="1"/>
    <xf numFmtId="3" fontId="101" fillId="0" borderId="0" xfId="0" applyNumberFormat="1" applyFont="1"/>
    <xf numFmtId="3" fontId="9" fillId="0" borderId="0" xfId="0" applyNumberFormat="1" applyFont="1"/>
    <xf numFmtId="0" fontId="100" fillId="0" borderId="0" xfId="0" applyFont="1" applyAlignment="1">
      <alignment horizontal="center"/>
    </xf>
    <xf numFmtId="0" fontId="24" fillId="0" borderId="0" xfId="0" applyFont="1" applyAlignment="1">
      <alignment horizontal="left"/>
    </xf>
    <xf numFmtId="3" fontId="14" fillId="0" borderId="0" xfId="0" applyNumberFormat="1" applyFont="1"/>
    <xf numFmtId="0" fontId="0" fillId="0" borderId="122" xfId="0" applyBorder="1"/>
    <xf numFmtId="3" fontId="102" fillId="0" borderId="109" xfId="0" applyNumberFormat="1" applyFont="1" applyBorder="1"/>
    <xf numFmtId="0" fontId="101" fillId="0" borderId="123" xfId="0" applyFont="1" applyBorder="1" applyAlignment="1">
      <alignment horizontal="left" wrapText="1"/>
    </xf>
    <xf numFmtId="0" fontId="101" fillId="0" borderId="104" xfId="0" applyFont="1" applyBorder="1" applyAlignment="1">
      <alignment horizontal="right" wrapText="1"/>
    </xf>
    <xf numFmtId="0" fontId="100" fillId="0" borderId="118" xfId="0" applyFont="1" applyBorder="1" applyAlignment="1">
      <alignment horizontal="center" wrapText="1"/>
    </xf>
    <xf numFmtId="0" fontId="101" fillId="0" borderId="118" xfId="0" applyFont="1" applyBorder="1" applyAlignment="1">
      <alignment wrapText="1"/>
    </xf>
    <xf numFmtId="0" fontId="101" fillId="0" borderId="104" xfId="0" applyFont="1" applyBorder="1" applyAlignment="1">
      <alignment horizontal="left" vertical="top" wrapText="1"/>
    </xf>
    <xf numFmtId="0" fontId="101" fillId="0" borderId="104" xfId="0" applyFont="1" applyBorder="1" applyAlignment="1">
      <alignment horizontal="left" vertical="center" wrapText="1"/>
    </xf>
    <xf numFmtId="0" fontId="101" fillId="0" borderId="102" xfId="0" applyFont="1" applyBorder="1" applyAlignment="1">
      <alignment vertical="center" wrapText="1"/>
    </xf>
    <xf numFmtId="0" fontId="101" fillId="0" borderId="104" xfId="0" applyFont="1" applyBorder="1" applyAlignment="1">
      <alignment horizontal="center" vertical="center" wrapText="1"/>
    </xf>
    <xf numFmtId="0" fontId="101" fillId="0" borderId="104" xfId="0" applyFont="1" applyBorder="1" applyAlignment="1">
      <alignment vertical="center"/>
    </xf>
    <xf numFmtId="3" fontId="101" fillId="0" borderId="104" xfId="0" applyNumberFormat="1" applyFont="1" applyBorder="1" applyAlignment="1">
      <alignment vertical="center"/>
    </xf>
    <xf numFmtId="0" fontId="101" fillId="0" borderId="107" xfId="0" applyFont="1" applyBorder="1" applyAlignment="1">
      <alignment horizontal="left" vertical="center" wrapText="1"/>
    </xf>
    <xf numFmtId="0" fontId="101" fillId="0" borderId="6" xfId="0" applyFont="1" applyBorder="1" applyAlignment="1">
      <alignment vertical="center"/>
    </xf>
    <xf numFmtId="0" fontId="101" fillId="0" borderId="124" xfId="0" applyFont="1" applyBorder="1" applyAlignment="1">
      <alignment vertical="top"/>
    </xf>
    <xf numFmtId="0" fontId="101" fillId="0" borderId="106" xfId="0" applyFont="1" applyBorder="1" applyAlignment="1">
      <alignment vertical="top"/>
    </xf>
    <xf numFmtId="0" fontId="101" fillId="0" borderId="103" xfId="0" applyFont="1" applyBorder="1" applyAlignment="1">
      <alignment horizontal="center"/>
    </xf>
    <xf numFmtId="0" fontId="101" fillId="0" borderId="116" xfId="0" applyFont="1" applyBorder="1" applyAlignment="1">
      <alignment vertical="top"/>
    </xf>
    <xf numFmtId="0" fontId="103" fillId="0" borderId="104" xfId="0" applyFont="1" applyBorder="1" applyAlignment="1">
      <alignment horizontal="center" vertical="center"/>
    </xf>
    <xf numFmtId="0" fontId="102" fillId="0" borderId="104" xfId="0" applyFont="1" applyBorder="1" applyAlignment="1">
      <alignment vertical="center"/>
    </xf>
    <xf numFmtId="0" fontId="100" fillId="0" borderId="118" xfId="0" applyFont="1" applyBorder="1"/>
    <xf numFmtId="3" fontId="102" fillId="0" borderId="102" xfId="0" applyNumberFormat="1" applyFont="1" applyBorder="1"/>
    <xf numFmtId="3" fontId="101" fillId="0" borderId="9" xfId="0" applyNumberFormat="1" applyFont="1" applyBorder="1"/>
    <xf numFmtId="0" fontId="103" fillId="0" borderId="9" xfId="0" applyFont="1" applyBorder="1"/>
    <xf numFmtId="0" fontId="103" fillId="0" borderId="108" xfId="0" applyFont="1" applyBorder="1"/>
    <xf numFmtId="3" fontId="103" fillId="0" borderId="108" xfId="0" applyNumberFormat="1" applyFont="1" applyBorder="1"/>
    <xf numFmtId="3" fontId="103" fillId="0" borderId="9" xfId="0" applyNumberFormat="1" applyFont="1" applyBorder="1"/>
    <xf numFmtId="0" fontId="103" fillId="0" borderId="104" xfId="0" applyFont="1" applyBorder="1"/>
    <xf numFmtId="3" fontId="100" fillId="0" borderId="104" xfId="0" applyNumberFormat="1" applyFont="1" applyBorder="1"/>
    <xf numFmtId="0" fontId="102" fillId="0" borderId="125" xfId="0" applyFont="1" applyBorder="1"/>
    <xf numFmtId="0" fontId="102" fillId="0" borderId="126" xfId="0" applyFont="1" applyBorder="1"/>
    <xf numFmtId="0" fontId="102" fillId="0" borderId="0" xfId="0" applyFont="1"/>
    <xf numFmtId="0" fontId="25" fillId="0" borderId="0" xfId="0" applyFont="1" applyAlignment="1">
      <alignment horizontal="center" vertical="center"/>
    </xf>
    <xf numFmtId="0" fontId="25" fillId="0" borderId="5" xfId="0" applyFont="1" applyBorder="1" applyAlignment="1">
      <alignment horizontal="center" vertical="center"/>
    </xf>
    <xf numFmtId="0" fontId="1" fillId="0" borderId="0" xfId="0" applyFont="1" applyAlignment="1">
      <alignment vertical="top"/>
    </xf>
    <xf numFmtId="3" fontId="12" fillId="0" borderId="100" xfId="2" applyNumberFormat="1" applyFont="1" applyBorder="1" applyAlignment="1">
      <alignment horizontal="right" vertical="center" wrapText="1"/>
    </xf>
    <xf numFmtId="3" fontId="1" fillId="0" borderId="0" xfId="0" applyNumberFormat="1" applyFont="1" applyAlignment="1">
      <alignment vertical="top"/>
    </xf>
    <xf numFmtId="0" fontId="21" fillId="0" borderId="100" xfId="0" applyFont="1" applyBorder="1" applyAlignment="1">
      <alignment horizontal="justify" vertical="center" wrapText="1" shrinkToFit="1"/>
    </xf>
    <xf numFmtId="0" fontId="21" fillId="0" borderId="100" xfId="0" applyFont="1" applyBorder="1" applyAlignment="1">
      <alignment horizontal="center" vertical="center" wrapText="1" shrinkToFit="1"/>
    </xf>
    <xf numFmtId="41" fontId="27" fillId="0" borderId="100" xfId="2" applyFont="1" applyBorder="1" applyAlignment="1">
      <alignment horizontal="right" vertical="center" wrapText="1" shrinkToFit="1"/>
    </xf>
    <xf numFmtId="0" fontId="21" fillId="0" borderId="104" xfId="0" applyFont="1" applyBorder="1" applyAlignment="1">
      <alignment horizontal="center" vertical="center" wrapText="1" shrinkToFit="1"/>
    </xf>
    <xf numFmtId="41" fontId="27" fillId="0" borderId="104" xfId="2" applyFont="1" applyBorder="1" applyAlignment="1">
      <alignment horizontal="right" vertical="center" wrapText="1" shrinkToFit="1"/>
    </xf>
    <xf numFmtId="0" fontId="21" fillId="0" borderId="104" xfId="0" applyFont="1" applyBorder="1" applyAlignment="1">
      <alignment horizontal="center" vertical="center"/>
    </xf>
    <xf numFmtId="3" fontId="27" fillId="0" borderId="100" xfId="0" applyNumberFormat="1" applyFont="1" applyBorder="1" applyAlignment="1">
      <alignment horizontal="right"/>
    </xf>
    <xf numFmtId="0" fontId="25" fillId="0" borderId="0" xfId="5" applyFont="1" applyAlignment="1">
      <alignment horizontal="center" vertical="center" wrapText="1"/>
    </xf>
    <xf numFmtId="0" fontId="25" fillId="0" borderId="0" xfId="5" applyFont="1" applyAlignment="1">
      <alignment vertical="center" wrapText="1"/>
    </xf>
    <xf numFmtId="0" fontId="25" fillId="0" borderId="0" xfId="5" applyFont="1" applyAlignment="1">
      <alignment horizontal="left" vertical="center" wrapText="1"/>
    </xf>
    <xf numFmtId="0" fontId="4" fillId="0" borderId="0" xfId="5"/>
    <xf numFmtId="0" fontId="14" fillId="0" borderId="0" xfId="5" applyFont="1" applyAlignment="1">
      <alignment horizontal="right" vertical="center"/>
    </xf>
    <xf numFmtId="0" fontId="18" fillId="0" borderId="0" xfId="5" applyFont="1" applyAlignment="1">
      <alignment vertical="center"/>
    </xf>
    <xf numFmtId="0" fontId="14" fillId="0" borderId="127" xfId="5" applyFont="1" applyBorder="1" applyAlignment="1">
      <alignment horizontal="center" vertical="center"/>
    </xf>
    <xf numFmtId="0" fontId="14" fillId="0" borderId="128" xfId="5" applyFont="1" applyBorder="1" applyAlignment="1">
      <alignment horizontal="center" vertical="center" wrapText="1"/>
    </xf>
    <xf numFmtId="0" fontId="14" fillId="0" borderId="129" xfId="5" applyFont="1" applyBorder="1" applyAlignment="1">
      <alignment horizontal="center" vertical="center" wrapText="1"/>
    </xf>
    <xf numFmtId="0" fontId="14" fillId="0" borderId="130" xfId="5" applyFont="1" applyBorder="1" applyAlignment="1">
      <alignment horizontal="center" vertical="center" wrapText="1"/>
    </xf>
    <xf numFmtId="0" fontId="9" fillId="0" borderId="131" xfId="5" applyFont="1" applyBorder="1" applyAlignment="1">
      <alignment horizontal="center" vertical="center" wrapText="1"/>
    </xf>
    <xf numFmtId="0" fontId="9" fillId="0" borderId="104" xfId="5" applyFont="1" applyBorder="1" applyAlignment="1">
      <alignment vertical="center" wrapText="1"/>
    </xf>
    <xf numFmtId="0" fontId="9" fillId="0" borderId="122" xfId="5" applyFont="1" applyBorder="1" applyAlignment="1">
      <alignment horizontal="center" vertical="center" wrapText="1"/>
    </xf>
    <xf numFmtId="0" fontId="9" fillId="0" borderId="104" xfId="5" applyFont="1" applyBorder="1" applyAlignment="1">
      <alignment horizontal="center" vertical="center" wrapText="1"/>
    </xf>
    <xf numFmtId="0" fontId="9" fillId="0" borderId="122" xfId="5" applyFont="1" applyBorder="1" applyAlignment="1">
      <alignment vertical="center" wrapText="1"/>
    </xf>
    <xf numFmtId="0" fontId="9" fillId="0" borderId="132" xfId="5" applyFont="1" applyBorder="1" applyAlignment="1">
      <alignment horizontal="center" vertical="center" wrapText="1"/>
    </xf>
    <xf numFmtId="0" fontId="4" fillId="0" borderId="0" xfId="5" applyAlignment="1">
      <alignment wrapText="1"/>
    </xf>
    <xf numFmtId="0" fontId="9" fillId="0" borderId="133" xfId="5" applyFont="1" applyBorder="1" applyAlignment="1">
      <alignment horizontal="center" vertical="center" wrapText="1"/>
    </xf>
    <xf numFmtId="0" fontId="9" fillId="0" borderId="104" xfId="5" applyFont="1" applyBorder="1" applyAlignment="1">
      <alignment horizontal="left" vertical="center" wrapText="1"/>
    </xf>
    <xf numFmtId="0" fontId="9" fillId="0" borderId="134" xfId="5" quotePrefix="1" applyFont="1" applyBorder="1" applyAlignment="1">
      <alignment horizontal="center" vertical="center" wrapText="1"/>
    </xf>
    <xf numFmtId="0" fontId="9" fillId="0" borderId="135" xfId="5" applyFont="1" applyBorder="1" applyAlignment="1">
      <alignment horizontal="center" vertical="center"/>
    </xf>
    <xf numFmtId="0" fontId="14" fillId="0" borderId="136" xfId="5" applyFont="1" applyBorder="1" applyAlignment="1">
      <alignment horizontal="center" vertical="center" wrapText="1"/>
    </xf>
    <xf numFmtId="0" fontId="17" fillId="0" borderId="0" xfId="5" applyFont="1" applyAlignment="1">
      <alignment wrapText="1"/>
    </xf>
    <xf numFmtId="0" fontId="6" fillId="0" borderId="0" xfId="5" applyFont="1" applyAlignment="1">
      <alignment wrapText="1"/>
    </xf>
    <xf numFmtId="3" fontId="13" fillId="0" borderId="83" xfId="0" applyNumberFormat="1" applyFont="1" applyBorder="1" applyAlignment="1">
      <alignment horizontal="right" vertical="top" wrapText="1"/>
    </xf>
    <xf numFmtId="0" fontId="12" fillId="0" borderId="140" xfId="0" applyFont="1" applyBorder="1" applyAlignment="1">
      <alignment horizontal="center" vertical="top" wrapText="1"/>
    </xf>
    <xf numFmtId="0" fontId="12" fillId="0" borderId="140" xfId="0" applyFont="1" applyBorder="1" applyAlignment="1">
      <alignment horizontal="justify" vertical="top" wrapText="1"/>
    </xf>
    <xf numFmtId="3" fontId="12" fillId="0" borderId="140" xfId="0" applyNumberFormat="1" applyFont="1" applyBorder="1" applyAlignment="1">
      <alignment vertical="top" wrapText="1"/>
    </xf>
    <xf numFmtId="9" fontId="13" fillId="0" borderId="140" xfId="0" applyNumberFormat="1" applyFont="1" applyBorder="1" applyAlignment="1">
      <alignment vertical="top"/>
    </xf>
    <xf numFmtId="0" fontId="48" fillId="0" borderId="141" xfId="0" applyFont="1" applyBorder="1" applyAlignment="1">
      <alignment horizontal="center" vertical="top" wrapText="1"/>
    </xf>
    <xf numFmtId="0" fontId="48" fillId="0" borderId="142" xfId="0" applyFont="1" applyBorder="1" applyAlignment="1">
      <alignment horizontal="justify" vertical="top" wrapText="1"/>
    </xf>
    <xf numFmtId="41" fontId="13" fillId="0" borderId="142" xfId="0" applyNumberFormat="1" applyFont="1" applyBorder="1" applyAlignment="1">
      <alignment vertical="top" wrapText="1"/>
    </xf>
    <xf numFmtId="0" fontId="47" fillId="0" borderId="143" xfId="0" applyFont="1" applyBorder="1" applyAlignment="1">
      <alignment vertical="top"/>
    </xf>
    <xf numFmtId="0" fontId="12" fillId="0" borderId="140" xfId="0" applyFont="1" applyBorder="1" applyAlignment="1">
      <alignment vertical="top"/>
    </xf>
    <xf numFmtId="0" fontId="12" fillId="0" borderId="118" xfId="0" applyFont="1" applyBorder="1" applyAlignment="1">
      <alignment horizontal="justify" vertical="top" wrapText="1"/>
    </xf>
    <xf numFmtId="3" fontId="12" fillId="0" borderId="118" xfId="0" applyNumberFormat="1" applyFont="1" applyBorder="1" applyAlignment="1">
      <alignment vertical="top" wrapText="1"/>
    </xf>
    <xf numFmtId="0" fontId="12" fillId="0" borderId="118" xfId="0" applyFont="1" applyBorder="1" applyAlignment="1">
      <alignment vertical="top"/>
    </xf>
    <xf numFmtId="3" fontId="13" fillId="0" borderId="31" xfId="0" applyNumberFormat="1" applyFont="1" applyBorder="1" applyAlignment="1">
      <alignment vertical="top" wrapText="1"/>
    </xf>
    <xf numFmtId="0" fontId="24" fillId="0" borderId="140" xfId="0" applyFont="1" applyBorder="1" applyAlignment="1">
      <alignment horizontal="center" vertical="center"/>
    </xf>
    <xf numFmtId="0" fontId="24" fillId="0" borderId="140" xfId="0" applyFont="1" applyBorder="1" applyAlignment="1">
      <alignment horizontal="center" vertical="center" wrapText="1"/>
    </xf>
    <xf numFmtId="0" fontId="24" fillId="0" borderId="79" xfId="0" applyFont="1" applyBorder="1" applyAlignment="1">
      <alignment horizontal="center" vertical="center"/>
    </xf>
    <xf numFmtId="0" fontId="24" fillId="0" borderId="79" xfId="0" applyFont="1" applyBorder="1" applyAlignment="1">
      <alignment vertical="center"/>
    </xf>
    <xf numFmtId="0" fontId="24" fillId="0" borderId="79" xfId="0" applyFont="1" applyBorder="1" applyAlignment="1">
      <alignment vertical="center" wrapText="1"/>
    </xf>
    <xf numFmtId="0" fontId="25" fillId="0" borderId="79" xfId="0" applyFont="1" applyBorder="1" applyAlignment="1">
      <alignment horizontal="center" vertical="center" wrapText="1"/>
    </xf>
    <xf numFmtId="0" fontId="25" fillId="0" borderId="79" xfId="0" applyFont="1" applyBorder="1" applyAlignment="1">
      <alignment vertical="center"/>
    </xf>
    <xf numFmtId="164" fontId="9" fillId="0" borderId="0" xfId="1" applyNumberFormat="1" applyFont="1" applyAlignment="1">
      <alignment vertical="top"/>
    </xf>
    <xf numFmtId="0" fontId="25" fillId="0" borderId="144" xfId="0" applyFont="1" applyBorder="1" applyAlignment="1">
      <alignment horizontal="center" vertical="center" wrapText="1"/>
    </xf>
    <xf numFmtId="164" fontId="25" fillId="0" borderId="79" xfId="1" applyNumberFormat="1" applyFont="1" applyBorder="1" applyAlignment="1">
      <alignment horizontal="center" vertical="center"/>
    </xf>
    <xf numFmtId="164" fontId="25" fillId="0" borderId="5" xfId="1" applyNumberFormat="1" applyFont="1" applyBorder="1" applyAlignment="1">
      <alignment horizontal="center" vertical="center"/>
    </xf>
    <xf numFmtId="164" fontId="24" fillId="0" borderId="7" xfId="0" applyNumberFormat="1" applyFont="1" applyBorder="1" applyAlignment="1">
      <alignment vertical="center"/>
    </xf>
    <xf numFmtId="3" fontId="25" fillId="0" borderId="0" xfId="4" applyNumberFormat="1" applyFont="1"/>
    <xf numFmtId="0" fontId="25" fillId="0" borderId="0" xfId="4" applyFont="1"/>
    <xf numFmtId="0" fontId="24" fillId="0" borderId="0" xfId="4" applyFont="1" applyAlignment="1">
      <alignment horizontal="right"/>
    </xf>
    <xf numFmtId="0" fontId="24" fillId="0" borderId="140" xfId="4" applyFont="1" applyBorder="1" applyAlignment="1">
      <alignment horizontal="center" vertical="center" wrapText="1"/>
    </xf>
    <xf numFmtId="3" fontId="24" fillId="0" borderId="140" xfId="4" applyNumberFormat="1" applyFont="1" applyBorder="1" applyAlignment="1">
      <alignment horizontal="center" vertical="center" wrapText="1"/>
    </xf>
    <xf numFmtId="0" fontId="24" fillId="0" borderId="0" xfId="4" applyFont="1"/>
    <xf numFmtId="0" fontId="19" fillId="0" borderId="140" xfId="4" applyBorder="1" applyAlignment="1">
      <alignment horizontal="center"/>
    </xf>
    <xf numFmtId="3" fontId="25" fillId="0" borderId="140" xfId="4" applyNumberFormat="1" applyFont="1" applyBorder="1"/>
    <xf numFmtId="3" fontId="21" fillId="0" borderId="140" xfId="4" applyNumberFormat="1" applyFont="1" applyBorder="1"/>
    <xf numFmtId="0" fontId="19" fillId="0" borderId="0" xfId="4"/>
    <xf numFmtId="3" fontId="24" fillId="0" borderId="140" xfId="4" applyNumberFormat="1" applyFont="1" applyBorder="1"/>
    <xf numFmtId="0" fontId="20" fillId="0" borderId="0" xfId="4" applyFont="1"/>
    <xf numFmtId="0" fontId="19" fillId="0" borderId="0" xfId="4" applyAlignment="1">
      <alignment horizontal="center"/>
    </xf>
    <xf numFmtId="3" fontId="19" fillId="0" borderId="0" xfId="4" applyNumberFormat="1"/>
    <xf numFmtId="0" fontId="19" fillId="5" borderId="140" xfId="4" applyFill="1" applyBorder="1" applyAlignment="1">
      <alignment horizontal="center"/>
    </xf>
    <xf numFmtId="3" fontId="25" fillId="5" borderId="140" xfId="4" applyNumberFormat="1" applyFont="1" applyFill="1" applyBorder="1"/>
    <xf numFmtId="0" fontId="25" fillId="0" borderId="147" xfId="0" applyFont="1" applyBorder="1" applyAlignment="1">
      <alignment vertical="center" wrapText="1"/>
    </xf>
    <xf numFmtId="0" fontId="6" fillId="0" borderId="74" xfId="0" applyFont="1" applyBorder="1" applyAlignment="1">
      <alignment vertical="center" wrapText="1"/>
    </xf>
    <xf numFmtId="0" fontId="9" fillId="0" borderId="148" xfId="5" applyFont="1" applyBorder="1" applyAlignment="1">
      <alignment horizontal="center" vertical="center" wrapText="1"/>
    </xf>
    <xf numFmtId="0" fontId="9" fillId="0" borderId="149" xfId="5" applyFont="1" applyBorder="1" applyAlignment="1">
      <alignment vertical="center" wrapText="1"/>
    </xf>
    <xf numFmtId="0" fontId="9" fillId="0" borderId="150" xfId="5" applyFont="1" applyBorder="1" applyAlignment="1">
      <alignment horizontal="left" vertical="center" wrapText="1"/>
    </xf>
    <xf numFmtId="0" fontId="9" fillId="0" borderId="151" xfId="5" applyFont="1" applyBorder="1" applyAlignment="1">
      <alignment horizontal="center" vertical="center" wrapText="1"/>
    </xf>
    <xf numFmtId="0" fontId="9" fillId="0" borderId="151" xfId="5" applyFont="1" applyBorder="1" applyAlignment="1">
      <alignment vertical="center" wrapText="1"/>
    </xf>
    <xf numFmtId="0" fontId="9" fillId="0" borderId="0" xfId="5" applyFont="1" applyAlignment="1">
      <alignment vertical="center" wrapText="1"/>
    </xf>
    <xf numFmtId="0" fontId="9" fillId="0" borderId="152" xfId="5" quotePrefix="1" applyFont="1" applyBorder="1" applyAlignment="1">
      <alignment horizontal="center" vertical="center" wrapText="1"/>
    </xf>
    <xf numFmtId="164" fontId="6" fillId="0" borderId="74" xfId="0" applyNumberFormat="1" applyFont="1" applyBorder="1" applyAlignment="1">
      <alignment horizontal="center" vertical="center" wrapText="1"/>
    </xf>
    <xf numFmtId="0" fontId="39" fillId="0" borderId="0" xfId="0" applyFont="1" applyAlignment="1">
      <alignment vertical="center"/>
    </xf>
    <xf numFmtId="0" fontId="22" fillId="0" borderId="0" xfId="0" applyFont="1" applyAlignment="1">
      <alignment horizontal="center" wrapText="1"/>
    </xf>
    <xf numFmtId="0" fontId="27" fillId="4" borderId="0" xfId="0" applyFont="1" applyFill="1" applyAlignment="1">
      <alignment wrapText="1"/>
    </xf>
    <xf numFmtId="0" fontId="22" fillId="0" borderId="0" xfId="0" applyFont="1" applyAlignment="1">
      <alignment horizontal="center" vertical="center"/>
    </xf>
    <xf numFmtId="0" fontId="27" fillId="0" borderId="0" xfId="0" applyFont="1" applyAlignment="1">
      <alignment horizontal="center"/>
    </xf>
    <xf numFmtId="0" fontId="22" fillId="0" borderId="0" xfId="0" applyFont="1" applyAlignment="1">
      <alignment horizontal="center"/>
    </xf>
    <xf numFmtId="0" fontId="23" fillId="0" borderId="0" xfId="0" applyFont="1" applyAlignment="1">
      <alignment horizontal="center"/>
    </xf>
    <xf numFmtId="0" fontId="23" fillId="0" borderId="0" xfId="0" applyFont="1" applyAlignment="1">
      <alignment horizontal="right"/>
    </xf>
    <xf numFmtId="0" fontId="22" fillId="0" borderId="0" xfId="0" applyFont="1" applyAlignment="1">
      <alignment horizontal="center" vertical="center" wrapText="1"/>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164" fontId="22" fillId="0" borderId="39" xfId="1" applyNumberFormat="1" applyFont="1" applyFill="1" applyBorder="1" applyAlignment="1">
      <alignment horizontal="center" vertical="center" wrapText="1"/>
    </xf>
    <xf numFmtId="164" fontId="22" fillId="0" borderId="14" xfId="1" applyNumberFormat="1" applyFont="1" applyFill="1" applyBorder="1" applyAlignment="1">
      <alignment horizontal="center" vertical="center" wrapText="1"/>
    </xf>
    <xf numFmtId="0" fontId="21" fillId="0" borderId="60" xfId="0" applyFont="1" applyBorder="1" applyAlignment="1">
      <alignment horizontal="center" vertical="center" wrapText="1"/>
    </xf>
    <xf numFmtId="165" fontId="21" fillId="0" borderId="0" xfId="0" applyNumberFormat="1" applyFont="1" applyAlignment="1">
      <alignment horizontal="left" wrapText="1"/>
    </xf>
    <xf numFmtId="165" fontId="21" fillId="0" borderId="60" xfId="0" applyNumberFormat="1" applyFont="1" applyBorder="1" applyAlignment="1">
      <alignment horizontal="left" wrapText="1"/>
    </xf>
    <xf numFmtId="0" fontId="21" fillId="0" borderId="56" xfId="0" applyFont="1" applyBorder="1" applyAlignment="1">
      <alignment horizontal="center"/>
    </xf>
    <xf numFmtId="0" fontId="23" fillId="0" borderId="0" xfId="0" applyFont="1" applyAlignment="1">
      <alignment horizontal="right" wrapText="1"/>
    </xf>
    <xf numFmtId="0" fontId="22" fillId="0" borderId="0" xfId="0" applyFont="1" applyAlignment="1">
      <alignment horizontal="left" wrapText="1"/>
    </xf>
    <xf numFmtId="0" fontId="21" fillId="0" borderId="0" xfId="0" applyFont="1" applyAlignment="1">
      <alignment horizontal="left" wrapText="1"/>
    </xf>
    <xf numFmtId="164" fontId="51" fillId="0" borderId="38" xfId="1" applyNumberFormat="1" applyFont="1" applyFill="1" applyBorder="1" applyAlignment="1">
      <alignment horizontal="center" vertical="center" wrapText="1"/>
    </xf>
    <xf numFmtId="164" fontId="51" fillId="0" borderId="9" xfId="1" applyNumberFormat="1" applyFont="1" applyFill="1" applyBorder="1" applyAlignment="1">
      <alignment horizontal="center" vertical="center" wrapText="1"/>
    </xf>
    <xf numFmtId="164" fontId="22" fillId="0" borderId="80" xfId="1" applyNumberFormat="1" applyFont="1" applyFill="1" applyBorder="1" applyAlignment="1">
      <alignment horizontal="center" vertical="center" wrapText="1"/>
    </xf>
    <xf numFmtId="164" fontId="22" fillId="0" borderId="50" xfId="1" applyNumberFormat="1" applyFont="1" applyFill="1" applyBorder="1" applyAlignment="1">
      <alignment horizontal="center" vertical="center" wrapText="1"/>
    </xf>
    <xf numFmtId="164" fontId="22" fillId="0" borderId="81" xfId="1" applyNumberFormat="1" applyFont="1" applyFill="1" applyBorder="1" applyAlignment="1">
      <alignment horizontal="center" vertical="center" wrapText="1"/>
    </xf>
    <xf numFmtId="0" fontId="21" fillId="0" borderId="0" xfId="0" applyFont="1" applyAlignment="1">
      <alignment horizontal="center"/>
    </xf>
    <xf numFmtId="0" fontId="24" fillId="0" borderId="0" xfId="0" applyFont="1" applyAlignment="1">
      <alignment horizontal="center" vertical="center"/>
    </xf>
    <xf numFmtId="164" fontId="22" fillId="0" borderId="37" xfId="1" applyNumberFormat="1" applyFont="1" applyFill="1" applyBorder="1" applyAlignment="1">
      <alignment horizontal="center" vertical="center" wrapText="1"/>
    </xf>
    <xf numFmtId="164" fontId="22" fillId="0" borderId="13" xfId="1" applyNumberFormat="1" applyFont="1" applyFill="1" applyBorder="1" applyAlignment="1">
      <alignment horizontal="center" vertical="center" wrapText="1"/>
    </xf>
    <xf numFmtId="0" fontId="7" fillId="0" borderId="0" xfId="0" applyFont="1" applyAlignment="1">
      <alignment horizontal="left" wrapText="1"/>
    </xf>
    <xf numFmtId="164" fontId="22" fillId="0" borderId="55" xfId="1" applyNumberFormat="1" applyFont="1" applyFill="1" applyBorder="1" applyAlignment="1">
      <alignment horizontal="center" vertical="top" wrapText="1"/>
    </xf>
    <xf numFmtId="164" fontId="22" fillId="0" borderId="9" xfId="1" applyNumberFormat="1" applyFont="1" applyFill="1" applyBorder="1" applyAlignment="1">
      <alignment horizontal="center" vertical="top" wrapText="1"/>
    </xf>
    <xf numFmtId="164" fontId="22" fillId="0" borderId="58" xfId="1" applyNumberFormat="1" applyFont="1" applyFill="1" applyBorder="1" applyAlignment="1">
      <alignment horizontal="center" vertical="top" wrapText="1"/>
    </xf>
    <xf numFmtId="164" fontId="22" fillId="0" borderId="56" xfId="1" applyNumberFormat="1" applyFont="1" applyFill="1" applyBorder="1" applyAlignment="1">
      <alignment horizontal="center" vertical="top" wrapText="1"/>
    </xf>
    <xf numFmtId="164" fontId="22" fillId="0" borderId="57" xfId="1" applyNumberFormat="1" applyFont="1" applyFill="1" applyBorder="1" applyAlignment="1">
      <alignment horizontal="center" vertical="top" wrapText="1"/>
    </xf>
    <xf numFmtId="164" fontId="22" fillId="0" borderId="55" xfId="1" applyNumberFormat="1" applyFont="1" applyFill="1" applyBorder="1" applyAlignment="1">
      <alignment vertical="center" wrapText="1"/>
    </xf>
    <xf numFmtId="164" fontId="22" fillId="0" borderId="9" xfId="1" applyNumberFormat="1" applyFont="1" applyFill="1" applyBorder="1" applyAlignment="1">
      <alignment vertical="center" wrapText="1"/>
    </xf>
    <xf numFmtId="0" fontId="5" fillId="0" borderId="0" xfId="0" applyFont="1" applyAlignment="1">
      <alignment horizontal="left" wrapText="1"/>
    </xf>
    <xf numFmtId="165" fontId="5" fillId="0" borderId="0" xfId="0" applyNumberFormat="1" applyFont="1" applyAlignment="1">
      <alignment horizontal="left" wrapText="1"/>
    </xf>
    <xf numFmtId="0" fontId="6" fillId="0" borderId="0" xfId="0" applyFont="1" applyAlignment="1">
      <alignment horizontal="center" wrapText="1"/>
    </xf>
    <xf numFmtId="164" fontId="6" fillId="0" borderId="55" xfId="1" applyNumberFormat="1" applyFont="1" applyFill="1" applyBorder="1" applyAlignment="1">
      <alignment horizontal="center" vertical="top" wrapText="1"/>
    </xf>
    <xf numFmtId="164" fontId="6" fillId="0" borderId="9" xfId="1" applyNumberFormat="1" applyFont="1" applyFill="1" applyBorder="1" applyAlignment="1">
      <alignment horizontal="center" vertical="top" wrapText="1"/>
    </xf>
    <xf numFmtId="0" fontId="5" fillId="0" borderId="60" xfId="0" applyFont="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left" wrapText="1"/>
    </xf>
    <xf numFmtId="164" fontId="6" fillId="0" borderId="58" xfId="1" applyNumberFormat="1" applyFont="1" applyFill="1" applyBorder="1" applyAlignment="1">
      <alignment horizontal="center" vertical="top" wrapText="1"/>
    </xf>
    <xf numFmtId="164" fontId="6" fillId="0" borderId="56" xfId="1" applyNumberFormat="1" applyFont="1" applyFill="1" applyBorder="1" applyAlignment="1">
      <alignment horizontal="center" vertical="top" wrapText="1"/>
    </xf>
    <xf numFmtId="164" fontId="6" fillId="0" borderId="57" xfId="1" applyNumberFormat="1" applyFont="1" applyFill="1" applyBorder="1" applyAlignment="1">
      <alignment horizontal="center" vertical="top" wrapText="1"/>
    </xf>
    <xf numFmtId="0" fontId="5" fillId="0" borderId="56" xfId="0" applyFont="1" applyBorder="1" applyAlignment="1">
      <alignment horizontal="center"/>
    </xf>
    <xf numFmtId="0" fontId="35" fillId="0" borderId="0" xfId="0" applyFont="1" applyAlignment="1">
      <alignment horizontal="right" wrapText="1"/>
    </xf>
    <xf numFmtId="165" fontId="5" fillId="0" borderId="60" xfId="0" applyNumberFormat="1" applyFont="1" applyBorder="1" applyAlignment="1">
      <alignment horizontal="left" wrapText="1"/>
    </xf>
    <xf numFmtId="0" fontId="5" fillId="0" borderId="0" xfId="0" applyFont="1" applyAlignment="1">
      <alignment horizontal="center"/>
    </xf>
    <xf numFmtId="0" fontId="6" fillId="0" borderId="0" xfId="0" applyFont="1" applyAlignment="1">
      <alignment horizontal="center"/>
    </xf>
    <xf numFmtId="0" fontId="6" fillId="0" borderId="0" xfId="0" applyFont="1" applyAlignment="1">
      <alignment horizontal="center" vertical="center"/>
    </xf>
    <xf numFmtId="164" fontId="6" fillId="0" borderId="55" xfId="1" applyNumberFormat="1" applyFont="1" applyFill="1" applyBorder="1" applyAlignment="1">
      <alignment vertical="center" wrapText="1"/>
    </xf>
    <xf numFmtId="164" fontId="6" fillId="0" borderId="9" xfId="1" applyNumberFormat="1" applyFont="1" applyFill="1" applyBorder="1" applyAlignment="1">
      <alignment vertical="center" wrapText="1"/>
    </xf>
    <xf numFmtId="0" fontId="30" fillId="0" borderId="0" xfId="0" applyFont="1" applyAlignment="1">
      <alignment horizontal="right"/>
    </xf>
    <xf numFmtId="164" fontId="24" fillId="0" borderId="62" xfId="1" applyNumberFormat="1" applyFont="1" applyBorder="1" applyAlignment="1">
      <alignment horizontal="center" vertical="center" wrapText="1"/>
    </xf>
    <xf numFmtId="164" fontId="24" fillId="0" borderId="64" xfId="1" applyNumberFormat="1" applyFont="1" applyBorder="1" applyAlignment="1">
      <alignment horizontal="center" vertical="center" wrapText="1"/>
    </xf>
    <xf numFmtId="164" fontId="24" fillId="0" borderId="63" xfId="1" applyNumberFormat="1" applyFont="1" applyBorder="1" applyAlignment="1">
      <alignment horizontal="center" vertical="center" wrapText="1"/>
    </xf>
    <xf numFmtId="164" fontId="24" fillId="0" borderId="9" xfId="1" applyNumberFormat="1" applyFont="1" applyBorder="1" applyAlignment="1">
      <alignment horizontal="center" vertical="center" wrapText="1"/>
    </xf>
    <xf numFmtId="0" fontId="9"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center"/>
    </xf>
    <xf numFmtId="0" fontId="54" fillId="0" borderId="72" xfId="0" applyFont="1" applyBorder="1" applyAlignment="1">
      <alignment horizontal="center" vertical="center" wrapText="1"/>
    </xf>
    <xf numFmtId="0" fontId="54" fillId="0" borderId="71" xfId="0" applyFont="1" applyBorder="1" applyAlignment="1">
      <alignment horizontal="center" vertical="center" wrapText="1"/>
    </xf>
    <xf numFmtId="0" fontId="10" fillId="0" borderId="0" xfId="0" applyFont="1" applyAlignment="1">
      <alignment horizontal="left" wrapText="1"/>
    </xf>
    <xf numFmtId="164" fontId="22" fillId="0" borderId="39" xfId="1" applyNumberFormat="1" applyFont="1" applyBorder="1" applyAlignment="1">
      <alignment horizontal="center" vertical="center" wrapText="1"/>
    </xf>
    <xf numFmtId="164" fontId="22" fillId="0" borderId="14" xfId="1" applyNumberFormat="1" applyFont="1" applyBorder="1" applyAlignment="1">
      <alignment horizontal="center" vertical="center" wrapText="1"/>
    </xf>
    <xf numFmtId="0" fontId="33" fillId="0" borderId="51" xfId="0" applyFont="1" applyBorder="1" applyAlignment="1">
      <alignment horizontal="center" vertical="center" wrapText="1"/>
    </xf>
    <xf numFmtId="0" fontId="33" fillId="0" borderId="33" xfId="0" applyFont="1" applyBorder="1" applyAlignment="1">
      <alignment horizontal="center" vertical="center" wrapText="1"/>
    </xf>
    <xf numFmtId="0" fontId="23" fillId="0" borderId="50" xfId="0" applyFont="1" applyBorder="1" applyAlignment="1">
      <alignment horizontal="right"/>
    </xf>
    <xf numFmtId="164" fontId="22" fillId="0" borderId="37" xfId="1" applyNumberFormat="1" applyFont="1" applyBorder="1" applyAlignment="1">
      <alignment horizontal="center" vertical="center" wrapText="1"/>
    </xf>
    <xf numFmtId="164" fontId="22" fillId="0" borderId="44" xfId="1" applyNumberFormat="1"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0" fontId="12" fillId="0" borderId="0" xfId="0" applyFont="1" applyAlignment="1">
      <alignment horizontal="center"/>
    </xf>
    <xf numFmtId="0" fontId="5" fillId="0" borderId="0" xfId="0" applyFont="1" applyAlignment="1">
      <alignment horizontal="left" vertical="center" wrapText="1"/>
    </xf>
    <xf numFmtId="0" fontId="35" fillId="0" borderId="0" xfId="0" applyFont="1" applyAlignment="1">
      <alignment horizontal="right" vertical="center" wrapText="1"/>
    </xf>
    <xf numFmtId="0" fontId="13" fillId="0" borderId="0" xfId="0" applyFont="1" applyAlignment="1">
      <alignment horizontal="left" vertical="center" wrapText="1"/>
    </xf>
    <xf numFmtId="0" fontId="6" fillId="0" borderId="76" xfId="0" applyFont="1" applyBorder="1" applyAlignment="1">
      <alignment horizontal="left" vertical="top" wrapText="1"/>
    </xf>
    <xf numFmtId="0" fontId="6" fillId="0" borderId="78" xfId="0" applyFont="1" applyBorder="1" applyAlignment="1">
      <alignment horizontal="left" vertical="top" wrapText="1"/>
    </xf>
    <xf numFmtId="0" fontId="6" fillId="0" borderId="77" xfId="0" applyFont="1" applyBorder="1" applyAlignment="1">
      <alignment horizontal="left" vertical="top" wrapText="1"/>
    </xf>
    <xf numFmtId="0" fontId="12" fillId="0" borderId="0" xfId="0" applyFont="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6" fillId="0" borderId="0" xfId="0" applyFont="1" applyAlignment="1">
      <alignment horizontal="left" vertical="center" wrapText="1"/>
    </xf>
    <xf numFmtId="0" fontId="42" fillId="0" borderId="74" xfId="0" applyFont="1" applyBorder="1" applyAlignment="1">
      <alignment horizontal="center" vertical="center" wrapText="1"/>
    </xf>
    <xf numFmtId="0" fontId="16" fillId="0" borderId="0" xfId="0" applyFont="1" applyAlignment="1">
      <alignment horizontal="left" vertical="center" wrapText="1"/>
    </xf>
    <xf numFmtId="0" fontId="22" fillId="0" borderId="0" xfId="0" applyFont="1" applyAlignment="1">
      <alignment horizontal="left" vertical="center"/>
    </xf>
    <xf numFmtId="0" fontId="5" fillId="0" borderId="7" xfId="0" applyFont="1" applyBorder="1" applyAlignment="1">
      <alignment horizontal="left" vertical="center" wrapText="1"/>
    </xf>
    <xf numFmtId="0" fontId="14" fillId="0" borderId="0" xfId="0" applyFont="1" applyAlignment="1">
      <alignment horizontal="center"/>
    </xf>
    <xf numFmtId="0" fontId="48" fillId="0" borderId="0" xfId="0" applyFont="1" applyAlignment="1">
      <alignment horizontal="right"/>
    </xf>
    <xf numFmtId="0" fontId="13" fillId="0" borderId="0" xfId="0" applyFont="1" applyAlignment="1">
      <alignment horizontal="center"/>
    </xf>
    <xf numFmtId="0" fontId="9" fillId="0" borderId="0" xfId="0" applyFont="1" applyAlignment="1">
      <alignment horizontal="left" wrapText="1"/>
    </xf>
    <xf numFmtId="0" fontId="25" fillId="0" borderId="0" xfId="5" applyFont="1" applyAlignment="1">
      <alignment horizontal="center" vertical="center" wrapText="1"/>
    </xf>
    <xf numFmtId="0" fontId="9" fillId="0" borderId="0" xfId="5" applyFont="1" applyAlignment="1">
      <alignment horizontal="center" vertical="center"/>
    </xf>
    <xf numFmtId="0" fontId="103" fillId="0" borderId="0" xfId="5" applyFont="1" applyAlignment="1">
      <alignment horizontal="center" vertical="center" wrapText="1"/>
    </xf>
    <xf numFmtId="0" fontId="14" fillId="0" borderId="0" xfId="5" applyFont="1" applyAlignment="1">
      <alignment horizontal="center" vertical="center"/>
    </xf>
    <xf numFmtId="0" fontId="9" fillId="0" borderId="137" xfId="5" applyFont="1" applyBorder="1" applyAlignment="1">
      <alignment horizontal="center" vertical="center"/>
    </xf>
    <xf numFmtId="0" fontId="9" fillId="0" borderId="138" xfId="5" applyFont="1" applyBorder="1" applyAlignment="1">
      <alignment horizontal="center" vertical="center"/>
    </xf>
    <xf numFmtId="0" fontId="9" fillId="0" borderId="139" xfId="5" applyFont="1" applyBorder="1" applyAlignment="1">
      <alignment horizontal="center" vertical="center"/>
    </xf>
    <xf numFmtId="0" fontId="17" fillId="0" borderId="0" xfId="5" applyFont="1" applyAlignment="1">
      <alignment horizontal="center" wrapText="1"/>
    </xf>
    <xf numFmtId="0" fontId="14" fillId="0" borderId="0" xfId="5" applyFont="1" applyAlignment="1">
      <alignment horizontal="center" wrapText="1"/>
    </xf>
    <xf numFmtId="0" fontId="30" fillId="0" borderId="0" xfId="0" applyFont="1" applyAlignment="1">
      <alignment horizontal="right" vertical="center" wrapText="1"/>
    </xf>
    <xf numFmtId="0" fontId="24" fillId="0" borderId="0" xfId="0" applyFont="1" applyAlignment="1">
      <alignment horizontal="left" vertical="center" wrapText="1"/>
    </xf>
    <xf numFmtId="0" fontId="25" fillId="0" borderId="0" xfId="0" applyFont="1" applyAlignment="1">
      <alignment horizontal="center" vertical="center"/>
    </xf>
    <xf numFmtId="0" fontId="30" fillId="0" borderId="0" xfId="0" applyFont="1" applyAlignment="1">
      <alignment horizontal="center" vertical="center"/>
    </xf>
    <xf numFmtId="0" fontId="24" fillId="0" borderId="0" xfId="0" applyFont="1" applyAlignment="1">
      <alignment horizontal="center" vertical="center" wrapText="1"/>
    </xf>
    <xf numFmtId="0" fontId="30" fillId="0" borderId="0" xfId="0" applyFont="1" applyAlignment="1">
      <alignment horizontal="center" vertical="center" wrapText="1"/>
    </xf>
    <xf numFmtId="0" fontId="26"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right" vertical="center"/>
    </xf>
    <xf numFmtId="0" fontId="14" fillId="0" borderId="0" xfId="0" applyFont="1" applyAlignment="1">
      <alignment horizontal="center" vertical="center"/>
    </xf>
    <xf numFmtId="0" fontId="17" fillId="0" borderId="0" xfId="0" applyFont="1" applyAlignment="1">
      <alignment horizontal="center" vertical="center"/>
    </xf>
    <xf numFmtId="0" fontId="17" fillId="0" borderId="0" xfId="0" applyFont="1" applyAlignment="1">
      <alignment horizontal="right" vertical="center"/>
    </xf>
    <xf numFmtId="0" fontId="17" fillId="0" borderId="0" xfId="0" applyFont="1" applyAlignment="1">
      <alignment horizontal="right" wrapText="1"/>
    </xf>
    <xf numFmtId="0" fontId="25" fillId="0" borderId="0" xfId="4" applyFont="1" applyAlignment="1">
      <alignment horizontal="center"/>
    </xf>
    <xf numFmtId="0" fontId="24" fillId="0" borderId="0" xfId="4" applyFont="1" applyAlignment="1">
      <alignment horizontal="center"/>
    </xf>
    <xf numFmtId="0" fontId="20" fillId="0" borderId="145" xfId="4" applyFont="1" applyBorder="1" applyAlignment="1">
      <alignment horizontal="center"/>
    </xf>
    <xf numFmtId="0" fontId="20" fillId="0" borderId="146" xfId="4" applyFont="1" applyBorder="1" applyAlignment="1">
      <alignment horizontal="center"/>
    </xf>
    <xf numFmtId="0" fontId="24" fillId="0" borderId="114" xfId="4" applyFont="1" applyBorder="1" applyAlignment="1">
      <alignment horizontal="center" vertical="center" wrapText="1"/>
    </xf>
    <xf numFmtId="0" fontId="65" fillId="0" borderId="0" xfId="0" applyFont="1" applyAlignment="1">
      <alignment horizontal="center" vertical="top" wrapText="1"/>
    </xf>
    <xf numFmtId="0" fontId="12" fillId="0" borderId="0" xfId="0" applyFont="1" applyAlignment="1">
      <alignment horizontal="center" vertical="top" wrapText="1"/>
    </xf>
    <xf numFmtId="0" fontId="65" fillId="0" borderId="0" xfId="0" applyFont="1" applyAlignment="1">
      <alignment horizontal="left"/>
    </xf>
    <xf numFmtId="0" fontId="66" fillId="0" borderId="0" xfId="0" applyFont="1" applyAlignment="1">
      <alignment horizontal="center"/>
    </xf>
    <xf numFmtId="0" fontId="66" fillId="0" borderId="0" xfId="0" applyFont="1" applyAlignment="1">
      <alignment horizontal="left"/>
    </xf>
    <xf numFmtId="0" fontId="10" fillId="0" borderId="104" xfId="0" applyFont="1" applyBorder="1" applyAlignment="1">
      <alignment horizontal="center" vertical="center" wrapText="1"/>
    </xf>
    <xf numFmtId="0" fontId="10" fillId="0" borderId="106" xfId="0" applyFont="1" applyBorder="1" applyAlignment="1">
      <alignment wrapText="1"/>
    </xf>
    <xf numFmtId="0" fontId="10" fillId="0" borderId="64" xfId="0" applyFont="1" applyBorder="1" applyAlignment="1">
      <alignment wrapText="1"/>
    </xf>
    <xf numFmtId="0" fontId="10" fillId="0" borderId="9" xfId="0" applyFont="1" applyBorder="1" applyAlignment="1">
      <alignment horizontal="center" vertical="center" wrapText="1"/>
    </xf>
    <xf numFmtId="0" fontId="10" fillId="0" borderId="103" xfId="0" applyFont="1" applyBorder="1" applyAlignment="1">
      <alignment horizontal="center" vertical="center" wrapText="1"/>
    </xf>
    <xf numFmtId="164" fontId="71" fillId="0" borderId="0" xfId="1" applyNumberFormat="1" applyFont="1" applyAlignment="1">
      <alignment horizontal="center" vertical="center"/>
    </xf>
    <xf numFmtId="0" fontId="71" fillId="0" borderId="0" xfId="0" applyFont="1" applyAlignment="1">
      <alignment horizontal="center" vertical="center" wrapText="1"/>
    </xf>
    <xf numFmtId="0" fontId="9" fillId="0" borderId="0" xfId="0" applyFont="1" applyAlignment="1">
      <alignment horizontal="center" vertical="center" wrapText="1"/>
    </xf>
    <xf numFmtId="0" fontId="14" fillId="0" borderId="0" xfId="0" applyFont="1" applyAlignment="1">
      <alignment horizontal="center" vertical="center" wrapText="1"/>
    </xf>
    <xf numFmtId="0" fontId="74" fillId="0" borderId="0" xfId="0" applyFont="1" applyAlignment="1">
      <alignment horizontal="center" vertical="center" wrapText="1"/>
    </xf>
    <xf numFmtId="164" fontId="17" fillId="0" borderId="0" xfId="1" applyNumberFormat="1" applyFont="1" applyAlignment="1">
      <alignment horizontal="center" vertical="center"/>
    </xf>
    <xf numFmtId="0" fontId="24" fillId="0" borderId="104" xfId="0" applyFont="1" applyBorder="1" applyAlignment="1">
      <alignment horizontal="left"/>
    </xf>
    <xf numFmtId="0" fontId="14" fillId="0" borderId="104" xfId="0" applyFont="1" applyBorder="1" applyAlignment="1">
      <alignment horizontal="left" vertical="center"/>
    </xf>
    <xf numFmtId="0" fontId="17" fillId="0" borderId="0" xfId="0" applyFont="1" applyAlignment="1">
      <alignment horizontal="center"/>
    </xf>
    <xf numFmtId="0" fontId="11" fillId="0" borderId="0" xfId="0" applyFont="1" applyAlignment="1">
      <alignment horizontal="center"/>
    </xf>
    <xf numFmtId="0" fontId="85" fillId="0" borderId="0" xfId="0" applyFont="1" applyAlignment="1">
      <alignment horizontal="center" vertical="top" wrapText="1"/>
    </xf>
    <xf numFmtId="49" fontId="68" fillId="0" borderId="109" xfId="0" applyNumberFormat="1" applyFont="1" applyBorder="1" applyAlignment="1">
      <alignment horizontal="left" vertical="center" wrapText="1"/>
    </xf>
    <xf numFmtId="49" fontId="68" fillId="0" borderId="111" xfId="0" applyNumberFormat="1" applyFont="1" applyBorder="1" applyAlignment="1">
      <alignment horizontal="left" vertical="center" wrapText="1"/>
    </xf>
    <xf numFmtId="0" fontId="73" fillId="0" borderId="0" xfId="0" applyFont="1" applyAlignment="1">
      <alignment horizontal="center"/>
    </xf>
    <xf numFmtId="0" fontId="13" fillId="0" borderId="0" xfId="0" applyFont="1" applyAlignment="1">
      <alignment horizontal="center" wrapText="1"/>
    </xf>
    <xf numFmtId="0" fontId="65" fillId="0" borderId="114" xfId="0" applyFont="1" applyBorder="1" applyAlignment="1">
      <alignment horizontal="center" vertical="center" wrapText="1"/>
    </xf>
    <xf numFmtId="0" fontId="100" fillId="0" borderId="0" xfId="0" applyFont="1" applyAlignment="1">
      <alignment horizontal="center" wrapText="1"/>
    </xf>
    <xf numFmtId="0" fontId="101" fillId="0" borderId="0" xfId="0" applyFont="1" applyAlignment="1">
      <alignment horizontal="center"/>
    </xf>
    <xf numFmtId="0" fontId="0" fillId="0" borderId="0" xfId="0" applyAlignment="1">
      <alignment horizontal="center"/>
    </xf>
    <xf numFmtId="0" fontId="39" fillId="0" borderId="0" xfId="0" applyFont="1" applyAlignment="1">
      <alignment horizontal="center"/>
    </xf>
  </cellXfs>
  <cellStyles count="597">
    <cellStyle name="Comma" xfId="1" builtinId="3"/>
    <cellStyle name="Comma [0]" xfId="2" builtinId="6"/>
    <cellStyle name="Comma 2" xfId="3" xr:uid="{00000000-0005-0000-0000-000002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Normal" xfId="0" builtinId="0"/>
    <cellStyle name="Normal 2" xfId="4" xr:uid="{00000000-0005-0000-0000-000052020000}"/>
    <cellStyle name="Normal 3" xfId="5" xr:uid="{00000000-0005-0000-0000-000053020000}"/>
    <cellStyle name="Normal 4" xfId="6" xr:uid="{00000000-0005-0000-0000-00005402000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207963</xdr:colOff>
      <xdr:row>3</xdr:row>
      <xdr:rowOff>0</xdr:rowOff>
    </xdr:from>
    <xdr:to>
      <xdr:col>1</xdr:col>
      <xdr:colOff>1124986</xdr:colOff>
      <xdr:row>3</xdr:row>
      <xdr:rowOff>0</xdr:rowOff>
    </xdr:to>
    <xdr:cxnSp macro="">
      <xdr:nvCxnSpPr>
        <xdr:cNvPr id="2" name="Straight Connector 1">
          <a:extLst>
            <a:ext uri="{FF2B5EF4-FFF2-40B4-BE49-F238E27FC236}">
              <a16:creationId xmlns:a16="http://schemas.microsoft.com/office/drawing/2014/main" id="{CFB0051C-67DC-D24C-9C92-6B9587C259F4}"/>
            </a:ext>
          </a:extLst>
        </xdr:cNvPr>
        <xdr:cNvCxnSpPr/>
      </xdr:nvCxnSpPr>
      <xdr:spPr>
        <a:xfrm>
          <a:off x="677863" y="635000"/>
          <a:ext cx="9170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AE6368E7-EA67-0F44-B8CA-17D8F8A804F0}"/>
            </a:ext>
          </a:extLst>
        </xdr:cNvPr>
        <xdr:cNvSpPr>
          <a:spLocks noChangeShapeType="1"/>
        </xdr:cNvSpPr>
      </xdr:nvSpPr>
      <xdr:spPr bwMode="auto">
        <a:xfrm>
          <a:off x="317500" y="355600"/>
          <a:ext cx="138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58D296CF-EDA5-2646-963A-81BC6444D7B4}"/>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593725</xdr:colOff>
      <xdr:row>2</xdr:row>
      <xdr:rowOff>0</xdr:rowOff>
    </xdr:from>
    <xdr:to>
      <xdr:col>1</xdr:col>
      <xdr:colOff>2117725</xdr:colOff>
      <xdr:row>2</xdr:row>
      <xdr:rowOff>0</xdr:rowOff>
    </xdr:to>
    <xdr:cxnSp macro="">
      <xdr:nvCxnSpPr>
        <xdr:cNvPr id="2" name="Straight Connector 1">
          <a:extLst>
            <a:ext uri="{FF2B5EF4-FFF2-40B4-BE49-F238E27FC236}">
              <a16:creationId xmlns:a16="http://schemas.microsoft.com/office/drawing/2014/main" id="{DD74CEE1-FED5-F44B-9526-AFEAB0F5CD63}"/>
            </a:ext>
          </a:extLst>
        </xdr:cNvPr>
        <xdr:cNvCxnSpPr/>
      </xdr:nvCxnSpPr>
      <xdr:spPr>
        <a:xfrm flipV="1">
          <a:off x="1050925" y="368300"/>
          <a:ext cx="1524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1219200</xdr:colOff>
      <xdr:row>2</xdr:row>
      <xdr:rowOff>1</xdr:rowOff>
    </xdr:from>
    <xdr:to>
      <xdr:col>2</xdr:col>
      <xdr:colOff>384555</xdr:colOff>
      <xdr:row>2</xdr:row>
      <xdr:rowOff>9525</xdr:rowOff>
    </xdr:to>
    <xdr:cxnSp macro="">
      <xdr:nvCxnSpPr>
        <xdr:cNvPr id="2" name="Straight Connector 1">
          <a:extLst>
            <a:ext uri="{FF2B5EF4-FFF2-40B4-BE49-F238E27FC236}">
              <a16:creationId xmlns:a16="http://schemas.microsoft.com/office/drawing/2014/main" id="{75D990D9-90A1-AB4B-9D2B-934638825410}"/>
            </a:ext>
          </a:extLst>
        </xdr:cNvPr>
        <xdr:cNvCxnSpPr/>
      </xdr:nvCxnSpPr>
      <xdr:spPr>
        <a:xfrm flipV="1">
          <a:off x="1219200" y="431800"/>
          <a:ext cx="15529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595810</xdr:colOff>
      <xdr:row>2</xdr:row>
      <xdr:rowOff>9597</xdr:rowOff>
    </xdr:from>
    <xdr:to>
      <xdr:col>1</xdr:col>
      <xdr:colOff>1610087</xdr:colOff>
      <xdr:row>2</xdr:row>
      <xdr:rowOff>11185</xdr:rowOff>
    </xdr:to>
    <xdr:cxnSp macro="">
      <xdr:nvCxnSpPr>
        <xdr:cNvPr id="2" name="Straight Connector 1">
          <a:extLst>
            <a:ext uri="{FF2B5EF4-FFF2-40B4-BE49-F238E27FC236}">
              <a16:creationId xmlns:a16="http://schemas.microsoft.com/office/drawing/2014/main" id="{705F6F9B-B03A-2A4E-93FD-6678A62B228F}"/>
            </a:ext>
          </a:extLst>
        </xdr:cNvPr>
        <xdr:cNvCxnSpPr/>
      </xdr:nvCxnSpPr>
      <xdr:spPr>
        <a:xfrm>
          <a:off x="1091110" y="415997"/>
          <a:ext cx="101427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330200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443CD439-BBBC-F14B-B8B8-99DF47C22D0D}"/>
            </a:ext>
          </a:extLst>
        </xdr:cNvPr>
        <xdr:cNvSpPr>
          <a:spLocks noChangeShapeType="1"/>
        </xdr:cNvSpPr>
      </xdr:nvSpPr>
      <xdr:spPr bwMode="auto">
        <a:xfrm>
          <a:off x="330200" y="355600"/>
          <a:ext cx="137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8349770C-31AA-D940-B2B4-9DB4DF1C4F0A}"/>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8"/>
  <sheetViews>
    <sheetView zoomScale="120" zoomScaleNormal="120" workbookViewId="0">
      <selection activeCell="D16" sqref="D16:F16"/>
    </sheetView>
  </sheetViews>
  <sheetFormatPr defaultColWidth="8.81640625" defaultRowHeight="12.5" x14ac:dyDescent="0.25"/>
  <cols>
    <col min="1" max="1" width="5.453125" style="1" customWidth="1"/>
    <col min="2" max="2" width="31.453125" style="2" customWidth="1"/>
    <col min="3" max="3" width="8.453125" style="2" customWidth="1"/>
    <col min="4" max="6" width="9.36328125" style="2" customWidth="1"/>
    <col min="7" max="8" width="9.36328125" customWidth="1"/>
  </cols>
  <sheetData>
    <row r="1" spans="1:13" ht="14.25" customHeight="1" x14ac:dyDescent="0.3">
      <c r="A1" s="1438" t="s">
        <v>3</v>
      </c>
      <c r="B1" s="1438"/>
      <c r="C1" s="10"/>
      <c r="D1" s="10"/>
      <c r="E1" s="10"/>
      <c r="F1" s="10"/>
      <c r="G1" s="594" t="s">
        <v>243</v>
      </c>
      <c r="H1" s="594"/>
      <c r="J1" s="6"/>
      <c r="K1" s="6"/>
      <c r="L1" s="6"/>
      <c r="M1" s="6"/>
    </row>
    <row r="2" spans="1:13" ht="13" x14ac:dyDescent="0.3">
      <c r="A2" s="1439" t="s">
        <v>574</v>
      </c>
      <c r="B2" s="1439"/>
      <c r="C2" s="10"/>
      <c r="D2" s="10"/>
      <c r="E2" s="10"/>
      <c r="F2" s="10"/>
      <c r="G2" s="10"/>
      <c r="H2" s="11"/>
      <c r="I2" s="11"/>
      <c r="J2" s="6"/>
      <c r="K2" s="6"/>
      <c r="L2" s="6"/>
      <c r="M2" s="6"/>
    </row>
    <row r="3" spans="1:13" ht="13" x14ac:dyDescent="0.3">
      <c r="A3" s="1437" t="s">
        <v>757</v>
      </c>
      <c r="B3" s="1437"/>
      <c r="C3" s="1437"/>
      <c r="D3" s="1437"/>
      <c r="E3" s="1437"/>
      <c r="F3" s="1437"/>
      <c r="G3" s="1437"/>
      <c r="H3" s="1437"/>
      <c r="I3" s="601"/>
      <c r="J3" s="6"/>
      <c r="K3" s="6"/>
      <c r="L3" s="6"/>
      <c r="M3" s="6"/>
    </row>
    <row r="4" spans="1:13" ht="13" x14ac:dyDescent="0.3">
      <c r="A4" s="1437" t="s">
        <v>887</v>
      </c>
      <c r="B4" s="1437"/>
      <c r="C4" s="1437"/>
      <c r="D4" s="1437"/>
      <c r="E4" s="1437"/>
      <c r="F4" s="1437"/>
      <c r="G4" s="1437"/>
      <c r="H4" s="1437"/>
      <c r="I4" s="48"/>
      <c r="J4" s="6"/>
      <c r="K4" s="6"/>
      <c r="L4" s="6"/>
      <c r="M4" s="6"/>
    </row>
    <row r="5" spans="1:13" ht="13.5" thickBot="1" x14ac:dyDescent="0.35">
      <c r="A5" s="51"/>
      <c r="B5" s="51"/>
      <c r="C5" s="51"/>
      <c r="D5" s="51"/>
      <c r="E5" s="51"/>
      <c r="F5" s="1440" t="s">
        <v>758</v>
      </c>
      <c r="G5" s="1440"/>
      <c r="H5" s="1440"/>
      <c r="J5" s="6"/>
      <c r="K5" s="6"/>
      <c r="L5" s="6"/>
      <c r="M5" s="6"/>
    </row>
    <row r="6" spans="1:13" ht="37.5" customHeight="1" thickTop="1" x14ac:dyDescent="0.3">
      <c r="A6" s="52" t="s">
        <v>0</v>
      </c>
      <c r="B6" s="53" t="s">
        <v>41</v>
      </c>
      <c r="C6" s="53" t="s">
        <v>1</v>
      </c>
      <c r="D6" s="151" t="s">
        <v>246</v>
      </c>
      <c r="E6" s="151" t="s">
        <v>247</v>
      </c>
      <c r="F6" s="151" t="s">
        <v>248</v>
      </c>
      <c r="G6" s="53" t="s">
        <v>68</v>
      </c>
      <c r="H6" s="54" t="s">
        <v>2</v>
      </c>
      <c r="I6" s="11"/>
      <c r="J6" s="6"/>
      <c r="K6" s="6"/>
      <c r="L6" s="6"/>
      <c r="M6" s="6"/>
    </row>
    <row r="7" spans="1:13" s="1" customFormat="1" ht="28" customHeight="1" x14ac:dyDescent="0.3">
      <c r="A7" s="55" t="s">
        <v>115</v>
      </c>
      <c r="B7" s="50" t="s">
        <v>116</v>
      </c>
      <c r="C7" s="50" t="s">
        <v>117</v>
      </c>
      <c r="D7" s="50" t="s">
        <v>118</v>
      </c>
      <c r="E7" s="50" t="s">
        <v>119</v>
      </c>
      <c r="F7" s="50" t="s">
        <v>120</v>
      </c>
      <c r="G7" s="50" t="s">
        <v>121</v>
      </c>
      <c r="H7" s="56" t="s">
        <v>122</v>
      </c>
      <c r="I7" s="14"/>
      <c r="J7" s="5"/>
      <c r="K7" s="5"/>
      <c r="L7" s="5"/>
      <c r="M7" s="5"/>
    </row>
    <row r="8" spans="1:13" s="1" customFormat="1" ht="28" customHeight="1" x14ac:dyDescent="0.3">
      <c r="A8" s="690" t="s">
        <v>6</v>
      </c>
      <c r="B8" s="691" t="s">
        <v>213</v>
      </c>
      <c r="C8" s="692"/>
      <c r="D8" s="693">
        <f>D9+D17</f>
        <v>778</v>
      </c>
      <c r="E8" s="693">
        <f>E9+E17</f>
        <v>829</v>
      </c>
      <c r="F8" s="693">
        <f>F9+F17</f>
        <v>141</v>
      </c>
      <c r="G8" s="692">
        <f>G9+G15</f>
        <v>1698</v>
      </c>
      <c r="H8" s="692"/>
      <c r="I8" s="14"/>
      <c r="J8" s="5"/>
      <c r="K8" s="5"/>
      <c r="L8" s="5"/>
      <c r="M8" s="5"/>
    </row>
    <row r="9" spans="1:13" s="3" customFormat="1" ht="28" customHeight="1" x14ac:dyDescent="0.25">
      <c r="A9" s="694" t="s">
        <v>7</v>
      </c>
      <c r="B9" s="695" t="s">
        <v>4</v>
      </c>
      <c r="C9" s="695"/>
      <c r="D9" s="675">
        <f>SUM(D10:D14)</f>
        <v>598</v>
      </c>
      <c r="E9" s="675">
        <f>SUM(E10:E14)</f>
        <v>629</v>
      </c>
      <c r="F9" s="675">
        <f>SUM(F10:F14)</f>
        <v>91</v>
      </c>
      <c r="G9" s="675">
        <f>SUM(G10:G14)</f>
        <v>1318</v>
      </c>
      <c r="H9" s="696"/>
      <c r="I9" s="12"/>
      <c r="J9" s="8"/>
      <c r="K9" s="8"/>
      <c r="L9" s="8"/>
      <c r="M9" s="8"/>
    </row>
    <row r="10" spans="1:13" s="36" customFormat="1" ht="28" customHeight="1" x14ac:dyDescent="0.25">
      <c r="A10" s="697"/>
      <c r="B10" s="698" t="s">
        <v>888</v>
      </c>
      <c r="C10" s="674" t="s">
        <v>67</v>
      </c>
      <c r="D10" s="331">
        <v>77</v>
      </c>
      <c r="E10" s="331">
        <v>82</v>
      </c>
      <c r="F10" s="331">
        <v>17</v>
      </c>
      <c r="G10" s="674">
        <v>176</v>
      </c>
      <c r="H10" s="699"/>
      <c r="I10" s="13"/>
      <c r="J10" s="9"/>
      <c r="K10" s="9"/>
      <c r="L10" s="9"/>
      <c r="M10" s="9"/>
    </row>
    <row r="11" spans="1:13" s="36" customFormat="1" ht="28" customHeight="1" x14ac:dyDescent="0.25">
      <c r="A11" s="697"/>
      <c r="B11" s="698" t="s">
        <v>760</v>
      </c>
      <c r="C11" s="674" t="s">
        <v>67</v>
      </c>
      <c r="D11" s="674">
        <v>0</v>
      </c>
      <c r="E11" s="674">
        <v>0</v>
      </c>
      <c r="F11" s="674">
        <v>0</v>
      </c>
      <c r="G11" s="674">
        <f>SUM(D11:F11)</f>
        <v>0</v>
      </c>
      <c r="H11" s="699"/>
      <c r="I11" s="13"/>
      <c r="J11" s="9"/>
      <c r="K11" s="9"/>
      <c r="L11" s="9"/>
      <c r="M11" s="9"/>
    </row>
    <row r="12" spans="1:13" s="36" customFormat="1" ht="28" customHeight="1" x14ac:dyDescent="0.25">
      <c r="A12" s="697"/>
      <c r="B12" s="698" t="s">
        <v>575</v>
      </c>
      <c r="C12" s="674" t="s">
        <v>67</v>
      </c>
      <c r="D12" s="674">
        <v>168</v>
      </c>
      <c r="E12" s="674">
        <v>122</v>
      </c>
      <c r="F12" s="674">
        <v>30</v>
      </c>
      <c r="G12" s="674">
        <v>320</v>
      </c>
      <c r="H12" s="699"/>
      <c r="I12" s="13"/>
      <c r="J12" s="9"/>
      <c r="K12" s="9"/>
      <c r="L12" s="9"/>
      <c r="M12" s="9"/>
    </row>
    <row r="13" spans="1:13" s="36" customFormat="1" ht="28" customHeight="1" x14ac:dyDescent="0.25">
      <c r="A13" s="697"/>
      <c r="B13" s="698" t="s">
        <v>759</v>
      </c>
      <c r="C13" s="674" t="s">
        <v>67</v>
      </c>
      <c r="D13" s="674">
        <v>192</v>
      </c>
      <c r="E13" s="674">
        <v>175</v>
      </c>
      <c r="F13" s="331">
        <v>19</v>
      </c>
      <c r="G13" s="674">
        <f>SUM(D13:F13)</f>
        <v>386</v>
      </c>
      <c r="H13" s="699"/>
      <c r="I13" s="13"/>
      <c r="J13" s="9"/>
      <c r="K13" s="9"/>
      <c r="L13" s="9"/>
      <c r="M13" s="9"/>
    </row>
    <row r="14" spans="1:13" s="36" customFormat="1" ht="28" customHeight="1" x14ac:dyDescent="0.25">
      <c r="A14" s="697"/>
      <c r="B14" s="698" t="s">
        <v>889</v>
      </c>
      <c r="C14" s="674" t="s">
        <v>67</v>
      </c>
      <c r="D14" s="491">
        <v>161</v>
      </c>
      <c r="E14" s="491">
        <v>250</v>
      </c>
      <c r="F14" s="491">
        <v>25</v>
      </c>
      <c r="G14" s="674">
        <f>SUM(D14:F14)</f>
        <v>436</v>
      </c>
      <c r="H14" s="699"/>
      <c r="I14" s="13"/>
      <c r="J14" s="9"/>
      <c r="K14" s="9"/>
      <c r="L14" s="9"/>
      <c r="M14" s="9"/>
    </row>
    <row r="15" spans="1:13" s="36" customFormat="1" ht="28" customHeight="1" x14ac:dyDescent="0.25">
      <c r="A15" s="70" t="s">
        <v>8</v>
      </c>
      <c r="B15" s="603" t="s">
        <v>217</v>
      </c>
      <c r="C15" s="66" t="s">
        <v>65</v>
      </c>
      <c r="D15" s="608">
        <v>43</v>
      </c>
      <c r="E15" s="608">
        <f>E16+E20</f>
        <v>35</v>
      </c>
      <c r="F15" s="608">
        <v>302</v>
      </c>
      <c r="G15" s="95">
        <f>SUM(D15:F15)</f>
        <v>380</v>
      </c>
      <c r="H15" s="699"/>
      <c r="I15" s="13"/>
      <c r="J15" s="9"/>
      <c r="K15" s="9"/>
      <c r="L15" s="9"/>
      <c r="M15" s="9"/>
    </row>
    <row r="16" spans="1:13" s="36" customFormat="1" ht="28" customHeight="1" x14ac:dyDescent="0.25">
      <c r="A16" s="697"/>
      <c r="B16" s="776" t="s">
        <v>891</v>
      </c>
      <c r="D16" s="778">
        <v>43</v>
      </c>
      <c r="E16" s="491">
        <v>35</v>
      </c>
      <c r="F16" s="778">
        <v>302</v>
      </c>
      <c r="G16" s="777">
        <v>402</v>
      </c>
      <c r="H16" s="699"/>
      <c r="I16" s="13"/>
      <c r="J16" s="9"/>
      <c r="K16" s="9"/>
      <c r="L16" s="9"/>
      <c r="M16" s="9"/>
    </row>
    <row r="17" spans="1:13" s="4" customFormat="1" ht="46.5" customHeight="1" x14ac:dyDescent="0.25">
      <c r="A17" s="697"/>
      <c r="B17" s="700" t="s">
        <v>890</v>
      </c>
      <c r="C17" s="674"/>
      <c r="D17" s="675">
        <f>Bieu1!D15</f>
        <v>180</v>
      </c>
      <c r="E17" s="675">
        <f>Bieu1!E15</f>
        <v>200</v>
      </c>
      <c r="F17" s="675">
        <f>Bieu1!F15</f>
        <v>50</v>
      </c>
      <c r="G17" s="675">
        <f>SUM(D17:F17)</f>
        <v>430</v>
      </c>
      <c r="H17" s="699"/>
      <c r="I17" s="13"/>
      <c r="J17" s="9"/>
      <c r="K17" s="9"/>
      <c r="L17" s="9"/>
      <c r="M17" s="9"/>
    </row>
    <row r="18" spans="1:13" ht="13" x14ac:dyDescent="0.3">
      <c r="A18" s="14"/>
      <c r="B18" s="10"/>
      <c r="C18" s="10"/>
      <c r="D18" s="10"/>
      <c r="E18" s="1441" t="s">
        <v>867</v>
      </c>
      <c r="F18" s="1441"/>
      <c r="G18" s="1441"/>
      <c r="H18" s="1441"/>
      <c r="I18" s="11"/>
      <c r="J18" s="6"/>
      <c r="K18" s="6"/>
      <c r="L18" s="6"/>
      <c r="M18" s="6"/>
    </row>
    <row r="19" spans="1:13" ht="12.75" customHeight="1" x14ac:dyDescent="0.3">
      <c r="A19" s="144"/>
      <c r="B19" s="195"/>
      <c r="C19" s="144"/>
      <c r="D19" s="144"/>
      <c r="E19" s="1442" t="s">
        <v>548</v>
      </c>
      <c r="F19" s="1442"/>
      <c r="G19" s="1442"/>
      <c r="H19" s="1442"/>
      <c r="J19" s="6"/>
      <c r="K19" s="6"/>
      <c r="L19" s="6"/>
      <c r="M19" s="6"/>
    </row>
    <row r="20" spans="1:13" ht="20.25" customHeight="1" x14ac:dyDescent="0.3">
      <c r="A20" s="144"/>
      <c r="B20" s="144"/>
      <c r="C20" s="144"/>
      <c r="D20" s="144"/>
      <c r="E20" s="10"/>
      <c r="F20" s="10"/>
      <c r="G20" s="10"/>
      <c r="H20" s="153"/>
      <c r="J20" s="6"/>
      <c r="K20" s="6"/>
      <c r="L20" s="6"/>
      <c r="M20" s="6"/>
    </row>
    <row r="21" spans="1:13" ht="12.75" customHeight="1" x14ac:dyDescent="0.3">
      <c r="A21" s="144"/>
      <c r="B21" s="144"/>
      <c r="C21" s="144"/>
      <c r="D21" s="144"/>
      <c r="E21" s="10"/>
      <c r="F21" s="10"/>
      <c r="G21" s="10"/>
      <c r="H21" s="153"/>
      <c r="J21" s="6"/>
      <c r="K21" s="6"/>
      <c r="L21" s="6"/>
      <c r="M21" s="6"/>
    </row>
    <row r="22" spans="1:13" ht="12.75" customHeight="1" x14ac:dyDescent="0.3">
      <c r="A22" s="144"/>
      <c r="B22" s="144"/>
      <c r="C22" s="144"/>
      <c r="D22" s="144"/>
      <c r="E22" s="1435" t="s">
        <v>766</v>
      </c>
      <c r="F22" s="1435"/>
      <c r="G22" s="1435"/>
      <c r="H22" s="1435"/>
      <c r="J22" s="6"/>
      <c r="K22" s="6"/>
      <c r="L22" s="6"/>
      <c r="M22" s="6"/>
    </row>
    <row r="23" spans="1:13" ht="12.75" customHeight="1" x14ac:dyDescent="0.3">
      <c r="A23" s="144"/>
      <c r="B23" s="144"/>
      <c r="C23" s="144"/>
      <c r="D23" s="144"/>
      <c r="E23" s="144"/>
      <c r="F23" s="144"/>
      <c r="G23" s="144"/>
      <c r="H23" s="144"/>
      <c r="I23" s="11"/>
      <c r="J23" s="6"/>
      <c r="K23" s="6"/>
      <c r="L23" s="6"/>
      <c r="M23" s="6"/>
    </row>
    <row r="24" spans="1:13" ht="12.75" customHeight="1" x14ac:dyDescent="0.3">
      <c r="A24" s="144"/>
      <c r="B24" s="144"/>
      <c r="C24" s="144"/>
      <c r="D24" s="144"/>
      <c r="E24" s="144"/>
      <c r="F24" s="144"/>
      <c r="G24" s="144"/>
      <c r="H24" s="144"/>
      <c r="I24" s="11"/>
      <c r="J24" s="6"/>
      <c r="K24" s="6"/>
      <c r="L24" s="6"/>
      <c r="M24" s="6"/>
    </row>
    <row r="25" spans="1:13" ht="49.5" customHeight="1" x14ac:dyDescent="0.3">
      <c r="A25" s="144"/>
      <c r="B25" s="144"/>
      <c r="C25" s="144"/>
      <c r="D25" s="144"/>
      <c r="E25" s="144"/>
      <c r="F25" s="144"/>
      <c r="G25" s="144"/>
      <c r="H25" s="144"/>
      <c r="I25" s="11"/>
      <c r="J25" s="6"/>
      <c r="K25" s="6"/>
      <c r="L25" s="6"/>
      <c r="M25" s="6"/>
    </row>
    <row r="26" spans="1:13" ht="34.5" customHeight="1" x14ac:dyDescent="0.3">
      <c r="A26" s="1436"/>
      <c r="B26" s="1436"/>
      <c r="C26" s="1436"/>
      <c r="D26" s="1436"/>
      <c r="E26" s="1436"/>
      <c r="F26" s="1436"/>
      <c r="G26" s="1436"/>
      <c r="H26" s="1436"/>
      <c r="I26" s="11"/>
      <c r="J26" s="6"/>
      <c r="K26" s="6"/>
      <c r="L26" s="6"/>
      <c r="M26" s="6"/>
    </row>
    <row r="27" spans="1:13" ht="33.75" customHeight="1" x14ac:dyDescent="0.3">
      <c r="A27" s="1436"/>
      <c r="B27" s="1436"/>
      <c r="C27" s="1436"/>
      <c r="D27" s="1436"/>
      <c r="E27" s="1436"/>
      <c r="F27" s="1436"/>
      <c r="G27" s="1436"/>
      <c r="H27" s="1436"/>
      <c r="I27" s="11"/>
      <c r="J27" s="6"/>
      <c r="K27" s="6"/>
      <c r="L27" s="6"/>
      <c r="M27" s="6"/>
    </row>
    <row r="28" spans="1:13" ht="13" x14ac:dyDescent="0.3">
      <c r="A28" s="142"/>
      <c r="B28" s="143"/>
      <c r="C28" s="143"/>
      <c r="D28" s="143"/>
      <c r="E28" s="143"/>
      <c r="F28" s="143"/>
      <c r="G28" s="144"/>
      <c r="H28" s="144"/>
      <c r="I28" s="11"/>
      <c r="J28" s="6"/>
      <c r="K28" s="6"/>
      <c r="L28" s="6"/>
      <c r="M28" s="6"/>
    </row>
    <row r="29" spans="1:13" ht="13" x14ac:dyDescent="0.3">
      <c r="A29" s="14"/>
      <c r="B29" s="10"/>
      <c r="C29" s="10"/>
      <c r="D29" s="10"/>
      <c r="E29" s="10"/>
      <c r="F29" s="10"/>
      <c r="G29" s="11"/>
      <c r="H29" s="11"/>
      <c r="I29" s="11"/>
      <c r="J29" s="6"/>
      <c r="K29" s="6"/>
      <c r="L29" s="6"/>
      <c r="M29" s="6"/>
    </row>
    <row r="30" spans="1:13" ht="13" x14ac:dyDescent="0.3">
      <c r="A30" s="14"/>
      <c r="B30" s="10"/>
      <c r="C30" s="10"/>
      <c r="D30" s="10"/>
      <c r="E30" s="10"/>
      <c r="F30" s="10"/>
      <c r="G30" s="11"/>
      <c r="H30" s="11"/>
      <c r="I30" s="11"/>
      <c r="J30" s="6"/>
      <c r="K30" s="6"/>
      <c r="L30" s="6"/>
      <c r="M30" s="6"/>
    </row>
    <row r="31" spans="1:13" ht="13" x14ac:dyDescent="0.3">
      <c r="A31" s="14"/>
      <c r="B31" s="10"/>
      <c r="C31" s="10"/>
      <c r="D31" s="10"/>
      <c r="E31" s="10"/>
      <c r="F31" s="10"/>
      <c r="G31" s="11"/>
      <c r="H31" s="11"/>
      <c r="I31" s="11"/>
      <c r="J31" s="6"/>
      <c r="K31" s="6"/>
      <c r="L31" s="6"/>
      <c r="M31" s="6"/>
    </row>
    <row r="32" spans="1:13" ht="13" x14ac:dyDescent="0.3">
      <c r="A32" s="14"/>
      <c r="B32" s="10"/>
      <c r="C32" s="10"/>
      <c r="D32" s="10"/>
      <c r="E32" s="10"/>
      <c r="F32" s="10"/>
      <c r="G32" s="11"/>
      <c r="H32" s="11"/>
      <c r="I32" s="11"/>
      <c r="J32" s="6"/>
      <c r="K32" s="6"/>
      <c r="L32" s="6"/>
      <c r="M32" s="6"/>
    </row>
    <row r="33" spans="1:13" ht="13" x14ac:dyDescent="0.3">
      <c r="A33" s="14"/>
      <c r="B33" s="10"/>
      <c r="C33" s="10"/>
      <c r="D33" s="10"/>
      <c r="E33" s="10"/>
      <c r="F33" s="10"/>
      <c r="G33" s="11"/>
      <c r="H33" s="11"/>
      <c r="I33" s="11"/>
      <c r="J33" s="6"/>
      <c r="K33" s="6"/>
      <c r="L33" s="6"/>
      <c r="M33" s="6"/>
    </row>
    <row r="34" spans="1:13" ht="13" x14ac:dyDescent="0.3">
      <c r="A34" s="14"/>
      <c r="B34" s="10"/>
      <c r="C34" s="10"/>
      <c r="D34" s="10"/>
      <c r="E34" s="10"/>
      <c r="F34" s="10"/>
      <c r="G34" s="11"/>
      <c r="H34" s="11"/>
      <c r="I34" s="11"/>
      <c r="J34" s="6"/>
      <c r="K34" s="6"/>
      <c r="L34" s="6"/>
      <c r="M34" s="6"/>
    </row>
    <row r="35" spans="1:13" ht="13" x14ac:dyDescent="0.3">
      <c r="A35" s="14"/>
      <c r="B35" s="10"/>
      <c r="C35" s="10"/>
      <c r="D35" s="10"/>
      <c r="E35" s="10"/>
      <c r="F35" s="10"/>
      <c r="G35" s="11"/>
      <c r="H35" s="11"/>
      <c r="I35" s="11"/>
      <c r="J35" s="6"/>
      <c r="K35" s="6"/>
      <c r="L35" s="6"/>
      <c r="M35" s="6"/>
    </row>
    <row r="36" spans="1:13" ht="13" x14ac:dyDescent="0.3">
      <c r="A36" s="14"/>
      <c r="B36" s="10"/>
      <c r="C36" s="10"/>
      <c r="D36" s="10"/>
      <c r="E36" s="10"/>
      <c r="F36" s="10"/>
      <c r="G36" s="11"/>
      <c r="H36" s="11"/>
      <c r="I36" s="11"/>
      <c r="J36" s="6"/>
      <c r="K36" s="6"/>
      <c r="L36" s="6"/>
      <c r="M36" s="6"/>
    </row>
    <row r="37" spans="1:13" ht="13" x14ac:dyDescent="0.3">
      <c r="A37" s="14"/>
      <c r="B37" s="10"/>
      <c r="C37" s="10"/>
      <c r="D37" s="10"/>
      <c r="E37" s="10"/>
      <c r="F37" s="10"/>
      <c r="G37" s="11"/>
      <c r="H37" s="11"/>
      <c r="I37" s="11"/>
      <c r="J37" s="6"/>
      <c r="K37" s="6"/>
      <c r="L37" s="6"/>
      <c r="M37" s="6"/>
    </row>
    <row r="38" spans="1:13" ht="13" x14ac:dyDescent="0.3">
      <c r="A38" s="14"/>
      <c r="B38" s="10"/>
      <c r="C38" s="10"/>
      <c r="D38" s="10"/>
      <c r="E38" s="10"/>
      <c r="F38" s="10"/>
      <c r="G38" s="11"/>
      <c r="H38" s="11"/>
      <c r="I38" s="11"/>
      <c r="J38" s="6"/>
      <c r="K38" s="6"/>
      <c r="L38" s="6"/>
      <c r="M38" s="6"/>
    </row>
    <row r="39" spans="1:13" ht="13" x14ac:dyDescent="0.3">
      <c r="A39" s="14"/>
      <c r="B39" s="10"/>
      <c r="C39" s="10"/>
      <c r="D39" s="10"/>
      <c r="E39" s="10"/>
      <c r="F39" s="10"/>
      <c r="G39" s="11"/>
      <c r="H39" s="11"/>
      <c r="I39" s="11"/>
      <c r="J39" s="6"/>
      <c r="K39" s="6"/>
      <c r="L39" s="6"/>
      <c r="M39" s="6"/>
    </row>
    <row r="40" spans="1:13" ht="13" x14ac:dyDescent="0.3">
      <c r="A40" s="14"/>
      <c r="B40" s="10"/>
      <c r="C40" s="10"/>
      <c r="D40" s="10"/>
      <c r="E40" s="10"/>
      <c r="F40" s="10"/>
      <c r="G40" s="11"/>
      <c r="H40" s="11"/>
      <c r="I40" s="11"/>
      <c r="J40" s="6"/>
      <c r="K40" s="6"/>
      <c r="L40" s="6"/>
      <c r="M40" s="6"/>
    </row>
    <row r="41" spans="1:13" ht="13" x14ac:dyDescent="0.3">
      <c r="A41" s="14"/>
      <c r="B41" s="10"/>
      <c r="C41" s="10"/>
      <c r="D41" s="10"/>
      <c r="E41" s="10"/>
      <c r="F41" s="10"/>
      <c r="G41" s="11"/>
      <c r="H41" s="11"/>
      <c r="I41" s="11"/>
      <c r="J41" s="6"/>
      <c r="K41" s="6"/>
      <c r="L41" s="6"/>
      <c r="M41" s="6"/>
    </row>
    <row r="42" spans="1:13" ht="13" x14ac:dyDescent="0.3">
      <c r="A42" s="14"/>
      <c r="B42" s="10"/>
      <c r="C42" s="10"/>
      <c r="D42" s="10"/>
      <c r="E42" s="10"/>
      <c r="F42" s="10"/>
      <c r="G42" s="11"/>
      <c r="H42" s="11"/>
      <c r="I42" s="11"/>
      <c r="J42" s="6"/>
      <c r="K42" s="6"/>
      <c r="L42" s="6"/>
      <c r="M42" s="6"/>
    </row>
    <row r="43" spans="1:13" ht="13" x14ac:dyDescent="0.3">
      <c r="A43" s="14"/>
      <c r="B43" s="10"/>
      <c r="C43" s="10"/>
      <c r="D43" s="10"/>
      <c r="E43" s="10"/>
      <c r="F43" s="10"/>
      <c r="G43" s="11"/>
      <c r="H43" s="11"/>
      <c r="I43" s="11"/>
      <c r="J43" s="6"/>
      <c r="K43" s="6"/>
      <c r="L43" s="6"/>
      <c r="M43" s="6"/>
    </row>
    <row r="44" spans="1:13" ht="13" x14ac:dyDescent="0.3">
      <c r="A44" s="14"/>
      <c r="B44" s="10"/>
      <c r="C44" s="10"/>
      <c r="D44" s="10"/>
      <c r="E44" s="10"/>
      <c r="F44" s="10"/>
      <c r="G44" s="11"/>
      <c r="H44" s="11"/>
      <c r="I44" s="11"/>
      <c r="J44" s="6"/>
      <c r="K44" s="6"/>
      <c r="L44" s="6"/>
      <c r="M44" s="6"/>
    </row>
    <row r="45" spans="1:13" ht="13" x14ac:dyDescent="0.3">
      <c r="A45" s="14"/>
      <c r="B45" s="10"/>
      <c r="C45" s="10"/>
      <c r="D45" s="10"/>
      <c r="E45" s="10"/>
      <c r="F45" s="10"/>
      <c r="G45" s="11"/>
      <c r="H45" s="11"/>
      <c r="I45" s="11"/>
      <c r="J45" s="6"/>
      <c r="K45" s="6"/>
      <c r="L45" s="6"/>
      <c r="M45" s="6"/>
    </row>
    <row r="46" spans="1:13" ht="13" x14ac:dyDescent="0.3">
      <c r="A46" s="14"/>
      <c r="B46" s="10"/>
      <c r="C46" s="10"/>
      <c r="D46" s="10"/>
      <c r="E46" s="10"/>
      <c r="F46" s="10"/>
      <c r="G46" s="11"/>
      <c r="H46" s="11"/>
      <c r="I46" s="11"/>
      <c r="J46" s="6"/>
      <c r="K46" s="6"/>
      <c r="L46" s="6"/>
      <c r="M46" s="6"/>
    </row>
    <row r="47" spans="1:13" ht="13" x14ac:dyDescent="0.3">
      <c r="A47" s="14"/>
      <c r="B47" s="10"/>
      <c r="C47" s="10"/>
      <c r="D47" s="10"/>
      <c r="E47" s="10"/>
      <c r="F47" s="10"/>
      <c r="G47" s="11"/>
      <c r="H47" s="11"/>
      <c r="I47" s="11"/>
      <c r="J47" s="6"/>
      <c r="K47" s="6"/>
      <c r="L47" s="6"/>
      <c r="M47" s="6"/>
    </row>
    <row r="48" spans="1:13" ht="13" x14ac:dyDescent="0.3">
      <c r="A48" s="5"/>
      <c r="B48" s="7"/>
      <c r="C48" s="7"/>
      <c r="D48" s="7"/>
      <c r="E48" s="7"/>
      <c r="F48" s="7"/>
      <c r="G48" s="6"/>
      <c r="H48" s="6"/>
      <c r="I48" s="6"/>
      <c r="J48" s="6"/>
      <c r="K48" s="6"/>
      <c r="L48" s="6"/>
      <c r="M48" s="6"/>
    </row>
  </sheetData>
  <mergeCells count="10">
    <mergeCell ref="A1:B1"/>
    <mergeCell ref="A2:B2"/>
    <mergeCell ref="F5:H5"/>
    <mergeCell ref="E18:H18"/>
    <mergeCell ref="E19:H19"/>
    <mergeCell ref="E22:H22"/>
    <mergeCell ref="A26:H26"/>
    <mergeCell ref="A27:H27"/>
    <mergeCell ref="A3:H3"/>
    <mergeCell ref="A4:H4"/>
  </mergeCells>
  <pageMargins left="0.64" right="0.27" top="0.42" bottom="0.53" header="0.42"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30"/>
  <sheetViews>
    <sheetView zoomScale="90" zoomScaleNormal="90" zoomScalePageLayoutView="90" workbookViewId="0">
      <pane xSplit="2" ySplit="7" topLeftCell="C8" activePane="bottomRight" state="frozen"/>
      <selection pane="topRight" activeCell="C1" sqref="C1"/>
      <selection pane="bottomLeft" activeCell="A8" sqref="A8"/>
      <selection pane="bottomRight" activeCell="A4" sqref="A4"/>
    </sheetView>
  </sheetViews>
  <sheetFormatPr defaultColWidth="8.81640625" defaultRowHeight="15.5" x14ac:dyDescent="0.35"/>
  <cols>
    <col min="1" max="1" width="5.453125" style="745" customWidth="1"/>
    <col min="2" max="2" width="35.453125" style="746" customWidth="1"/>
    <col min="3" max="3" width="8.6328125" style="746" customWidth="1"/>
    <col min="4" max="4" width="7.1796875" style="702" customWidth="1"/>
    <col min="5" max="5" width="7.453125" style="702" customWidth="1"/>
    <col min="6" max="6" width="6.453125" style="702" customWidth="1"/>
    <col min="7" max="7" width="6.6328125" style="702" customWidth="1"/>
    <col min="8" max="9" width="5.6328125" style="702" customWidth="1"/>
    <col min="10" max="10" width="6.1796875" style="702" customWidth="1"/>
    <col min="11" max="11" width="8.1796875" style="702" customWidth="1"/>
    <col min="12" max="12" width="7.1796875" style="702" customWidth="1"/>
    <col min="13" max="13" width="5.6328125" style="702" customWidth="1"/>
    <col min="14" max="14" width="6.453125" style="702" customWidth="1"/>
    <col min="15" max="15" width="7.1796875" style="702" customWidth="1"/>
    <col min="16" max="16" width="18.6328125" style="702" customWidth="1"/>
    <col min="17" max="16384" width="8.81640625" style="702"/>
  </cols>
  <sheetData>
    <row r="1" spans="1:16" ht="14.25" customHeight="1" x14ac:dyDescent="0.35">
      <c r="A1" s="1495" t="s">
        <v>3</v>
      </c>
      <c r="B1" s="1495"/>
      <c r="C1" s="701"/>
      <c r="D1" s="1496"/>
      <c r="E1" s="1496"/>
      <c r="F1" s="1496"/>
      <c r="G1" s="1496"/>
      <c r="H1" s="1496"/>
      <c r="I1" s="1496"/>
      <c r="J1" s="1496"/>
      <c r="K1" s="1496"/>
      <c r="L1" s="1496"/>
      <c r="M1" s="1496"/>
      <c r="N1" s="1496"/>
      <c r="O1" s="1496"/>
      <c r="P1" s="150" t="s">
        <v>32</v>
      </c>
    </row>
    <row r="2" spans="1:16" ht="16.5" customHeight="1" x14ac:dyDescent="0.35">
      <c r="A2" s="1497" t="s">
        <v>296</v>
      </c>
      <c r="B2" s="1497"/>
      <c r="C2" s="701"/>
      <c r="D2" s="1496"/>
      <c r="E2" s="1496"/>
      <c r="F2" s="1496"/>
      <c r="G2" s="1496"/>
      <c r="H2" s="1496"/>
      <c r="I2" s="1496"/>
      <c r="J2" s="1496"/>
      <c r="K2" s="1496"/>
      <c r="L2" s="1496"/>
      <c r="M2" s="1496"/>
      <c r="N2" s="1496"/>
      <c r="O2" s="1496"/>
      <c r="P2" s="703"/>
    </row>
    <row r="3" spans="1:16" ht="21.75" customHeight="1" x14ac:dyDescent="0.35">
      <c r="A3" s="1460" t="s">
        <v>980</v>
      </c>
      <c r="B3" s="1460"/>
      <c r="C3" s="1460"/>
      <c r="D3" s="1460"/>
      <c r="E3" s="1460"/>
      <c r="F3" s="1460"/>
      <c r="G3" s="1460"/>
      <c r="H3" s="1460"/>
      <c r="I3" s="1460"/>
      <c r="J3" s="1460"/>
      <c r="K3" s="1460"/>
      <c r="L3" s="1460"/>
      <c r="M3" s="1460"/>
      <c r="N3" s="1460"/>
      <c r="O3" s="1460"/>
      <c r="P3" s="1460"/>
    </row>
    <row r="4" spans="1:16" x14ac:dyDescent="0.35">
      <c r="A4" s="704"/>
      <c r="B4" s="704"/>
      <c r="C4" s="704"/>
      <c r="D4" s="704"/>
      <c r="E4" s="704"/>
      <c r="F4" s="704"/>
      <c r="G4" s="1490" t="s">
        <v>75</v>
      </c>
      <c r="H4" s="1490"/>
      <c r="I4" s="1490"/>
      <c r="J4" s="1490"/>
      <c r="K4" s="1490"/>
      <c r="L4" s="1490"/>
      <c r="M4" s="1490"/>
      <c r="N4" s="1490"/>
      <c r="O4" s="1490"/>
      <c r="P4" s="1490"/>
    </row>
    <row r="5" spans="1:16" ht="27.75" customHeight="1" x14ac:dyDescent="0.35">
      <c r="A5" s="1491" t="s">
        <v>0</v>
      </c>
      <c r="B5" s="1491" t="s">
        <v>9</v>
      </c>
      <c r="C5" s="1491" t="s">
        <v>10</v>
      </c>
      <c r="D5" s="1493" t="s">
        <v>15</v>
      </c>
      <c r="E5" s="1493"/>
      <c r="F5" s="1493"/>
      <c r="G5" s="1493"/>
      <c r="H5" s="1493" t="s">
        <v>212</v>
      </c>
      <c r="I5" s="1493"/>
      <c r="J5" s="1493"/>
      <c r="K5" s="1493"/>
      <c r="L5" s="1493" t="s">
        <v>16</v>
      </c>
      <c r="M5" s="1493"/>
      <c r="N5" s="1493"/>
      <c r="O5" s="1493"/>
      <c r="P5" s="1491" t="s">
        <v>2</v>
      </c>
    </row>
    <row r="6" spans="1:16" ht="60" x14ac:dyDescent="0.35">
      <c r="A6" s="1492"/>
      <c r="B6" s="1492"/>
      <c r="C6" s="1492"/>
      <c r="D6" s="705" t="s">
        <v>14</v>
      </c>
      <c r="E6" s="705" t="s">
        <v>11</v>
      </c>
      <c r="F6" s="705" t="s">
        <v>12</v>
      </c>
      <c r="G6" s="705" t="s">
        <v>13</v>
      </c>
      <c r="H6" s="705" t="s">
        <v>14</v>
      </c>
      <c r="I6" s="705" t="s">
        <v>11</v>
      </c>
      <c r="J6" s="705" t="s">
        <v>12</v>
      </c>
      <c r="K6" s="705" t="s">
        <v>13</v>
      </c>
      <c r="L6" s="705" t="s">
        <v>14</v>
      </c>
      <c r="M6" s="705" t="s">
        <v>11</v>
      </c>
      <c r="N6" s="705" t="s">
        <v>12</v>
      </c>
      <c r="O6" s="705" t="s">
        <v>13</v>
      </c>
      <c r="P6" s="1494"/>
    </row>
    <row r="7" spans="1:16" s="766" customFormat="1" ht="30" x14ac:dyDescent="0.35">
      <c r="A7" s="764" t="s">
        <v>115</v>
      </c>
      <c r="B7" s="764" t="s">
        <v>116</v>
      </c>
      <c r="C7" s="765" t="s">
        <v>117</v>
      </c>
      <c r="D7" s="765" t="s">
        <v>118</v>
      </c>
      <c r="E7" s="765" t="s">
        <v>119</v>
      </c>
      <c r="F7" s="765" t="s">
        <v>120</v>
      </c>
      <c r="G7" s="765" t="s">
        <v>121</v>
      </c>
      <c r="H7" s="765" t="s">
        <v>122</v>
      </c>
      <c r="I7" s="765" t="s">
        <v>123</v>
      </c>
      <c r="J7" s="765" t="s">
        <v>125</v>
      </c>
      <c r="K7" s="764" t="s">
        <v>88</v>
      </c>
      <c r="L7" s="765" t="s">
        <v>126</v>
      </c>
      <c r="M7" s="765" t="s">
        <v>127</v>
      </c>
      <c r="N7" s="765" t="s">
        <v>128</v>
      </c>
      <c r="O7" s="765" t="s">
        <v>129</v>
      </c>
      <c r="P7" s="765" t="s">
        <v>130</v>
      </c>
    </row>
    <row r="8" spans="1:16" s="708" customFormat="1" ht="18.75" customHeight="1" x14ac:dyDescent="0.35">
      <c r="A8" s="706"/>
      <c r="B8" s="707" t="s">
        <v>752</v>
      </c>
      <c r="C8" s="706"/>
      <c r="D8" s="706"/>
      <c r="E8" s="706"/>
      <c r="F8" s="706"/>
      <c r="G8" s="706"/>
      <c r="H8" s="706"/>
      <c r="I8" s="706"/>
      <c r="J8" s="706"/>
      <c r="K8" s="706"/>
      <c r="L8" s="706"/>
      <c r="M8" s="706"/>
      <c r="N8" s="706"/>
      <c r="O8" s="706"/>
      <c r="P8" s="706"/>
    </row>
    <row r="9" spans="1:16" ht="18.75" customHeight="1" x14ac:dyDescent="0.35">
      <c r="A9" s="709"/>
      <c r="B9" s="707" t="s">
        <v>343</v>
      </c>
      <c r="C9" s="709"/>
      <c r="D9" s="709"/>
      <c r="E9" s="709"/>
      <c r="F9" s="709"/>
      <c r="G9" s="709"/>
      <c r="H9" s="709"/>
      <c r="I9" s="709"/>
      <c r="J9" s="709"/>
      <c r="K9" s="709"/>
      <c r="L9" s="709"/>
      <c r="M9" s="709"/>
      <c r="N9" s="709"/>
      <c r="O9" s="709"/>
      <c r="P9" s="709"/>
    </row>
    <row r="10" spans="1:16" ht="18.75" customHeight="1" x14ac:dyDescent="0.35">
      <c r="A10" s="709"/>
      <c r="B10" s="707" t="s">
        <v>753</v>
      </c>
      <c r="C10" s="709"/>
      <c r="D10" s="709"/>
      <c r="E10" s="709"/>
      <c r="F10" s="709"/>
      <c r="G10" s="709"/>
      <c r="H10" s="709"/>
      <c r="I10" s="709"/>
      <c r="J10" s="709"/>
      <c r="K10" s="709"/>
      <c r="L10" s="709"/>
      <c r="M10" s="709"/>
      <c r="N10" s="709"/>
      <c r="O10" s="709"/>
      <c r="P10" s="709"/>
    </row>
    <row r="11" spans="1:16" ht="31" x14ac:dyDescent="0.35">
      <c r="A11" s="709"/>
      <c r="B11" s="707" t="s">
        <v>868</v>
      </c>
      <c r="C11" s="709"/>
      <c r="D11" s="709"/>
      <c r="E11" s="709"/>
      <c r="F11" s="709"/>
      <c r="G11" s="709"/>
      <c r="H11" s="709"/>
      <c r="I11" s="709"/>
      <c r="J11" s="709"/>
      <c r="K11" s="709"/>
      <c r="L11" s="709"/>
      <c r="M11" s="709"/>
      <c r="N11" s="709"/>
      <c r="O11" s="709"/>
      <c r="P11" s="709"/>
    </row>
    <row r="12" spans="1:16" ht="31" x14ac:dyDescent="0.35">
      <c r="A12" s="709"/>
      <c r="B12" s="707" t="s">
        <v>869</v>
      </c>
      <c r="C12" s="709"/>
      <c r="D12" s="709"/>
      <c r="E12" s="709"/>
      <c r="F12" s="709"/>
      <c r="G12" s="709"/>
      <c r="H12" s="709"/>
      <c r="I12" s="709"/>
      <c r="J12" s="709"/>
      <c r="K12" s="709"/>
      <c r="L12" s="709"/>
      <c r="M12" s="709"/>
      <c r="N12" s="709"/>
      <c r="O12" s="709"/>
      <c r="P12" s="709"/>
    </row>
    <row r="13" spans="1:16" ht="18.75" customHeight="1" x14ac:dyDescent="0.35">
      <c r="A13" s="709"/>
      <c r="B13" s="707" t="s">
        <v>584</v>
      </c>
      <c r="C13" s="709"/>
      <c r="D13" s="710"/>
      <c r="E13" s="710"/>
      <c r="F13" s="710"/>
      <c r="G13" s="710"/>
      <c r="H13" s="710"/>
      <c r="I13" s="710"/>
      <c r="J13" s="710"/>
      <c r="K13" s="710"/>
      <c r="L13" s="710"/>
      <c r="M13" s="710"/>
      <c r="N13" s="710"/>
      <c r="O13" s="710"/>
      <c r="P13" s="709"/>
    </row>
    <row r="14" spans="1:16" s="719" customFormat="1" ht="15.75" customHeight="1" x14ac:dyDescent="0.25">
      <c r="A14" s="711" t="s">
        <v>7</v>
      </c>
      <c r="B14" s="712" t="s">
        <v>555</v>
      </c>
      <c r="C14" s="713"/>
      <c r="D14" s="714">
        <f>'Bieu3 GDTH'!E24</f>
        <v>5037</v>
      </c>
      <c r="E14" s="715">
        <f>'Bieu3 GDTH'!F24</f>
        <v>2632</v>
      </c>
      <c r="F14" s="715">
        <f>'Bieu3 GDTH'!G24</f>
        <v>1625</v>
      </c>
      <c r="G14" s="715">
        <f>'Bieu3 GDTH'!H24</f>
        <v>780</v>
      </c>
      <c r="H14" s="715">
        <f>'Bieu3 GDTH'!I24</f>
        <v>432.25</v>
      </c>
      <c r="I14" s="715">
        <f>'Bieu3 GDTH'!J24</f>
        <v>229.5</v>
      </c>
      <c r="J14" s="715">
        <f>'Bieu3 GDTH'!K24</f>
        <v>202.75</v>
      </c>
      <c r="K14" s="716">
        <f>'Bieu3 GDTH'!L24</f>
        <v>0</v>
      </c>
      <c r="L14" s="715">
        <f>'Bieu3 GDTH'!M24</f>
        <v>4604.75</v>
      </c>
      <c r="M14" s="715">
        <f>'Bieu3 GDTH'!N24</f>
        <v>2402.5</v>
      </c>
      <c r="N14" s="715">
        <f>'Bieu3 GDTH'!O24</f>
        <v>1422.25</v>
      </c>
      <c r="O14" s="717">
        <f>'Bieu3 GDTH'!P24</f>
        <v>780</v>
      </c>
      <c r="P14" s="718"/>
    </row>
    <row r="15" spans="1:16" s="719" customFormat="1" ht="15.75" customHeight="1" x14ac:dyDescent="0.25">
      <c r="A15" s="720"/>
      <c r="B15" s="721"/>
      <c r="C15" s="722"/>
      <c r="D15" s="723"/>
      <c r="E15" s="723"/>
      <c r="F15" s="723"/>
      <c r="G15" s="723"/>
      <c r="H15" s="723"/>
      <c r="I15" s="723"/>
      <c r="J15" s="723"/>
      <c r="K15" s="724"/>
      <c r="L15" s="723"/>
      <c r="M15" s="723"/>
      <c r="N15" s="723"/>
      <c r="O15" s="724"/>
      <c r="P15" s="725"/>
    </row>
    <row r="16" spans="1:16" s="719" customFormat="1" ht="19.5" customHeight="1" x14ac:dyDescent="0.25">
      <c r="A16" s="726" t="s">
        <v>8</v>
      </c>
      <c r="B16" s="727" t="s">
        <v>553</v>
      </c>
      <c r="C16" s="728"/>
      <c r="D16" s="729">
        <f>'Bieu3 GDMN'!E25</f>
        <v>5580</v>
      </c>
      <c r="E16" s="729">
        <f>'Bieu3 GDMN'!F25</f>
        <v>2700</v>
      </c>
      <c r="F16" s="729">
        <f>'Bieu3 GDMN'!G25</f>
        <v>1890</v>
      </c>
      <c r="G16" s="729">
        <f>'Bieu3 GDMN'!H25</f>
        <v>960</v>
      </c>
      <c r="H16" s="729">
        <f>'Bieu3 GDMN'!I25</f>
        <v>504.25</v>
      </c>
      <c r="I16" s="729">
        <f>'Bieu3 GDMN'!J25</f>
        <v>324</v>
      </c>
      <c r="J16" s="729">
        <f>'Bieu3 GDMN'!K25</f>
        <v>180.25</v>
      </c>
      <c r="K16" s="730">
        <f>'Bieu3 GDMN'!L25</f>
        <v>0</v>
      </c>
      <c r="L16" s="729">
        <f>'Bieu3 GDMN'!M25</f>
        <v>5045.75</v>
      </c>
      <c r="M16" s="729">
        <f>'Bieu3 GDMN'!N25</f>
        <v>2376</v>
      </c>
      <c r="N16" s="729">
        <f>'Bieu3 GDMN'!O25</f>
        <v>1709.75</v>
      </c>
      <c r="O16" s="730">
        <f>'Bieu3 GDMN'!P25</f>
        <v>960</v>
      </c>
      <c r="P16" s="731"/>
    </row>
    <row r="17" spans="1:17" s="719" customFormat="1" ht="15.75" customHeight="1" x14ac:dyDescent="0.25">
      <c r="A17" s="720"/>
      <c r="B17" s="721"/>
      <c r="C17" s="722"/>
      <c r="D17" s="723"/>
      <c r="E17" s="723"/>
      <c r="F17" s="723"/>
      <c r="G17" s="723"/>
      <c r="H17" s="723"/>
      <c r="I17" s="723"/>
      <c r="J17" s="723"/>
      <c r="K17" s="724"/>
      <c r="L17" s="723"/>
      <c r="M17" s="723"/>
      <c r="N17" s="723"/>
      <c r="O17" s="724"/>
      <c r="P17" s="725"/>
    </row>
    <row r="18" spans="1:17" s="719" customFormat="1" ht="15.75" customHeight="1" x14ac:dyDescent="0.25">
      <c r="A18" s="711" t="s">
        <v>25</v>
      </c>
      <c r="B18" s="712" t="s">
        <v>554</v>
      </c>
      <c r="C18" s="722"/>
      <c r="D18" s="732">
        <f>'Bieu3 QLGD'!E25</f>
        <v>4025</v>
      </c>
      <c r="E18" s="732">
        <f>'Bieu3 QLGD'!F25</f>
        <v>1890</v>
      </c>
      <c r="F18" s="732">
        <f>'Bieu3 QLGD'!G25</f>
        <v>1485</v>
      </c>
      <c r="G18" s="732">
        <f>'Bieu3 QLGD'!H25</f>
        <v>650</v>
      </c>
      <c r="H18" s="732">
        <f>'Bieu3 QLGD'!I25</f>
        <v>501.75</v>
      </c>
      <c r="I18" s="732">
        <f>'Bieu3 QLGD'!J25</f>
        <v>283.5</v>
      </c>
      <c r="J18" s="732">
        <f>'Bieu3 QLGD'!K25</f>
        <v>218.25</v>
      </c>
      <c r="K18" s="733">
        <f>'Bieu3 QLGD'!L25</f>
        <v>0</v>
      </c>
      <c r="L18" s="732">
        <f>'Bieu3 QLGD'!M25</f>
        <v>3523.25</v>
      </c>
      <c r="M18" s="732">
        <f>'Bieu3 QLGD'!N25</f>
        <v>1606.5</v>
      </c>
      <c r="N18" s="732">
        <f>'Bieu3 QLGD'!O25</f>
        <v>1266.75</v>
      </c>
      <c r="O18" s="733">
        <f>'Bieu3 QLGD'!P25</f>
        <v>650</v>
      </c>
      <c r="P18" s="725"/>
    </row>
    <row r="19" spans="1:17" s="719" customFormat="1" ht="15.75" customHeight="1" x14ac:dyDescent="0.25">
      <c r="A19" s="711"/>
      <c r="B19" s="712"/>
      <c r="C19" s="722"/>
      <c r="D19" s="734"/>
      <c r="E19" s="734"/>
      <c r="F19" s="734"/>
      <c r="G19" s="734"/>
      <c r="H19" s="734"/>
      <c r="I19" s="734"/>
      <c r="J19" s="734"/>
      <c r="K19" s="735"/>
      <c r="L19" s="734"/>
      <c r="M19" s="734"/>
      <c r="N19" s="734"/>
      <c r="O19" s="735"/>
      <c r="P19" s="725"/>
    </row>
    <row r="20" spans="1:17" s="719" customFormat="1" ht="15.75" customHeight="1" x14ac:dyDescent="0.25">
      <c r="A20" s="711" t="s">
        <v>36</v>
      </c>
      <c r="B20" s="712" t="s">
        <v>551</v>
      </c>
      <c r="C20" s="722"/>
      <c r="D20" s="732">
        <f>'Bieu3 TLH'!E22</f>
        <v>3460</v>
      </c>
      <c r="E20" s="732">
        <f>'Bieu3 TLH'!F22</f>
        <v>1620</v>
      </c>
      <c r="F20" s="732">
        <f>'Bieu3 TLH'!G22</f>
        <v>1250</v>
      </c>
      <c r="G20" s="732">
        <f>'Bieu3 TLH'!H22</f>
        <v>590</v>
      </c>
      <c r="H20" s="732">
        <f>'Bieu3 TLH'!I22</f>
        <v>208.25</v>
      </c>
      <c r="I20" s="732">
        <f>'Bieu3 TLH'!J22</f>
        <v>121.5</v>
      </c>
      <c r="J20" s="732">
        <f>'Bieu3 TLH'!K22</f>
        <v>86.75</v>
      </c>
      <c r="K20" s="733">
        <f>'Bieu3 TLH'!L22</f>
        <v>0</v>
      </c>
      <c r="L20" s="732">
        <f>'Bieu3 TLH'!M22</f>
        <v>3251.75</v>
      </c>
      <c r="M20" s="732">
        <f>'Bieu3 TLH'!N22</f>
        <v>1498.5</v>
      </c>
      <c r="N20" s="732">
        <f>'Bieu3 TLH'!O22</f>
        <v>1163.25</v>
      </c>
      <c r="O20" s="733">
        <f>'Bieu3 TLH'!P22</f>
        <v>590</v>
      </c>
      <c r="P20" s="725"/>
    </row>
    <row r="21" spans="1:17" s="719" customFormat="1" ht="15.75" customHeight="1" x14ac:dyDescent="0.25">
      <c r="A21" s="711"/>
      <c r="B21" s="712"/>
      <c r="C21" s="722"/>
      <c r="D21" s="734"/>
      <c r="E21" s="734"/>
      <c r="F21" s="734"/>
      <c r="G21" s="734"/>
      <c r="H21" s="734"/>
      <c r="I21" s="734"/>
      <c r="J21" s="734"/>
      <c r="K21" s="735"/>
      <c r="L21" s="734"/>
      <c r="M21" s="734"/>
      <c r="N21" s="734"/>
      <c r="O21" s="735"/>
      <c r="P21" s="725"/>
    </row>
    <row r="22" spans="1:17" s="719" customFormat="1" ht="15.75" customHeight="1" x14ac:dyDescent="0.25">
      <c r="A22" s="711" t="s">
        <v>40</v>
      </c>
      <c r="B22" s="712" t="s">
        <v>552</v>
      </c>
      <c r="C22" s="722"/>
      <c r="D22" s="732">
        <f>'Bieu3 GDH'!E20</f>
        <v>2280</v>
      </c>
      <c r="E22" s="732">
        <f>'Bieu3 GDH'!F20</f>
        <v>1080</v>
      </c>
      <c r="F22" s="732">
        <f>'Bieu3 GDH'!G20</f>
        <v>830</v>
      </c>
      <c r="G22" s="732">
        <f>'Bieu3 GDH'!H20</f>
        <v>370</v>
      </c>
      <c r="H22" s="732">
        <f>'Bieu3 GDH'!I20</f>
        <v>65.25</v>
      </c>
      <c r="I22" s="732">
        <f>'Bieu3 GDH'!J20</f>
        <v>40.5</v>
      </c>
      <c r="J22" s="732">
        <f>'Bieu3 GDH'!K20</f>
        <v>24.75</v>
      </c>
      <c r="K22" s="733">
        <f>'Bieu3 GDH'!L20</f>
        <v>0</v>
      </c>
      <c r="L22" s="732">
        <f>'Bieu3 GDH'!M20</f>
        <v>2214.75</v>
      </c>
      <c r="M22" s="732">
        <f>'Bieu3 GDH'!N20</f>
        <v>1039.5</v>
      </c>
      <c r="N22" s="732">
        <f>'Bieu3 GDH'!O20</f>
        <v>805.25</v>
      </c>
      <c r="O22" s="733">
        <f>'Bieu3 GDH'!P20</f>
        <v>370</v>
      </c>
      <c r="P22" s="725"/>
    </row>
    <row r="23" spans="1:17" s="719" customFormat="1" ht="15.75" customHeight="1" x14ac:dyDescent="0.25">
      <c r="A23" s="720"/>
      <c r="B23" s="721"/>
      <c r="C23" s="722"/>
      <c r="D23" s="723"/>
      <c r="E23" s="723"/>
      <c r="F23" s="723"/>
      <c r="G23" s="723"/>
      <c r="H23" s="723"/>
      <c r="I23" s="723"/>
      <c r="J23" s="723"/>
      <c r="K23" s="724"/>
      <c r="L23" s="723"/>
      <c r="M23" s="723"/>
      <c r="N23" s="723"/>
      <c r="O23" s="724"/>
      <c r="P23" s="725"/>
    </row>
    <row r="24" spans="1:17" s="719" customFormat="1" ht="15.75" customHeight="1" x14ac:dyDescent="0.25">
      <c r="A24" s="1498" t="s">
        <v>22</v>
      </c>
      <c r="B24" s="1499"/>
      <c r="C24" s="736"/>
      <c r="D24" s="737">
        <f>SUM(D14:D22)</f>
        <v>20382</v>
      </c>
      <c r="E24" s="737">
        <f>SUM(E14:E22)</f>
        <v>9922</v>
      </c>
      <c r="F24" s="737">
        <f t="shared" ref="F24:O24" si="0">SUM(F14:F22)</f>
        <v>7080</v>
      </c>
      <c r="G24" s="737">
        <f t="shared" si="0"/>
        <v>3350</v>
      </c>
      <c r="H24" s="737">
        <f t="shared" si="0"/>
        <v>1711.75</v>
      </c>
      <c r="I24" s="737">
        <f t="shared" si="0"/>
        <v>999</v>
      </c>
      <c r="J24" s="737">
        <f t="shared" si="0"/>
        <v>712.75</v>
      </c>
      <c r="K24" s="738">
        <f t="shared" si="0"/>
        <v>0</v>
      </c>
      <c r="L24" s="737">
        <f t="shared" si="0"/>
        <v>18640.25</v>
      </c>
      <c r="M24" s="737">
        <f t="shared" si="0"/>
        <v>8923</v>
      </c>
      <c r="N24" s="737">
        <f t="shared" si="0"/>
        <v>6367.25</v>
      </c>
      <c r="O24" s="738">
        <f t="shared" si="0"/>
        <v>3350</v>
      </c>
      <c r="P24" s="739"/>
    </row>
    <row r="25" spans="1:17" x14ac:dyDescent="0.35">
      <c r="A25" s="740"/>
      <c r="B25" s="701"/>
      <c r="C25" s="701"/>
      <c r="D25" s="1490" t="s">
        <v>919</v>
      </c>
      <c r="E25" s="1490"/>
      <c r="F25" s="1490"/>
      <c r="G25" s="1490"/>
      <c r="H25" s="1490"/>
      <c r="I25" s="1490"/>
      <c r="J25" s="1490"/>
      <c r="K25" s="1490"/>
      <c r="L25" s="1490"/>
      <c r="M25" s="1490"/>
      <c r="N25" s="1490"/>
      <c r="O25" s="1490"/>
      <c r="P25" s="1490"/>
    </row>
    <row r="26" spans="1:17" x14ac:dyDescent="0.35">
      <c r="A26" s="740"/>
      <c r="B26" s="741"/>
      <c r="C26" s="701"/>
      <c r="E26" s="742"/>
      <c r="F26" s="742"/>
      <c r="G26" s="742"/>
      <c r="H26" s="742"/>
      <c r="I26" s="742"/>
      <c r="J26" s="742"/>
      <c r="K26" s="742"/>
      <c r="L26" s="742"/>
      <c r="M26" s="1497" t="s">
        <v>550</v>
      </c>
      <c r="N26" s="1497"/>
      <c r="O26" s="1497"/>
      <c r="P26" s="1497"/>
    </row>
    <row r="27" spans="1:17" x14ac:dyDescent="0.35">
      <c r="A27" s="1500" t="s">
        <v>870</v>
      </c>
      <c r="B27" s="1500"/>
      <c r="C27" s="1500"/>
      <c r="D27" s="1500"/>
      <c r="E27" s="1500"/>
      <c r="F27" s="1500"/>
      <c r="G27" s="1500"/>
      <c r="H27" s="1500"/>
      <c r="I27" s="1500"/>
      <c r="J27" s="1500"/>
      <c r="K27" s="1500"/>
      <c r="L27" s="1500"/>
      <c r="M27" s="703"/>
      <c r="N27" s="703"/>
      <c r="O27" s="703"/>
      <c r="P27" s="703"/>
    </row>
    <row r="28" spans="1:17" x14ac:dyDescent="0.35">
      <c r="A28" s="740"/>
      <c r="B28" s="743"/>
      <c r="C28" s="701"/>
      <c r="H28" s="744"/>
      <c r="I28" s="744"/>
      <c r="J28" s="744"/>
      <c r="K28" s="744"/>
      <c r="L28" s="744"/>
      <c r="M28" s="744"/>
      <c r="Q28" s="742"/>
    </row>
    <row r="29" spans="1:17" x14ac:dyDescent="0.35">
      <c r="A29" s="740"/>
      <c r="B29" s="701"/>
      <c r="C29" s="701"/>
      <c r="D29" s="703"/>
      <c r="E29" s="703"/>
      <c r="F29" s="703"/>
      <c r="G29" s="703"/>
      <c r="H29" s="703"/>
      <c r="I29" s="703"/>
      <c r="J29" s="703"/>
      <c r="K29" s="703"/>
      <c r="L29" s="703"/>
    </row>
    <row r="30" spans="1:17" x14ac:dyDescent="0.35">
      <c r="N30" s="1497" t="s">
        <v>766</v>
      </c>
      <c r="O30" s="1497"/>
      <c r="P30" s="1497"/>
    </row>
  </sheetData>
  <mergeCells count="18">
    <mergeCell ref="A24:B24"/>
    <mergeCell ref="N30:P30"/>
    <mergeCell ref="D25:P25"/>
    <mergeCell ref="M26:P26"/>
    <mergeCell ref="A27:L27"/>
    <mergeCell ref="A1:B1"/>
    <mergeCell ref="D1:O1"/>
    <mergeCell ref="A2:B2"/>
    <mergeCell ref="D2:O2"/>
    <mergeCell ref="A3:P3"/>
    <mergeCell ref="G4:P4"/>
    <mergeCell ref="A5:A6"/>
    <mergeCell ref="B5:B6"/>
    <mergeCell ref="C5:C6"/>
    <mergeCell ref="D5:G5"/>
    <mergeCell ref="H5:K5"/>
    <mergeCell ref="L5:O5"/>
    <mergeCell ref="P5:P6"/>
  </mergeCells>
  <pageMargins left="0.34" right="0.2" top="0.35" bottom="0.17" header="0.45" footer="0.17"/>
  <pageSetup paperSize="9" orientation="landscape"/>
  <ignoredErrors>
    <ignoredError sqref="D24 L24:M24"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26"/>
  <sheetViews>
    <sheetView zoomScale="115" zoomScaleNormal="115" zoomScalePageLayoutView="115" workbookViewId="0">
      <pane xSplit="2" ySplit="7" topLeftCell="C8" activePane="bottomRight" state="frozen"/>
      <selection pane="topRight" activeCell="C1" sqref="C1"/>
      <selection pane="bottomLeft" activeCell="A8" sqref="A8"/>
      <selection pane="bottomRight" activeCell="E21" sqref="E21:Q21"/>
    </sheetView>
  </sheetViews>
  <sheetFormatPr defaultColWidth="8.81640625" defaultRowHeight="12.5" x14ac:dyDescent="0.25"/>
  <cols>
    <col min="1" max="1" width="5.453125" style="1" customWidth="1"/>
    <col min="2" max="2" width="32.453125" style="2" customWidth="1"/>
    <col min="3" max="3" width="7" style="2" customWidth="1"/>
    <col min="4" max="4" width="6.453125" style="2" customWidth="1"/>
    <col min="5" max="6" width="5.6328125" customWidth="1"/>
    <col min="7" max="7" width="6.453125" customWidth="1"/>
    <col min="8" max="8" width="6.6328125" customWidth="1"/>
    <col min="9" max="10" width="5.6328125" customWidth="1"/>
    <col min="11" max="11" width="6.1796875" customWidth="1"/>
    <col min="12" max="12" width="7.453125" customWidth="1"/>
    <col min="13" max="13" width="5.6328125" customWidth="1"/>
    <col min="14" max="14" width="7.453125" customWidth="1"/>
    <col min="15" max="15" width="6.453125" customWidth="1"/>
    <col min="16" max="16" width="7.1796875" customWidth="1"/>
    <col min="17" max="17" width="18.6328125" customWidth="1"/>
  </cols>
  <sheetData>
    <row r="1" spans="1:17" ht="14.25" customHeight="1" x14ac:dyDescent="0.3">
      <c r="A1" s="1511" t="s">
        <v>3</v>
      </c>
      <c r="B1" s="1511"/>
      <c r="C1" s="154"/>
      <c r="D1" s="10"/>
      <c r="E1" s="1435"/>
      <c r="F1" s="1435"/>
      <c r="G1" s="1435"/>
      <c r="H1" s="1435"/>
      <c r="I1" s="1435"/>
      <c r="J1" s="1435"/>
      <c r="K1" s="1435"/>
      <c r="L1" s="1435"/>
      <c r="M1" s="1435"/>
      <c r="N1" s="1435"/>
      <c r="O1" s="1435"/>
      <c r="P1" s="1435"/>
      <c r="Q1" s="150" t="s">
        <v>32</v>
      </c>
    </row>
    <row r="2" spans="1:17" ht="16.5" customHeight="1" x14ac:dyDescent="0.3">
      <c r="A2" s="1439" t="s">
        <v>296</v>
      </c>
      <c r="B2" s="1439"/>
      <c r="C2" s="153"/>
      <c r="D2" s="10"/>
      <c r="E2" s="1496"/>
      <c r="F2" s="1496"/>
      <c r="G2" s="1496"/>
      <c r="H2" s="1496"/>
      <c r="I2" s="1496"/>
      <c r="J2" s="1496"/>
      <c r="K2" s="1496"/>
      <c r="L2" s="1496"/>
      <c r="M2" s="1496"/>
      <c r="N2" s="1496"/>
      <c r="O2" s="1496"/>
      <c r="P2" s="1496"/>
      <c r="Q2" s="11"/>
    </row>
    <row r="3" spans="1:17" ht="21.75" customHeight="1" x14ac:dyDescent="0.25">
      <c r="A3" s="1437" t="s">
        <v>927</v>
      </c>
      <c r="B3" s="1437"/>
      <c r="C3" s="1437"/>
      <c r="D3" s="1437"/>
      <c r="E3" s="1437"/>
      <c r="F3" s="1437"/>
      <c r="G3" s="1437"/>
      <c r="H3" s="1437"/>
      <c r="I3" s="1437"/>
      <c r="J3" s="1437"/>
      <c r="K3" s="1437"/>
      <c r="L3" s="1437"/>
      <c r="M3" s="1437"/>
      <c r="N3" s="1437"/>
      <c r="O3" s="1437"/>
      <c r="P3" s="1437"/>
      <c r="Q3" s="1437"/>
    </row>
    <row r="4" spans="1:17" ht="13.5" thickBot="1" x14ac:dyDescent="0.35">
      <c r="A4" s="51"/>
      <c r="B4" s="51"/>
      <c r="C4" s="51"/>
      <c r="D4" s="51"/>
      <c r="E4" s="51"/>
      <c r="F4" s="51"/>
      <c r="G4" s="51"/>
      <c r="H4" s="1441" t="s">
        <v>75</v>
      </c>
      <c r="I4" s="1441"/>
      <c r="J4" s="1441"/>
      <c r="K4" s="1441"/>
      <c r="L4" s="1441"/>
      <c r="M4" s="1441"/>
      <c r="N4" s="1441"/>
      <c r="O4" s="1441"/>
      <c r="P4" s="1441"/>
      <c r="Q4" s="1441"/>
    </row>
    <row r="5" spans="1:17" ht="27.75" customHeight="1" thickTop="1" x14ac:dyDescent="0.25">
      <c r="A5" s="1506" t="s">
        <v>0</v>
      </c>
      <c r="B5" s="1508" t="s">
        <v>9</v>
      </c>
      <c r="C5" s="156"/>
      <c r="D5" s="1508" t="s">
        <v>10</v>
      </c>
      <c r="E5" s="1510" t="s">
        <v>15</v>
      </c>
      <c r="F5" s="1510"/>
      <c r="G5" s="1510"/>
      <c r="H5" s="1510"/>
      <c r="I5" s="1510" t="s">
        <v>212</v>
      </c>
      <c r="J5" s="1510"/>
      <c r="K5" s="1510"/>
      <c r="L5" s="1510"/>
      <c r="M5" s="1510" t="s">
        <v>16</v>
      </c>
      <c r="N5" s="1510"/>
      <c r="O5" s="1510"/>
      <c r="P5" s="1510"/>
      <c r="Q5" s="1501" t="s">
        <v>2</v>
      </c>
    </row>
    <row r="6" spans="1:17" ht="51" customHeight="1" x14ac:dyDescent="0.25">
      <c r="A6" s="1507"/>
      <c r="B6" s="1509"/>
      <c r="C6" s="49" t="s">
        <v>295</v>
      </c>
      <c r="D6" s="1509"/>
      <c r="E6" s="49" t="s">
        <v>14</v>
      </c>
      <c r="F6" s="49" t="s">
        <v>11</v>
      </c>
      <c r="G6" s="49" t="s">
        <v>12</v>
      </c>
      <c r="H6" s="49" t="s">
        <v>13</v>
      </c>
      <c r="I6" s="49" t="s">
        <v>14</v>
      </c>
      <c r="J6" s="49" t="s">
        <v>11</v>
      </c>
      <c r="K6" s="49" t="s">
        <v>12</v>
      </c>
      <c r="L6" s="49" t="s">
        <v>13</v>
      </c>
      <c r="M6" s="49" t="s">
        <v>14</v>
      </c>
      <c r="N6" s="49" t="s">
        <v>11</v>
      </c>
      <c r="O6" s="49" t="s">
        <v>12</v>
      </c>
      <c r="P6" s="49" t="s">
        <v>13</v>
      </c>
      <c r="Q6" s="1502"/>
    </row>
    <row r="7" spans="1:17" ht="21" x14ac:dyDescent="0.25">
      <c r="A7" s="62" t="s">
        <v>115</v>
      </c>
      <c r="B7" s="58" t="s">
        <v>116</v>
      </c>
      <c r="C7" s="58"/>
      <c r="D7" s="59" t="s">
        <v>117</v>
      </c>
      <c r="E7" s="59" t="s">
        <v>118</v>
      </c>
      <c r="F7" s="59" t="s">
        <v>119</v>
      </c>
      <c r="G7" s="59" t="s">
        <v>120</v>
      </c>
      <c r="H7" s="59" t="s">
        <v>121</v>
      </c>
      <c r="I7" s="59" t="s">
        <v>122</v>
      </c>
      <c r="J7" s="59" t="s">
        <v>123</v>
      </c>
      <c r="K7" s="59" t="s">
        <v>125</v>
      </c>
      <c r="L7" s="60" t="s">
        <v>88</v>
      </c>
      <c r="M7" s="59" t="s">
        <v>126</v>
      </c>
      <c r="N7" s="59" t="s">
        <v>127</v>
      </c>
      <c r="O7" s="59" t="s">
        <v>128</v>
      </c>
      <c r="P7" s="59" t="s">
        <v>129</v>
      </c>
      <c r="Q7" s="63" t="s">
        <v>130</v>
      </c>
    </row>
    <row r="8" spans="1:17" s="17" customFormat="1" ht="18.75" customHeight="1" x14ac:dyDescent="0.25">
      <c r="A8" s="76"/>
      <c r="B8" s="203" t="s">
        <v>928</v>
      </c>
      <c r="C8" s="18"/>
      <c r="D8" s="21"/>
      <c r="E8" s="21"/>
      <c r="F8" s="21"/>
      <c r="G8" s="21"/>
      <c r="H8" s="21"/>
      <c r="I8" s="21"/>
      <c r="J8" s="21"/>
      <c r="K8" s="21"/>
      <c r="L8" s="21"/>
      <c r="M8" s="21"/>
      <c r="N8" s="21"/>
      <c r="O8" s="21"/>
      <c r="P8" s="21"/>
      <c r="Q8" s="77"/>
    </row>
    <row r="9" spans="1:17" ht="18.75" customHeight="1" x14ac:dyDescent="0.25">
      <c r="A9" s="78"/>
      <c r="B9" s="204" t="s">
        <v>557</v>
      </c>
      <c r="C9" s="20"/>
      <c r="D9" s="19"/>
      <c r="E9" s="19"/>
      <c r="F9" s="19"/>
      <c r="G9" s="19"/>
      <c r="H9" s="19"/>
      <c r="I9" s="19"/>
      <c r="J9" s="19"/>
      <c r="K9" s="19"/>
      <c r="L9" s="19"/>
      <c r="M9" s="19"/>
      <c r="N9" s="19"/>
      <c r="O9" s="19"/>
      <c r="P9" s="19"/>
      <c r="Q9" s="79"/>
    </row>
    <row r="10" spans="1:17" ht="18.75" customHeight="1" x14ac:dyDescent="0.25">
      <c r="A10" s="78"/>
      <c r="B10" s="204" t="s">
        <v>929</v>
      </c>
      <c r="C10" s="20"/>
      <c r="D10" s="19"/>
      <c r="E10" s="19"/>
      <c r="F10" s="19"/>
      <c r="G10" s="19"/>
      <c r="H10" s="19"/>
      <c r="I10" s="19"/>
      <c r="J10" s="19"/>
      <c r="K10" s="19"/>
      <c r="L10" s="19"/>
      <c r="M10" s="19"/>
      <c r="N10" s="19"/>
      <c r="O10" s="19"/>
      <c r="P10" s="19"/>
      <c r="Q10" s="79"/>
    </row>
    <row r="11" spans="1:17" ht="22.5" customHeight="1" x14ac:dyDescent="0.25">
      <c r="A11" s="78"/>
      <c r="B11" s="204" t="s">
        <v>297</v>
      </c>
      <c r="C11" s="20"/>
      <c r="D11" s="19"/>
      <c r="E11" s="19"/>
      <c r="F11" s="19"/>
      <c r="G11" s="19"/>
      <c r="H11" s="19"/>
      <c r="I11" s="19"/>
      <c r="J11" s="19"/>
      <c r="K11" s="19"/>
      <c r="L11" s="19"/>
      <c r="M11" s="19"/>
      <c r="N11" s="19"/>
      <c r="O11" s="19"/>
      <c r="P11" s="19"/>
      <c r="Q11" s="79"/>
    </row>
    <row r="12" spans="1:17" ht="18.75" customHeight="1" x14ac:dyDescent="0.25">
      <c r="A12" s="78"/>
      <c r="B12" s="204" t="s">
        <v>930</v>
      </c>
      <c r="C12" s="20"/>
      <c r="D12" s="19"/>
      <c r="E12" s="19"/>
      <c r="F12" s="19"/>
      <c r="G12" s="19"/>
      <c r="H12" s="19"/>
      <c r="I12" s="19"/>
      <c r="J12" s="19"/>
      <c r="K12" s="19"/>
      <c r="L12" s="19"/>
      <c r="M12" s="19"/>
      <c r="N12" s="19"/>
      <c r="O12" s="19"/>
      <c r="P12" s="19"/>
      <c r="Q12" s="79"/>
    </row>
    <row r="13" spans="1:17" ht="18.75" customHeight="1" x14ac:dyDescent="0.25">
      <c r="A13" s="78"/>
      <c r="B13" s="204" t="s">
        <v>298</v>
      </c>
      <c r="C13" s="20"/>
      <c r="D13" s="19"/>
      <c r="E13" s="19"/>
      <c r="F13" s="19"/>
      <c r="G13" s="19"/>
      <c r="H13" s="19"/>
      <c r="I13" s="19"/>
      <c r="J13" s="19"/>
      <c r="K13" s="19"/>
      <c r="L13" s="19"/>
      <c r="M13" s="19"/>
      <c r="N13" s="19"/>
      <c r="O13" s="19"/>
      <c r="P13" s="19"/>
      <c r="Q13" s="79"/>
    </row>
    <row r="14" spans="1:17" s="3" customFormat="1" ht="15.75" customHeight="1" x14ac:dyDescent="0.25">
      <c r="A14" s="80"/>
      <c r="B14" s="81"/>
      <c r="C14" s="81"/>
      <c r="D14" s="82"/>
      <c r="E14" s="83"/>
      <c r="F14" s="83"/>
      <c r="G14" s="83"/>
      <c r="H14" s="83"/>
      <c r="I14" s="83"/>
      <c r="J14" s="83"/>
      <c r="K14" s="83"/>
      <c r="L14" s="83"/>
      <c r="M14" s="83"/>
      <c r="N14" s="83"/>
      <c r="O14" s="83"/>
      <c r="P14" s="83"/>
      <c r="Q14" s="84"/>
    </row>
    <row r="15" spans="1:17" s="3" customFormat="1" ht="15.75" customHeight="1" x14ac:dyDescent="0.25">
      <c r="A15" s="80">
        <v>1</v>
      </c>
      <c r="B15" s="158" t="s">
        <v>339</v>
      </c>
      <c r="C15" s="159">
        <v>6.2</v>
      </c>
      <c r="D15" s="167"/>
      <c r="E15" s="160">
        <f>F15+G15+H15</f>
        <v>705</v>
      </c>
      <c r="F15" s="160">
        <v>270</v>
      </c>
      <c r="G15" s="160">
        <f>IF(C15&lt;3.33,165,IF(C15&lt;4.32,175,IF(C15&lt;4.4,200,IF(C15&lt;5.76,220,IF(C15&lt;6.2,260,315)))))</f>
        <v>315</v>
      </c>
      <c r="H15" s="160">
        <f>IF(C15&lt;3.33,70,IF(C15&lt;4.32,90,IF(C15&lt;4.4,100,120)))</f>
        <v>120</v>
      </c>
      <c r="I15" s="160">
        <f>J15+K15+L15</f>
        <v>0</v>
      </c>
      <c r="J15" s="160">
        <f>IF(D15="TK",F15*0.3,IF(D15="PK",F15*0.25,IF(OR(D15="TBM",D15="BTLCD"),F15*0.2,IF(OR(D15="PCTCD",D15="CTCD"),F15*0.1,IF(OR(D15="TLĐT",D15="CVHT"),F15*0.15,IF(D15="NCS",F15*0.7,0))))))</f>
        <v>0</v>
      </c>
      <c r="K15" s="160">
        <f>IF(D15="TK",G15*0.3,IF(D15="PK",G15*0.25,IF(OR(D15="TBM",D15="BTLCD"),G15*0.2,IF(OR(D15="PCTCD",D15="CTCD"),F15*0.1,IF(OR(D15="TLĐT",D15="NCS,TLĐT",D15="NCS,CVHT",D15="CVHT"),G15*0.15,0)))))</f>
        <v>0</v>
      </c>
      <c r="L15" s="160">
        <f>IF(OR(D15="NCS",D15="NCS,TLĐT"),H15*0.7,0)</f>
        <v>0</v>
      </c>
      <c r="M15" s="160">
        <f>N15+O15+P15</f>
        <v>705</v>
      </c>
      <c r="N15" s="160">
        <f>F15-J15</f>
        <v>270</v>
      </c>
      <c r="O15" s="160">
        <f>G15-K15</f>
        <v>315</v>
      </c>
      <c r="P15" s="160">
        <f>H15-L15</f>
        <v>120</v>
      </c>
      <c r="Q15" s="161"/>
    </row>
    <row r="16" spans="1:17" s="3" customFormat="1" ht="15.75" customHeight="1" x14ac:dyDescent="0.25">
      <c r="A16" s="80">
        <v>3</v>
      </c>
      <c r="B16" s="158" t="s">
        <v>340</v>
      </c>
      <c r="C16" s="159">
        <v>3.66</v>
      </c>
      <c r="D16" s="167"/>
      <c r="E16" s="160">
        <f>F16+G16+H16</f>
        <v>535</v>
      </c>
      <c r="F16" s="160">
        <v>270</v>
      </c>
      <c r="G16" s="160">
        <f>IF(C16&lt;3.33,165,IF(C16&lt;4.32,175,IF(C16&lt;4.4,200,IF(C16&lt;5.76,220,IF(C16&lt;6.2,260,315)))))</f>
        <v>175</v>
      </c>
      <c r="H16" s="160">
        <f>IF(C16&lt;3.33,70,IF(C16&lt;4.32,90,IF(C16&lt;4.4,100,120)))</f>
        <v>90</v>
      </c>
      <c r="I16" s="160">
        <f>J16+K16+L16</f>
        <v>0</v>
      </c>
      <c r="J16" s="160">
        <f>IF(D16="TK",F16*0.3,IF(D16="PK",F16*0.25,IF(OR(D16="TBM",D16="BTLCD"),F16*0.2,IF(OR(D16="PCTCD",D16="CTCD"),F16*0.1,IF(OR(D16="TLĐT",D16="CVHT"),F16*0.15,IF(D16="NCS",F16*0.7,0))))))</f>
        <v>0</v>
      </c>
      <c r="K16" s="160">
        <f>IF(D16="TK",G16*0.3,IF(D16="PK",G16*0.25,IF(OR(D16="TBM",D16="BTLCD"),G16*0.2,IF(OR(D16="PCTCD",D16="CTCD"),F16*0.1,IF(OR(D16="TLĐT",D16="NCS,TLĐT",D16="NCS,CVHT",D16="CVHT"),G16*0.15,0)))))</f>
        <v>0</v>
      </c>
      <c r="L16" s="160">
        <f>IF(OR(D16="NCS",D16="NCS,TLĐT"),H16*0.7,0)</f>
        <v>0</v>
      </c>
      <c r="M16" s="160">
        <f>N16+O16+P16</f>
        <v>535</v>
      </c>
      <c r="N16" s="160">
        <f t="shared" ref="N16:P18" si="0">F16-J16</f>
        <v>270</v>
      </c>
      <c r="O16" s="160">
        <f t="shared" si="0"/>
        <v>175</v>
      </c>
      <c r="P16" s="160">
        <f t="shared" si="0"/>
        <v>90</v>
      </c>
      <c r="Q16" s="162"/>
    </row>
    <row r="17" spans="1:17" s="3" customFormat="1" ht="15.75" customHeight="1" x14ac:dyDescent="0.25">
      <c r="A17" s="80">
        <v>4</v>
      </c>
      <c r="B17" s="158" t="s">
        <v>341</v>
      </c>
      <c r="C17" s="164">
        <v>3.66</v>
      </c>
      <c r="D17" s="167"/>
      <c r="E17" s="160">
        <f>F17+G17+H17</f>
        <v>535</v>
      </c>
      <c r="F17" s="160">
        <v>270</v>
      </c>
      <c r="G17" s="160">
        <f>IF(C17&lt;3.33,165,IF(C17&lt;4.32,175,IF(C17&lt;4.4,200,IF(C17&lt;5.76,220,IF(C17&lt;6.2,260,315)))))</f>
        <v>175</v>
      </c>
      <c r="H17" s="160">
        <f>IF(C17&lt;3.33,70,IF(C17&lt;4.32,90,IF(C17&lt;4.4,100,120)))</f>
        <v>90</v>
      </c>
      <c r="I17" s="160">
        <f>J17+K17+L17</f>
        <v>0</v>
      </c>
      <c r="J17" s="160">
        <f>IF(D17="TK",F17*0.3,IF(D17="PK",F17*0.25,IF(OR(D17="TBM",D17="BTLCD"),F17*0.2,IF(OR(D17="PCTCD",D17="CTCD"),F17*0.1,IF(OR(D17="TLĐT",D17="CVHT"),F17*0.15,IF(D17="NCS",F17*0.7,0))))))</f>
        <v>0</v>
      </c>
      <c r="K17" s="160">
        <f>IF(D17="TK",G17*0.3,IF(D17="PK",G17*0.25,IF(OR(D17="TBM",D17="BTLCD"),G17*0.2,IF(OR(D17="PCTCD",D17="CTCD"),F17*0.1,IF(OR(D17="TLĐT",D17="NCS,TLĐT",D17="NCS,CVHT",D17="CVHT"),G17*0.15,0)))))</f>
        <v>0</v>
      </c>
      <c r="L17" s="160">
        <f>IF(OR(D17="NCS",D17="NCS,TLĐT"),H17*0.7,0)</f>
        <v>0</v>
      </c>
      <c r="M17" s="160">
        <f>N17+O17+P17</f>
        <v>535</v>
      </c>
      <c r="N17" s="160">
        <f t="shared" si="0"/>
        <v>270</v>
      </c>
      <c r="O17" s="160">
        <f t="shared" si="0"/>
        <v>175</v>
      </c>
      <c r="P17" s="160">
        <f t="shared" si="0"/>
        <v>90</v>
      </c>
      <c r="Q17" s="172"/>
    </row>
    <row r="18" spans="1:17" s="3" customFormat="1" ht="15.75" customHeight="1" x14ac:dyDescent="0.25">
      <c r="A18" s="80">
        <v>5</v>
      </c>
      <c r="B18" s="163" t="s">
        <v>342</v>
      </c>
      <c r="C18" s="164">
        <v>2.34</v>
      </c>
      <c r="D18" s="167" t="s">
        <v>332</v>
      </c>
      <c r="E18" s="160">
        <f>F18+G18+H18</f>
        <v>505</v>
      </c>
      <c r="F18" s="160">
        <v>270</v>
      </c>
      <c r="G18" s="160">
        <f>IF(C18&lt;3.33,165,IF(C18&lt;4.32,175,IF(C18&lt;4.4,200,IF(C18&lt;5.76,220,IF(C18&lt;6.2,260,315)))))</f>
        <v>165</v>
      </c>
      <c r="H18" s="160">
        <f>IF(C18&lt;3.33,70,IF(C18&lt;4.32,90,IF(C18&lt;4.4,100,120)))</f>
        <v>70</v>
      </c>
      <c r="I18" s="160">
        <f>J18+K18+L18</f>
        <v>65.25</v>
      </c>
      <c r="J18" s="160">
        <f>IF(D18="TK",F18*0.3,IF(D18="PK",F18*0.25,IF(OR(D18="TBM",D18="BTLCD"),F18*0.2,IF(OR(D18="PCTCD",D18="CTCD"),F18*0.1,IF(OR(D18="TLĐT",D18="CVHT"),F18*0.15,IF(D18="NCS",F18*0.7,0))))))</f>
        <v>40.5</v>
      </c>
      <c r="K18" s="160">
        <f>IF(D18="TK",G18*0.3,IF(D18="PK",G18*0.25,IF(OR(D18="TBM",D18="BTLCD"),G18*0.2,IF(OR(D18="PCTCD",D18="CTCD"),F18*0.1,IF(OR(D18="TLĐT",D18="NCS,TLĐT",D18="NCS,CVHT",D18="CVHT"),G18*0.15,0)))))</f>
        <v>24.75</v>
      </c>
      <c r="L18" s="160">
        <f>IF(OR(D18="NCS",D18="NCS,TLĐT"),H18*0.7,0)</f>
        <v>0</v>
      </c>
      <c r="M18" s="160">
        <f>N18+O18+P18</f>
        <v>439.75</v>
      </c>
      <c r="N18" s="160">
        <f t="shared" si="0"/>
        <v>229.5</v>
      </c>
      <c r="O18" s="160">
        <f t="shared" si="0"/>
        <v>140.25</v>
      </c>
      <c r="P18" s="160">
        <f t="shared" si="0"/>
        <v>70</v>
      </c>
      <c r="Q18" s="162" t="s">
        <v>861</v>
      </c>
    </row>
    <row r="19" spans="1:17" s="3" customFormat="1" ht="15.75" customHeight="1" x14ac:dyDescent="0.25">
      <c r="A19" s="85"/>
      <c r="B19" s="86"/>
      <c r="C19" s="86"/>
      <c r="D19" s="87"/>
      <c r="E19" s="88"/>
      <c r="F19" s="88"/>
      <c r="G19" s="88"/>
      <c r="H19" s="88"/>
      <c r="I19" s="88"/>
      <c r="J19" s="88"/>
      <c r="K19" s="88"/>
      <c r="L19" s="88"/>
      <c r="M19" s="88"/>
      <c r="N19" s="88"/>
      <c r="O19" s="88"/>
      <c r="P19" s="88"/>
      <c r="Q19" s="89"/>
    </row>
    <row r="20" spans="1:17" s="3" customFormat="1" ht="15.75" customHeight="1" thickBot="1" x14ac:dyDescent="0.3">
      <c r="A20" s="1503" t="s">
        <v>322</v>
      </c>
      <c r="B20" s="1504"/>
      <c r="C20" s="155"/>
      <c r="D20" s="90"/>
      <c r="E20" s="168">
        <f t="shared" ref="E20:P20" si="1">SUM(E15:E18)</f>
        <v>2280</v>
      </c>
      <c r="F20" s="168">
        <f t="shared" si="1"/>
        <v>1080</v>
      </c>
      <c r="G20" s="168">
        <f t="shared" si="1"/>
        <v>830</v>
      </c>
      <c r="H20" s="168">
        <f t="shared" si="1"/>
        <v>370</v>
      </c>
      <c r="I20" s="168">
        <f t="shared" si="1"/>
        <v>65.25</v>
      </c>
      <c r="J20" s="168">
        <f t="shared" si="1"/>
        <v>40.5</v>
      </c>
      <c r="K20" s="168">
        <f t="shared" si="1"/>
        <v>24.75</v>
      </c>
      <c r="L20" s="168">
        <f t="shared" si="1"/>
        <v>0</v>
      </c>
      <c r="M20" s="168">
        <f t="shared" si="1"/>
        <v>2214.75</v>
      </c>
      <c r="N20" s="458">
        <f>SUM(N15:N18)</f>
        <v>1039.5</v>
      </c>
      <c r="O20" s="168">
        <f t="shared" si="1"/>
        <v>805.25</v>
      </c>
      <c r="P20" s="168">
        <f t="shared" si="1"/>
        <v>370</v>
      </c>
      <c r="Q20" s="91"/>
    </row>
    <row r="21" spans="1:17" ht="13.5" thickTop="1" x14ac:dyDescent="0.3">
      <c r="A21" s="14"/>
      <c r="B21" s="10"/>
      <c r="C21" s="10"/>
      <c r="D21" s="10"/>
      <c r="E21" s="1505" t="s">
        <v>919</v>
      </c>
      <c r="F21" s="1505"/>
      <c r="G21" s="1505"/>
      <c r="H21" s="1505"/>
      <c r="I21" s="1505"/>
      <c r="J21" s="1505"/>
      <c r="K21" s="1505"/>
      <c r="L21" s="1505"/>
      <c r="M21" s="1505"/>
      <c r="N21" s="1505"/>
      <c r="O21" s="1505"/>
      <c r="P21" s="1505"/>
      <c r="Q21" s="1505"/>
    </row>
    <row r="22" spans="1:17" ht="13" x14ac:dyDescent="0.3">
      <c r="A22" s="14"/>
      <c r="B22" s="15"/>
      <c r="C22" s="15"/>
      <c r="D22" s="10"/>
      <c r="F22" s="92"/>
      <c r="G22" s="92"/>
      <c r="H22" s="92"/>
      <c r="I22" s="92"/>
      <c r="J22" s="92"/>
      <c r="K22" s="92"/>
      <c r="L22" s="92"/>
      <c r="M22" s="92"/>
      <c r="N22" s="1439" t="s">
        <v>5</v>
      </c>
      <c r="O22" s="1439"/>
      <c r="P22" s="1439"/>
      <c r="Q22" s="1439"/>
    </row>
    <row r="23" spans="1:17" ht="27" customHeight="1" x14ac:dyDescent="0.3">
      <c r="A23" s="1463" t="s">
        <v>238</v>
      </c>
      <c r="B23" s="1463"/>
      <c r="C23" s="1463"/>
      <c r="D23" s="1463"/>
      <c r="E23" s="1463"/>
      <c r="F23" s="1463"/>
      <c r="G23" s="1463"/>
      <c r="H23" s="1463"/>
      <c r="I23" s="1463"/>
      <c r="J23" s="1463"/>
      <c r="K23" s="1463"/>
      <c r="L23" s="1463"/>
      <c r="M23" s="1463"/>
      <c r="N23" s="11"/>
      <c r="O23" s="11"/>
      <c r="P23" s="11"/>
      <c r="Q23" s="11"/>
    </row>
    <row r="24" spans="1:17" ht="13" x14ac:dyDescent="0.3">
      <c r="A24" s="14"/>
      <c r="B24" s="16"/>
      <c r="C24" s="16"/>
      <c r="D24" s="10"/>
      <c r="E24" s="1439"/>
      <c r="F24" s="1439"/>
      <c r="G24" s="1439"/>
      <c r="H24" s="1439"/>
      <c r="I24" s="1439"/>
      <c r="J24" s="1439"/>
      <c r="K24" s="1439"/>
      <c r="L24" s="1439"/>
      <c r="M24" s="1439"/>
      <c r="N24" s="1439"/>
      <c r="O24" s="1439"/>
      <c r="P24" s="1439"/>
      <c r="Q24" s="1439"/>
    </row>
    <row r="25" spans="1:17" ht="13" x14ac:dyDescent="0.3">
      <c r="A25" s="14"/>
      <c r="B25" s="10"/>
      <c r="C25" s="10"/>
      <c r="D25" s="10"/>
      <c r="E25" s="1459"/>
      <c r="F25" s="1459"/>
      <c r="G25" s="1459"/>
      <c r="H25" s="1459"/>
      <c r="I25" s="1459"/>
      <c r="J25" s="1459"/>
      <c r="K25" s="1459"/>
      <c r="L25" s="1459"/>
      <c r="M25" s="1459"/>
      <c r="N25" s="1459"/>
      <c r="O25" s="1459"/>
      <c r="P25" s="1459"/>
      <c r="Q25" s="1459"/>
    </row>
    <row r="26" spans="1:17" ht="13" x14ac:dyDescent="0.3">
      <c r="P26" s="747" t="s">
        <v>871</v>
      </c>
    </row>
  </sheetData>
  <mergeCells count="19">
    <mergeCell ref="H4:Q4"/>
    <mergeCell ref="A1:B1"/>
    <mergeCell ref="E1:P1"/>
    <mergeCell ref="A2:B2"/>
    <mergeCell ref="E2:P2"/>
    <mergeCell ref="A3:Q3"/>
    <mergeCell ref="E25:Q25"/>
    <mergeCell ref="Q5:Q6"/>
    <mergeCell ref="A20:B20"/>
    <mergeCell ref="E21:Q21"/>
    <mergeCell ref="N22:Q22"/>
    <mergeCell ref="A23:M23"/>
    <mergeCell ref="E24:Q24"/>
    <mergeCell ref="A5:A6"/>
    <mergeCell ref="B5:B6"/>
    <mergeCell ref="D5:D6"/>
    <mergeCell ref="E5:H5"/>
    <mergeCell ref="I5:L5"/>
    <mergeCell ref="M5:P5"/>
  </mergeCells>
  <pageMargins left="0.34" right="0.2" top="0.45" bottom="0.34" header="0.45" footer="0.21"/>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29"/>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E24" sqref="E24"/>
    </sheetView>
  </sheetViews>
  <sheetFormatPr defaultColWidth="8.81640625" defaultRowHeight="12.5" x14ac:dyDescent="0.25"/>
  <cols>
    <col min="1" max="1" width="5.453125" style="1" customWidth="1"/>
    <col min="2" max="2" width="29.1796875" style="2" customWidth="1"/>
    <col min="3" max="4" width="6.453125" style="2" customWidth="1"/>
    <col min="5" max="6" width="5.6328125" customWidth="1"/>
    <col min="7" max="7" width="6.453125" customWidth="1"/>
    <col min="8" max="8" width="6.6328125" customWidth="1"/>
    <col min="9" max="10" width="5.6328125" customWidth="1"/>
    <col min="11" max="11" width="6.1796875" customWidth="1"/>
    <col min="12" max="12" width="7.36328125" customWidth="1"/>
    <col min="13" max="13" width="5.6328125" customWidth="1"/>
    <col min="14" max="14" width="6.36328125" customWidth="1"/>
    <col min="15" max="15" width="6.453125" customWidth="1"/>
    <col min="16" max="16" width="7.1796875" customWidth="1"/>
    <col min="17" max="17" width="20.36328125" customWidth="1"/>
  </cols>
  <sheetData>
    <row r="1" spans="1:17" ht="14.25" customHeight="1" x14ac:dyDescent="0.3">
      <c r="A1" s="1511" t="s">
        <v>3</v>
      </c>
      <c r="B1" s="1511"/>
      <c r="C1" s="154"/>
      <c r="D1" s="10"/>
      <c r="E1" s="1435"/>
      <c r="F1" s="1435"/>
      <c r="G1" s="1435"/>
      <c r="H1" s="1435"/>
      <c r="I1" s="1435"/>
      <c r="J1" s="1435"/>
      <c r="K1" s="1435"/>
      <c r="L1" s="1435"/>
      <c r="M1" s="1435"/>
      <c r="N1" s="1435"/>
      <c r="O1" s="1435"/>
      <c r="P1" s="1435"/>
      <c r="Q1" s="150" t="s">
        <v>32</v>
      </c>
    </row>
    <row r="2" spans="1:17" ht="16.5" customHeight="1" x14ac:dyDescent="0.3">
      <c r="A2" s="1439" t="s">
        <v>296</v>
      </c>
      <c r="B2" s="1439"/>
      <c r="C2" s="153"/>
      <c r="D2" s="10"/>
      <c r="E2" s="1496"/>
      <c r="F2" s="1496"/>
      <c r="G2" s="1496"/>
      <c r="H2" s="1496"/>
      <c r="I2" s="1496"/>
      <c r="J2" s="1496"/>
      <c r="K2" s="1496"/>
      <c r="L2" s="1496"/>
      <c r="M2" s="1496"/>
      <c r="N2" s="1496"/>
      <c r="O2" s="1496"/>
      <c r="P2" s="1496"/>
      <c r="Q2" s="11"/>
    </row>
    <row r="3" spans="1:17" ht="21.75" customHeight="1" x14ac:dyDescent="0.25">
      <c r="A3" s="1437" t="s">
        <v>979</v>
      </c>
      <c r="B3" s="1437"/>
      <c r="C3" s="1437"/>
      <c r="D3" s="1437"/>
      <c r="E3" s="1437"/>
      <c r="F3" s="1437"/>
      <c r="G3" s="1437"/>
      <c r="H3" s="1437"/>
      <c r="I3" s="1437"/>
      <c r="J3" s="1437"/>
      <c r="K3" s="1437"/>
      <c r="L3" s="1437"/>
      <c r="M3" s="1437"/>
      <c r="N3" s="1437"/>
      <c r="O3" s="1437"/>
      <c r="P3" s="1437"/>
      <c r="Q3" s="1437"/>
    </row>
    <row r="4" spans="1:17" ht="13.5" thickBot="1" x14ac:dyDescent="0.35">
      <c r="A4" s="51"/>
      <c r="B4" s="51"/>
      <c r="C4" s="51"/>
      <c r="D4" s="51"/>
      <c r="E4" s="51"/>
      <c r="F4" s="51"/>
      <c r="G4" s="51"/>
      <c r="H4" s="1441" t="s">
        <v>75</v>
      </c>
      <c r="I4" s="1441"/>
      <c r="J4" s="1441"/>
      <c r="K4" s="1441"/>
      <c r="L4" s="1441"/>
      <c r="M4" s="1441"/>
      <c r="N4" s="1441"/>
      <c r="O4" s="1441"/>
      <c r="P4" s="1441"/>
      <c r="Q4" s="1441"/>
    </row>
    <row r="5" spans="1:17" ht="27.75" customHeight="1" thickTop="1" x14ac:dyDescent="0.25">
      <c r="A5" s="1506" t="s">
        <v>0</v>
      </c>
      <c r="B5" s="1508" t="s">
        <v>9</v>
      </c>
      <c r="C5" s="156"/>
      <c r="D5" s="1508" t="s">
        <v>10</v>
      </c>
      <c r="E5" s="1510" t="s">
        <v>15</v>
      </c>
      <c r="F5" s="1510"/>
      <c r="G5" s="1510"/>
      <c r="H5" s="1510"/>
      <c r="I5" s="1510" t="s">
        <v>212</v>
      </c>
      <c r="J5" s="1510"/>
      <c r="K5" s="1510"/>
      <c r="L5" s="1510"/>
      <c r="M5" s="1510" t="s">
        <v>16</v>
      </c>
      <c r="N5" s="1510"/>
      <c r="O5" s="1510"/>
      <c r="P5" s="1510"/>
      <c r="Q5" s="1501" t="s">
        <v>2</v>
      </c>
    </row>
    <row r="6" spans="1:17" ht="51" customHeight="1" x14ac:dyDescent="0.25">
      <c r="A6" s="1507"/>
      <c r="B6" s="1509"/>
      <c r="C6" s="49" t="s">
        <v>295</v>
      </c>
      <c r="D6" s="1509"/>
      <c r="E6" s="49" t="s">
        <v>14</v>
      </c>
      <c r="F6" s="49" t="s">
        <v>11</v>
      </c>
      <c r="G6" s="49" t="s">
        <v>12</v>
      </c>
      <c r="H6" s="49" t="s">
        <v>13</v>
      </c>
      <c r="I6" s="49" t="s">
        <v>14</v>
      </c>
      <c r="J6" s="49" t="s">
        <v>11</v>
      </c>
      <c r="K6" s="49" t="s">
        <v>12</v>
      </c>
      <c r="L6" s="49" t="s">
        <v>13</v>
      </c>
      <c r="M6" s="49" t="s">
        <v>14</v>
      </c>
      <c r="N6" s="49" t="s">
        <v>11</v>
      </c>
      <c r="O6" s="49" t="s">
        <v>12</v>
      </c>
      <c r="P6" s="49" t="s">
        <v>13</v>
      </c>
      <c r="Q6" s="1502"/>
    </row>
    <row r="7" spans="1:17" ht="21" x14ac:dyDescent="0.25">
      <c r="A7" s="62" t="s">
        <v>115</v>
      </c>
      <c r="B7" s="58" t="s">
        <v>116</v>
      </c>
      <c r="C7" s="58"/>
      <c r="D7" s="59" t="s">
        <v>117</v>
      </c>
      <c r="E7" s="59" t="s">
        <v>118</v>
      </c>
      <c r="F7" s="59" t="s">
        <v>119</v>
      </c>
      <c r="G7" s="59" t="s">
        <v>120</v>
      </c>
      <c r="H7" s="59" t="s">
        <v>121</v>
      </c>
      <c r="I7" s="59" t="s">
        <v>122</v>
      </c>
      <c r="J7" s="59" t="s">
        <v>123</v>
      </c>
      <c r="K7" s="59" t="s">
        <v>125</v>
      </c>
      <c r="L7" s="60" t="s">
        <v>88</v>
      </c>
      <c r="M7" s="59" t="s">
        <v>126</v>
      </c>
      <c r="N7" s="59" t="s">
        <v>127</v>
      </c>
      <c r="O7" s="59" t="s">
        <v>128</v>
      </c>
      <c r="P7" s="59" t="s">
        <v>129</v>
      </c>
      <c r="Q7" s="63" t="s">
        <v>130</v>
      </c>
    </row>
    <row r="8" spans="1:17" s="17" customFormat="1" ht="18.75" customHeight="1" x14ac:dyDescent="0.25">
      <c r="A8" s="76"/>
      <c r="B8" s="203" t="s">
        <v>558</v>
      </c>
      <c r="C8" s="18"/>
      <c r="D8" s="21"/>
      <c r="E8" s="21"/>
      <c r="F8" s="21"/>
      <c r="G8" s="21"/>
      <c r="H8" s="21"/>
      <c r="I8" s="21"/>
      <c r="J8" s="21"/>
      <c r="K8" s="21"/>
      <c r="L8" s="21"/>
      <c r="M8" s="21"/>
      <c r="N8" s="21"/>
      <c r="O8" s="21"/>
      <c r="P8" s="21"/>
      <c r="Q8" s="77"/>
    </row>
    <row r="9" spans="1:17" ht="18.75" customHeight="1" x14ac:dyDescent="0.25">
      <c r="A9" s="78"/>
      <c r="B9" s="204" t="s">
        <v>559</v>
      </c>
      <c r="C9" s="20"/>
      <c r="D9" s="19"/>
      <c r="E9" s="19"/>
      <c r="F9" s="19"/>
      <c r="G9" s="19"/>
      <c r="H9" s="19"/>
      <c r="I9" s="19"/>
      <c r="J9" s="19"/>
      <c r="K9" s="19"/>
      <c r="L9" s="19"/>
      <c r="M9" s="19"/>
      <c r="N9" s="19"/>
      <c r="O9" s="19"/>
      <c r="P9" s="19"/>
      <c r="Q9" s="79"/>
    </row>
    <row r="10" spans="1:17" ht="18.75" customHeight="1" x14ac:dyDescent="0.25">
      <c r="A10" s="78"/>
      <c r="B10" s="204" t="s">
        <v>331</v>
      </c>
      <c r="C10" s="20"/>
      <c r="D10" s="19"/>
      <c r="E10" s="19"/>
      <c r="F10" s="19"/>
      <c r="G10" s="19"/>
      <c r="H10" s="19"/>
      <c r="I10" s="19"/>
      <c r="J10" s="19"/>
      <c r="K10" s="19"/>
      <c r="L10" s="19"/>
      <c r="M10" s="19"/>
      <c r="N10" s="19"/>
      <c r="O10" s="19"/>
      <c r="P10" s="19"/>
      <c r="Q10" s="79"/>
    </row>
    <row r="11" spans="1:17" ht="22.5" customHeight="1" x14ac:dyDescent="0.25">
      <c r="A11" s="78"/>
      <c r="B11" s="204" t="s">
        <v>297</v>
      </c>
      <c r="C11" s="20"/>
      <c r="D11" s="19"/>
      <c r="E11" s="19"/>
      <c r="F11" s="19"/>
      <c r="G11" s="19"/>
      <c r="H11" s="19"/>
      <c r="I11" s="19"/>
      <c r="J11" s="19"/>
      <c r="K11" s="19"/>
      <c r="L11" s="19"/>
      <c r="M11" s="19"/>
      <c r="N11" s="19"/>
      <c r="O11" s="19"/>
      <c r="P11" s="19"/>
      <c r="Q11" s="79"/>
    </row>
    <row r="12" spans="1:17" ht="18.75" customHeight="1" x14ac:dyDescent="0.25">
      <c r="A12" s="78"/>
      <c r="B12" s="204" t="s">
        <v>535</v>
      </c>
      <c r="C12" s="20"/>
      <c r="D12" s="19"/>
      <c r="E12" s="19"/>
      <c r="F12" s="19"/>
      <c r="G12" s="19"/>
      <c r="H12" s="19"/>
      <c r="I12" s="19"/>
      <c r="J12" s="19"/>
      <c r="K12" s="19"/>
      <c r="L12" s="19"/>
      <c r="M12" s="19"/>
      <c r="N12" s="19"/>
      <c r="O12" s="19"/>
      <c r="P12" s="19"/>
      <c r="Q12" s="79"/>
    </row>
    <row r="13" spans="1:17" ht="18.75" customHeight="1" x14ac:dyDescent="0.25">
      <c r="A13" s="78"/>
      <c r="B13" s="204" t="s">
        <v>298</v>
      </c>
      <c r="C13" s="20"/>
      <c r="D13" s="19"/>
      <c r="E13" s="19"/>
      <c r="F13" s="19"/>
      <c r="G13" s="19"/>
      <c r="H13" s="19"/>
      <c r="I13" s="19"/>
      <c r="J13" s="19"/>
      <c r="K13" s="19"/>
      <c r="L13" s="19"/>
      <c r="M13" s="19"/>
      <c r="N13" s="19"/>
      <c r="O13" s="19"/>
      <c r="P13" s="19"/>
      <c r="Q13" s="79"/>
    </row>
    <row r="14" spans="1:17" s="3" customFormat="1" ht="15.75" customHeight="1" x14ac:dyDescent="0.25">
      <c r="A14" s="80"/>
      <c r="B14" s="81"/>
      <c r="C14" s="81"/>
      <c r="D14" s="82"/>
      <c r="E14" s="83"/>
      <c r="F14" s="83"/>
      <c r="G14" s="83"/>
      <c r="H14" s="83"/>
      <c r="I14" s="83"/>
      <c r="J14" s="83"/>
      <c r="K14" s="83"/>
      <c r="L14" s="83"/>
      <c r="M14" s="83"/>
      <c r="N14" s="83"/>
      <c r="O14" s="83"/>
      <c r="P14" s="83"/>
      <c r="Q14" s="84"/>
    </row>
    <row r="15" spans="1:17" s="3" customFormat="1" ht="15.75" customHeight="1" x14ac:dyDescent="0.25">
      <c r="A15" s="80">
        <v>1</v>
      </c>
      <c r="B15" s="158" t="s">
        <v>333</v>
      </c>
      <c r="C15" s="159">
        <v>6.78</v>
      </c>
      <c r="D15" s="167"/>
      <c r="E15" s="160">
        <f t="shared" ref="E15:E20" si="0">F15+G15+H15</f>
        <v>705</v>
      </c>
      <c r="F15" s="160">
        <v>270</v>
      </c>
      <c r="G15" s="160">
        <f t="shared" ref="G15:G20" si="1">IF(C15&lt;3.33,165,IF(C15&lt;4.32,175,IF(C15&lt;4.4,200,IF(C15&lt;5.76,220,IF(C15&lt;6.2,260,315)))))</f>
        <v>315</v>
      </c>
      <c r="H15" s="160">
        <f t="shared" ref="H15:H20" si="2">IF(C15&lt;3.33,70,IF(C15&lt;4.32,90,IF(C15&lt;4.4,100,120)))</f>
        <v>120</v>
      </c>
      <c r="I15" s="160">
        <f t="shared" ref="I15:I20" si="3">J15+K15+L15</f>
        <v>0</v>
      </c>
      <c r="J15" s="160">
        <f t="shared" ref="J15:J20" si="4">IF(D15="TK",F15*0.3,IF(D15="PK",F15*0.25,IF(OR(D15="TBM",D15="BTLCD"),F15*0.2,IF(OR(D15="PCTCD",D15="CTCD"),F15*0.1,IF(OR(D15="TLĐT",D15="CVHT"),F15*0.15,IF(D15="NCS",F15*0.7,0))))))</f>
        <v>0</v>
      </c>
      <c r="K15" s="160">
        <f t="shared" ref="K15:K20" si="5">IF(D15="TK",G15*0.3,IF(D15="PK",G15*0.25,IF(OR(D15="TBM",D15="BTLCD"),G15*0.2,IF(OR(D15="PCTCD",D15="CTCD"),F15*0.1,IF(OR(D15="TLĐT",D15="NCS,TLĐT",D15="NCS,CVHT",D15="CVHT"),G15*0.15,0)))))</f>
        <v>0</v>
      </c>
      <c r="L15" s="160">
        <f t="shared" ref="L15:L20" si="6">IF(OR(D15="NCS",D15="NCS,TLĐT"),H15*0.7,0)</f>
        <v>0</v>
      </c>
      <c r="M15" s="160">
        <f t="shared" ref="M15:M20" si="7">N15+O15+P15</f>
        <v>705</v>
      </c>
      <c r="N15" s="160">
        <f>F15-J15</f>
        <v>270</v>
      </c>
      <c r="O15" s="160">
        <f>G15-K15</f>
        <v>315</v>
      </c>
      <c r="P15" s="160">
        <f>H15-L15</f>
        <v>120</v>
      </c>
      <c r="Q15" s="161"/>
    </row>
    <row r="16" spans="1:17" s="3" customFormat="1" ht="15.75" customHeight="1" x14ac:dyDescent="0.25">
      <c r="A16" s="80">
        <v>2</v>
      </c>
      <c r="B16" s="158" t="s">
        <v>334</v>
      </c>
      <c r="C16" s="159">
        <v>3.66</v>
      </c>
      <c r="D16" s="167" t="s">
        <v>313</v>
      </c>
      <c r="E16" s="160">
        <f t="shared" si="0"/>
        <v>535</v>
      </c>
      <c r="F16" s="160">
        <v>270</v>
      </c>
      <c r="G16" s="160">
        <f t="shared" si="1"/>
        <v>175</v>
      </c>
      <c r="H16" s="160">
        <f t="shared" si="2"/>
        <v>90</v>
      </c>
      <c r="I16" s="160">
        <f t="shared" si="3"/>
        <v>89</v>
      </c>
      <c r="J16" s="160">
        <f t="shared" si="4"/>
        <v>54</v>
      </c>
      <c r="K16" s="160">
        <f t="shared" si="5"/>
        <v>35</v>
      </c>
      <c r="L16" s="160">
        <f t="shared" si="6"/>
        <v>0</v>
      </c>
      <c r="M16" s="160">
        <f t="shared" si="7"/>
        <v>446</v>
      </c>
      <c r="N16" s="160">
        <f t="shared" ref="N16:P20" si="8">F16-J16</f>
        <v>216</v>
      </c>
      <c r="O16" s="160">
        <f t="shared" si="8"/>
        <v>140</v>
      </c>
      <c r="P16" s="160">
        <f t="shared" si="8"/>
        <v>90</v>
      </c>
      <c r="Q16" s="161" t="s">
        <v>302</v>
      </c>
    </row>
    <row r="17" spans="1:17" s="3" customFormat="1" ht="15.75" customHeight="1" x14ac:dyDescent="0.25">
      <c r="A17" s="80">
        <v>3</v>
      </c>
      <c r="B17" s="158" t="s">
        <v>335</v>
      </c>
      <c r="C17" s="344">
        <v>3.99</v>
      </c>
      <c r="D17" s="167" t="s">
        <v>810</v>
      </c>
      <c r="E17" s="160">
        <f t="shared" si="0"/>
        <v>535</v>
      </c>
      <c r="F17" s="160">
        <v>270</v>
      </c>
      <c r="G17" s="160">
        <f t="shared" si="1"/>
        <v>175</v>
      </c>
      <c r="H17" s="160">
        <f t="shared" si="2"/>
        <v>90</v>
      </c>
      <c r="I17" s="160">
        <f t="shared" si="3"/>
        <v>54</v>
      </c>
      <c r="J17" s="160">
        <f t="shared" si="4"/>
        <v>27</v>
      </c>
      <c r="K17" s="160">
        <f t="shared" si="5"/>
        <v>27</v>
      </c>
      <c r="L17" s="160">
        <f t="shared" si="6"/>
        <v>0</v>
      </c>
      <c r="M17" s="160">
        <f t="shared" si="7"/>
        <v>481</v>
      </c>
      <c r="N17" s="160">
        <f t="shared" si="8"/>
        <v>243</v>
      </c>
      <c r="O17" s="160">
        <f t="shared" si="8"/>
        <v>148</v>
      </c>
      <c r="P17" s="160">
        <f t="shared" si="8"/>
        <v>90</v>
      </c>
      <c r="Q17" s="162" t="s">
        <v>547</v>
      </c>
    </row>
    <row r="18" spans="1:17" s="3" customFormat="1" ht="15.75" customHeight="1" x14ac:dyDescent="0.25">
      <c r="A18" s="80">
        <v>4</v>
      </c>
      <c r="B18" s="158" t="s">
        <v>336</v>
      </c>
      <c r="C18" s="164">
        <v>4.32</v>
      </c>
      <c r="D18" s="167"/>
      <c r="E18" s="160">
        <f t="shared" si="0"/>
        <v>570</v>
      </c>
      <c r="F18" s="160">
        <v>270</v>
      </c>
      <c r="G18" s="160">
        <f t="shared" si="1"/>
        <v>200</v>
      </c>
      <c r="H18" s="160">
        <f t="shared" si="2"/>
        <v>100</v>
      </c>
      <c r="I18" s="160">
        <f t="shared" si="3"/>
        <v>0</v>
      </c>
      <c r="J18" s="160">
        <f t="shared" si="4"/>
        <v>0</v>
      </c>
      <c r="K18" s="160">
        <f t="shared" si="5"/>
        <v>0</v>
      </c>
      <c r="L18" s="160">
        <f t="shared" si="6"/>
        <v>0</v>
      </c>
      <c r="M18" s="160">
        <f t="shared" si="7"/>
        <v>570</v>
      </c>
      <c r="N18" s="160">
        <f t="shared" si="8"/>
        <v>270</v>
      </c>
      <c r="O18" s="160">
        <f t="shared" si="8"/>
        <v>200</v>
      </c>
      <c r="P18" s="160">
        <f t="shared" si="8"/>
        <v>100</v>
      </c>
      <c r="Q18" s="172"/>
    </row>
    <row r="19" spans="1:17" s="3" customFormat="1" ht="15.75" customHeight="1" x14ac:dyDescent="0.25">
      <c r="A19" s="80">
        <v>5</v>
      </c>
      <c r="B19" s="158" t="s">
        <v>337</v>
      </c>
      <c r="C19" s="164">
        <v>5.08</v>
      </c>
      <c r="D19" s="167"/>
      <c r="E19" s="160">
        <f t="shared" si="0"/>
        <v>610</v>
      </c>
      <c r="F19" s="160">
        <v>270</v>
      </c>
      <c r="G19" s="160">
        <f t="shared" si="1"/>
        <v>220</v>
      </c>
      <c r="H19" s="160">
        <f t="shared" si="2"/>
        <v>120</v>
      </c>
      <c r="I19" s="160">
        <f t="shared" si="3"/>
        <v>0</v>
      </c>
      <c r="J19" s="160">
        <f t="shared" si="4"/>
        <v>0</v>
      </c>
      <c r="K19" s="160">
        <f t="shared" si="5"/>
        <v>0</v>
      </c>
      <c r="L19" s="160">
        <f t="shared" si="6"/>
        <v>0</v>
      </c>
      <c r="M19" s="160">
        <f t="shared" si="7"/>
        <v>610</v>
      </c>
      <c r="N19" s="160">
        <f t="shared" si="8"/>
        <v>270</v>
      </c>
      <c r="O19" s="160">
        <f t="shared" si="8"/>
        <v>220</v>
      </c>
      <c r="P19" s="160">
        <f t="shared" si="8"/>
        <v>120</v>
      </c>
      <c r="Q19" s="172"/>
    </row>
    <row r="20" spans="1:17" s="3" customFormat="1" ht="15.75" customHeight="1" x14ac:dyDescent="0.25">
      <c r="A20" s="80">
        <v>6</v>
      </c>
      <c r="B20" s="163" t="s">
        <v>338</v>
      </c>
      <c r="C20" s="159">
        <v>2.34</v>
      </c>
      <c r="D20" s="167" t="s">
        <v>332</v>
      </c>
      <c r="E20" s="160">
        <f t="shared" si="0"/>
        <v>505</v>
      </c>
      <c r="F20" s="160">
        <v>270</v>
      </c>
      <c r="G20" s="160">
        <f t="shared" si="1"/>
        <v>165</v>
      </c>
      <c r="H20" s="160">
        <f t="shared" si="2"/>
        <v>70</v>
      </c>
      <c r="I20" s="160">
        <f t="shared" si="3"/>
        <v>65.25</v>
      </c>
      <c r="J20" s="160">
        <f t="shared" si="4"/>
        <v>40.5</v>
      </c>
      <c r="K20" s="160">
        <f t="shared" si="5"/>
        <v>24.75</v>
      </c>
      <c r="L20" s="160">
        <f t="shared" si="6"/>
        <v>0</v>
      </c>
      <c r="M20" s="160">
        <f t="shared" si="7"/>
        <v>439.75</v>
      </c>
      <c r="N20" s="160">
        <f t="shared" si="8"/>
        <v>229.5</v>
      </c>
      <c r="O20" s="160">
        <f t="shared" si="8"/>
        <v>140.25</v>
      </c>
      <c r="P20" s="160">
        <f t="shared" si="8"/>
        <v>70</v>
      </c>
      <c r="Q20" s="162" t="s">
        <v>811</v>
      </c>
    </row>
    <row r="21" spans="1:17" s="3" customFormat="1" ht="15.75" customHeight="1" x14ac:dyDescent="0.25">
      <c r="A21" s="85"/>
      <c r="B21" s="86"/>
      <c r="C21" s="86"/>
      <c r="D21" s="87"/>
      <c r="E21" s="88"/>
      <c r="F21" s="88"/>
      <c r="G21" s="88"/>
      <c r="H21" s="88"/>
      <c r="I21" s="88"/>
      <c r="J21" s="88"/>
      <c r="K21" s="88"/>
      <c r="L21" s="88"/>
      <c r="M21" s="88"/>
      <c r="N21" s="88"/>
      <c r="O21" s="88"/>
      <c r="P21" s="88"/>
      <c r="Q21" s="89"/>
    </row>
    <row r="22" spans="1:17" s="3" customFormat="1" ht="15.75" customHeight="1" thickBot="1" x14ac:dyDescent="0.3">
      <c r="A22" s="1503" t="s">
        <v>322</v>
      </c>
      <c r="B22" s="1504"/>
      <c r="C22" s="155"/>
      <c r="D22" s="90"/>
      <c r="E22" s="168">
        <f t="shared" ref="E22:P22" si="9">SUM(E15:E20)</f>
        <v>3460</v>
      </c>
      <c r="F22" s="168">
        <f t="shared" si="9"/>
        <v>1620</v>
      </c>
      <c r="G22" s="168">
        <f t="shared" si="9"/>
        <v>1250</v>
      </c>
      <c r="H22" s="168">
        <f t="shared" si="9"/>
        <v>590</v>
      </c>
      <c r="I22" s="168">
        <f t="shared" si="9"/>
        <v>208.25</v>
      </c>
      <c r="J22" s="168">
        <f t="shared" si="9"/>
        <v>121.5</v>
      </c>
      <c r="K22" s="168">
        <f t="shared" si="9"/>
        <v>86.75</v>
      </c>
      <c r="L22" s="168">
        <f t="shared" si="9"/>
        <v>0</v>
      </c>
      <c r="M22" s="168">
        <f t="shared" si="9"/>
        <v>3251.75</v>
      </c>
      <c r="N22" s="168">
        <f t="shared" si="9"/>
        <v>1498.5</v>
      </c>
      <c r="O22" s="168">
        <f t="shared" si="9"/>
        <v>1163.25</v>
      </c>
      <c r="P22" s="168">
        <f t="shared" si="9"/>
        <v>590</v>
      </c>
      <c r="Q22" s="91"/>
    </row>
    <row r="23" spans="1:17" ht="13.5" thickTop="1" x14ac:dyDescent="0.3">
      <c r="A23" s="14"/>
      <c r="B23" s="10"/>
      <c r="C23" s="10"/>
      <c r="D23" s="10"/>
      <c r="E23" s="1505" t="s">
        <v>919</v>
      </c>
      <c r="F23" s="1505"/>
      <c r="G23" s="1505"/>
      <c r="H23" s="1505"/>
      <c r="I23" s="1505"/>
      <c r="J23" s="1505"/>
      <c r="K23" s="1505"/>
      <c r="L23" s="1505"/>
      <c r="M23" s="1505"/>
      <c r="N23" s="1505"/>
      <c r="O23" s="1505"/>
      <c r="P23" s="1505"/>
      <c r="Q23" s="1505"/>
    </row>
    <row r="24" spans="1:17" ht="13" x14ac:dyDescent="0.3">
      <c r="A24" s="14"/>
      <c r="B24" s="15"/>
      <c r="C24" s="15"/>
      <c r="D24" s="10"/>
      <c r="F24" s="92"/>
      <c r="G24" s="92"/>
      <c r="H24" s="92"/>
      <c r="I24" s="92"/>
      <c r="J24" s="92"/>
      <c r="K24" s="92"/>
      <c r="L24" s="92"/>
      <c r="M24" s="92"/>
      <c r="N24" s="1439"/>
      <c r="O24" s="1439"/>
      <c r="P24" s="1439"/>
      <c r="Q24" s="1439"/>
    </row>
    <row r="25" spans="1:17" ht="27" customHeight="1" x14ac:dyDescent="0.3">
      <c r="A25" s="1463" t="s">
        <v>238</v>
      </c>
      <c r="B25" s="1463"/>
      <c r="C25" s="1463"/>
      <c r="D25" s="1463"/>
      <c r="E25" s="1463"/>
      <c r="F25" s="1463"/>
      <c r="G25" s="1463"/>
      <c r="H25" s="1463"/>
      <c r="I25" s="1463"/>
      <c r="J25" s="1463"/>
      <c r="K25" s="1463"/>
      <c r="L25" s="1463"/>
      <c r="M25" s="1463"/>
      <c r="N25" s="11"/>
      <c r="O25" s="11"/>
      <c r="P25" s="11"/>
      <c r="Q25" s="11"/>
    </row>
    <row r="26" spans="1:17" ht="13" x14ac:dyDescent="0.3">
      <c r="A26" s="14"/>
      <c r="B26" s="16"/>
      <c r="C26" s="16"/>
      <c r="D26" s="10"/>
      <c r="E26" s="1439"/>
      <c r="F26" s="1439"/>
      <c r="G26" s="1439"/>
      <c r="H26" s="1439"/>
      <c r="I26" s="1439"/>
      <c r="J26" s="1439"/>
      <c r="K26" s="1439"/>
      <c r="L26" s="1439"/>
      <c r="M26" s="1439"/>
      <c r="N26" s="1439"/>
      <c r="O26" s="1439"/>
      <c r="P26" s="1439"/>
      <c r="Q26" s="1439"/>
    </row>
    <row r="27" spans="1:17" ht="13" x14ac:dyDescent="0.3">
      <c r="A27" s="14"/>
      <c r="B27" s="10"/>
      <c r="C27" s="10"/>
      <c r="D27" s="10"/>
      <c r="E27" s="1459"/>
      <c r="F27" s="1459"/>
      <c r="G27" s="1459"/>
      <c r="H27" s="1459"/>
      <c r="I27" s="1459"/>
      <c r="J27" s="1459"/>
      <c r="K27" s="1459"/>
      <c r="L27" s="1459"/>
      <c r="M27" s="1459"/>
      <c r="N27" s="1459"/>
      <c r="O27" s="1459"/>
      <c r="P27" s="1459"/>
      <c r="Q27" s="1459"/>
    </row>
    <row r="29" spans="1:17" ht="13" x14ac:dyDescent="0.3">
      <c r="P29" s="747" t="s">
        <v>871</v>
      </c>
    </row>
  </sheetData>
  <mergeCells count="19">
    <mergeCell ref="H4:Q4"/>
    <mergeCell ref="A1:B1"/>
    <mergeCell ref="E1:P1"/>
    <mergeCell ref="A2:B2"/>
    <mergeCell ref="E2:P2"/>
    <mergeCell ref="A3:Q3"/>
    <mergeCell ref="E27:Q27"/>
    <mergeCell ref="Q5:Q6"/>
    <mergeCell ref="A22:B22"/>
    <mergeCell ref="E23:Q23"/>
    <mergeCell ref="N24:Q24"/>
    <mergeCell ref="A25:M25"/>
    <mergeCell ref="E26:Q26"/>
    <mergeCell ref="A5:A6"/>
    <mergeCell ref="B5:B6"/>
    <mergeCell ref="D5:D6"/>
    <mergeCell ref="E5:H5"/>
    <mergeCell ref="I5:L5"/>
    <mergeCell ref="M5:P5"/>
  </mergeCells>
  <pageMargins left="0.34" right="0.2" top="0.45" bottom="0.34" header="0.45" footer="0.21"/>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30"/>
  <sheetViews>
    <sheetView zoomScale="115" zoomScaleNormal="115" zoomScalePageLayoutView="115" workbookViewId="0">
      <pane xSplit="2" ySplit="7" topLeftCell="C14" activePane="bottomRight" state="frozen"/>
      <selection pane="topRight" activeCell="C1" sqref="C1"/>
      <selection pane="bottomLeft" activeCell="A8" sqref="A8"/>
      <selection pane="bottomRight" activeCell="A4" sqref="A4"/>
    </sheetView>
  </sheetViews>
  <sheetFormatPr defaultColWidth="8.81640625" defaultRowHeight="12.5" x14ac:dyDescent="0.25"/>
  <cols>
    <col min="1" max="1" width="5.453125" style="1" customWidth="1"/>
    <col min="2" max="2" width="29" style="2" customWidth="1"/>
    <col min="3" max="3" width="6.81640625" style="2" customWidth="1"/>
    <col min="4" max="4" width="9.453125" style="2" customWidth="1"/>
    <col min="5" max="6" width="5.6328125" customWidth="1"/>
    <col min="7" max="7" width="6.453125" customWidth="1"/>
    <col min="8" max="8" width="6.6328125" customWidth="1"/>
    <col min="9" max="10" width="5.6328125" customWidth="1"/>
    <col min="11" max="11" width="6.1796875" customWidth="1"/>
    <col min="12" max="12" width="7.453125" customWidth="1"/>
    <col min="13" max="14" width="5.6328125" customWidth="1"/>
    <col min="15" max="15" width="6.453125" customWidth="1"/>
    <col min="16" max="16" width="7.1796875" customWidth="1"/>
    <col min="17" max="17" width="18.6328125" customWidth="1"/>
  </cols>
  <sheetData>
    <row r="1" spans="1:17" ht="14.25" customHeight="1" x14ac:dyDescent="0.3">
      <c r="A1" s="1511" t="s">
        <v>3</v>
      </c>
      <c r="B1" s="1511"/>
      <c r="C1" s="154"/>
      <c r="D1" s="10"/>
      <c r="E1" s="1435"/>
      <c r="F1" s="1435"/>
      <c r="G1" s="1435"/>
      <c r="H1" s="1435"/>
      <c r="I1" s="1435"/>
      <c r="J1" s="1435"/>
      <c r="K1" s="1435"/>
      <c r="L1" s="1435"/>
      <c r="M1" s="1435"/>
      <c r="N1" s="1435"/>
      <c r="O1" s="1435"/>
      <c r="P1" s="1435"/>
      <c r="Q1" s="150" t="s">
        <v>32</v>
      </c>
    </row>
    <row r="2" spans="1:17" ht="16.5" customHeight="1" x14ac:dyDescent="0.3">
      <c r="A2" s="1439" t="s">
        <v>296</v>
      </c>
      <c r="B2" s="1439"/>
      <c r="C2" s="153"/>
      <c r="D2" s="10"/>
      <c r="E2" s="1496"/>
      <c r="F2" s="1496"/>
      <c r="G2" s="1496"/>
      <c r="H2" s="1496"/>
      <c r="I2" s="1496"/>
      <c r="J2" s="1496"/>
      <c r="K2" s="1496"/>
      <c r="L2" s="1496"/>
      <c r="M2" s="1496"/>
      <c r="N2" s="1496"/>
      <c r="O2" s="1496"/>
      <c r="P2" s="1496"/>
      <c r="Q2" s="11"/>
    </row>
    <row r="3" spans="1:17" ht="21.75" customHeight="1" x14ac:dyDescent="0.25">
      <c r="A3" s="1437" t="s">
        <v>978</v>
      </c>
      <c r="B3" s="1437"/>
      <c r="C3" s="1437"/>
      <c r="D3" s="1437"/>
      <c r="E3" s="1437"/>
      <c r="F3" s="1437"/>
      <c r="G3" s="1437"/>
      <c r="H3" s="1437"/>
      <c r="I3" s="1437"/>
      <c r="J3" s="1437"/>
      <c r="K3" s="1437"/>
      <c r="L3" s="1437"/>
      <c r="M3" s="1437"/>
      <c r="N3" s="1437"/>
      <c r="O3" s="1437"/>
      <c r="P3" s="1437"/>
      <c r="Q3" s="1437"/>
    </row>
    <row r="4" spans="1:17" ht="13.5" thickBot="1" x14ac:dyDescent="0.35">
      <c r="A4" s="51"/>
      <c r="B4" s="51"/>
      <c r="C4" s="51"/>
      <c r="D4" s="51"/>
      <c r="E4" s="51"/>
      <c r="F4" s="51"/>
      <c r="G4" s="51"/>
      <c r="H4" s="1441" t="s">
        <v>75</v>
      </c>
      <c r="I4" s="1441"/>
      <c r="J4" s="1441"/>
      <c r="K4" s="1441"/>
      <c r="L4" s="1441"/>
      <c r="M4" s="1441"/>
      <c r="N4" s="1441"/>
      <c r="O4" s="1441"/>
      <c r="P4" s="1441"/>
      <c r="Q4" s="1441"/>
    </row>
    <row r="5" spans="1:17" ht="27.75" customHeight="1" thickTop="1" x14ac:dyDescent="0.25">
      <c r="A5" s="1506" t="s">
        <v>0</v>
      </c>
      <c r="B5" s="1508" t="s">
        <v>9</v>
      </c>
      <c r="C5" s="156"/>
      <c r="D5" s="1508" t="s">
        <v>10</v>
      </c>
      <c r="E5" s="1510" t="s">
        <v>15</v>
      </c>
      <c r="F5" s="1510"/>
      <c r="G5" s="1510"/>
      <c r="H5" s="1510"/>
      <c r="I5" s="1510" t="s">
        <v>212</v>
      </c>
      <c r="J5" s="1510"/>
      <c r="K5" s="1510"/>
      <c r="L5" s="1510"/>
      <c r="M5" s="1510" t="s">
        <v>16</v>
      </c>
      <c r="N5" s="1510"/>
      <c r="O5" s="1510"/>
      <c r="P5" s="1510"/>
      <c r="Q5" s="1501" t="s">
        <v>2</v>
      </c>
    </row>
    <row r="6" spans="1:17" ht="51" customHeight="1" x14ac:dyDescent="0.25">
      <c r="A6" s="1507"/>
      <c r="B6" s="1509"/>
      <c r="C6" s="49" t="s">
        <v>295</v>
      </c>
      <c r="D6" s="1509"/>
      <c r="E6" s="49" t="s">
        <v>14</v>
      </c>
      <c r="F6" s="49" t="s">
        <v>11</v>
      </c>
      <c r="G6" s="49" t="s">
        <v>12</v>
      </c>
      <c r="H6" s="49" t="s">
        <v>13</v>
      </c>
      <c r="I6" s="49" t="s">
        <v>14</v>
      </c>
      <c r="J6" s="49" t="s">
        <v>11</v>
      </c>
      <c r="K6" s="49" t="s">
        <v>12</v>
      </c>
      <c r="L6" s="49" t="s">
        <v>13</v>
      </c>
      <c r="M6" s="49" t="s">
        <v>14</v>
      </c>
      <c r="N6" s="49" t="s">
        <v>11</v>
      </c>
      <c r="O6" s="49" t="s">
        <v>12</v>
      </c>
      <c r="P6" s="49" t="s">
        <v>13</v>
      </c>
      <c r="Q6" s="1502"/>
    </row>
    <row r="7" spans="1:17" ht="21" x14ac:dyDescent="0.25">
      <c r="A7" s="62" t="s">
        <v>115</v>
      </c>
      <c r="B7" s="58" t="s">
        <v>116</v>
      </c>
      <c r="C7" s="58"/>
      <c r="D7" s="59" t="s">
        <v>117</v>
      </c>
      <c r="E7" s="59" t="s">
        <v>118</v>
      </c>
      <c r="F7" s="59" t="s">
        <v>119</v>
      </c>
      <c r="G7" s="59" t="s">
        <v>120</v>
      </c>
      <c r="H7" s="59" t="s">
        <v>121</v>
      </c>
      <c r="I7" s="59" t="s">
        <v>122</v>
      </c>
      <c r="J7" s="59" t="s">
        <v>123</v>
      </c>
      <c r="K7" s="59" t="s">
        <v>125</v>
      </c>
      <c r="L7" s="60" t="s">
        <v>88</v>
      </c>
      <c r="M7" s="59" t="s">
        <v>126</v>
      </c>
      <c r="N7" s="59" t="s">
        <v>127</v>
      </c>
      <c r="O7" s="59" t="s">
        <v>128</v>
      </c>
      <c r="P7" s="59" t="s">
        <v>129</v>
      </c>
      <c r="Q7" s="63" t="s">
        <v>130</v>
      </c>
    </row>
    <row r="8" spans="1:17" s="17" customFormat="1" ht="18.75" customHeight="1" x14ac:dyDescent="0.25">
      <c r="A8" s="76"/>
      <c r="B8" s="18" t="s">
        <v>538</v>
      </c>
      <c r="C8" s="18"/>
      <c r="D8" s="21"/>
      <c r="E8" s="21"/>
      <c r="F8" s="21"/>
      <c r="G8" s="21"/>
      <c r="H8" s="21"/>
      <c r="I8" s="21"/>
      <c r="J8" s="21"/>
      <c r="K8" s="21"/>
      <c r="L8" s="21"/>
      <c r="M8" s="21"/>
      <c r="N8" s="21"/>
      <c r="O8" s="21"/>
      <c r="P8" s="21"/>
      <c r="Q8" s="77"/>
    </row>
    <row r="9" spans="1:17" ht="18.75" customHeight="1" x14ac:dyDescent="0.25">
      <c r="A9" s="78"/>
      <c r="B9" s="20" t="s">
        <v>536</v>
      </c>
      <c r="C9" s="20"/>
      <c r="D9" s="19"/>
      <c r="E9" s="19"/>
      <c r="F9" s="19"/>
      <c r="G9" s="19"/>
      <c r="H9" s="19"/>
      <c r="I9" s="19"/>
      <c r="J9" s="19"/>
      <c r="K9" s="19"/>
      <c r="L9" s="19"/>
      <c r="M9" s="19"/>
      <c r="N9" s="19"/>
      <c r="O9" s="19"/>
      <c r="P9" s="19"/>
      <c r="Q9" s="79"/>
    </row>
    <row r="10" spans="1:17" ht="18.75" customHeight="1" x14ac:dyDescent="0.25">
      <c r="A10" s="78"/>
      <c r="B10" s="20" t="s">
        <v>804</v>
      </c>
      <c r="C10" s="20"/>
      <c r="D10" s="19"/>
      <c r="E10" s="19"/>
      <c r="F10" s="19"/>
      <c r="G10" s="19"/>
      <c r="H10" s="19"/>
      <c r="I10" s="19"/>
      <c r="J10" s="19"/>
      <c r="K10" s="19"/>
      <c r="L10" s="19"/>
      <c r="M10" s="19"/>
      <c r="N10" s="19"/>
      <c r="O10" s="19"/>
      <c r="P10" s="19"/>
      <c r="Q10" s="79"/>
    </row>
    <row r="11" spans="1:17" ht="22.5" customHeight="1" x14ac:dyDescent="0.25">
      <c r="A11" s="78"/>
      <c r="B11" s="20" t="s">
        <v>297</v>
      </c>
      <c r="C11" s="20"/>
      <c r="D11" s="19"/>
      <c r="E11" s="19"/>
      <c r="F11" s="19"/>
      <c r="G11" s="19"/>
      <c r="H11" s="19"/>
      <c r="I11" s="19"/>
      <c r="J11" s="19"/>
      <c r="K11" s="19"/>
      <c r="L11" s="19"/>
      <c r="M11" s="19"/>
      <c r="N11" s="19"/>
      <c r="O11" s="19"/>
      <c r="P11" s="19"/>
      <c r="Q11" s="79"/>
    </row>
    <row r="12" spans="1:17" ht="30" customHeight="1" x14ac:dyDescent="0.25">
      <c r="A12" s="78"/>
      <c r="B12" s="20" t="s">
        <v>805</v>
      </c>
      <c r="C12" s="20"/>
      <c r="D12" s="19"/>
      <c r="E12" s="19"/>
      <c r="F12" s="19"/>
      <c r="G12" s="19"/>
      <c r="H12" s="19"/>
      <c r="I12" s="19"/>
      <c r="J12" s="19"/>
      <c r="K12" s="19"/>
      <c r="L12" s="19"/>
      <c r="M12" s="19"/>
      <c r="N12" s="19"/>
      <c r="O12" s="19"/>
      <c r="P12" s="19"/>
      <c r="Q12" s="79"/>
    </row>
    <row r="13" spans="1:17" ht="18.75" customHeight="1" x14ac:dyDescent="0.25">
      <c r="A13" s="78"/>
      <c r="B13" s="20" t="s">
        <v>298</v>
      </c>
      <c r="C13" s="20"/>
      <c r="D13" s="19"/>
      <c r="E13" s="19"/>
      <c r="F13" s="19"/>
      <c r="G13" s="19"/>
      <c r="H13" s="19"/>
      <c r="I13" s="19"/>
      <c r="J13" s="19"/>
      <c r="K13" s="19"/>
      <c r="L13" s="19"/>
      <c r="M13" s="19"/>
      <c r="N13" s="19"/>
      <c r="O13" s="19"/>
      <c r="P13" s="19"/>
      <c r="Q13" s="79"/>
    </row>
    <row r="14" spans="1:17" s="3" customFormat="1" ht="15.75" customHeight="1" x14ac:dyDescent="0.25">
      <c r="A14" s="80"/>
      <c r="B14" s="81"/>
      <c r="C14" s="81"/>
      <c r="D14" s="82"/>
      <c r="E14" s="83"/>
      <c r="F14" s="83"/>
      <c r="G14" s="83"/>
      <c r="H14" s="83"/>
      <c r="I14" s="83"/>
      <c r="J14" s="83"/>
      <c r="K14" s="83"/>
      <c r="L14" s="83"/>
      <c r="M14" s="83"/>
      <c r="N14" s="83"/>
      <c r="O14" s="83"/>
      <c r="P14" s="83"/>
      <c r="Q14" s="84"/>
    </row>
    <row r="15" spans="1:17" s="3" customFormat="1" ht="27.75" customHeight="1" x14ac:dyDescent="0.25">
      <c r="A15" s="80">
        <v>1</v>
      </c>
      <c r="B15" s="158" t="s">
        <v>323</v>
      </c>
      <c r="C15" s="159">
        <v>6.2</v>
      </c>
      <c r="D15" s="167" t="s">
        <v>313</v>
      </c>
      <c r="E15" s="160">
        <f>F15+G15+H15</f>
        <v>705</v>
      </c>
      <c r="F15" s="160">
        <v>270</v>
      </c>
      <c r="G15" s="160">
        <f t="shared" ref="G15:G21" si="0">IF(C15&lt;3.33,165,IF(C15&lt;4.32,175,IF(C15&lt;4.4,200,IF(C15&lt;5.76,220,IF(C15&lt;6.2,260,315)))))</f>
        <v>315</v>
      </c>
      <c r="H15" s="160">
        <f t="shared" ref="H15:H21" si="1">IF(C15&lt;3.33,70,IF(C15&lt;4.32,90,IF(C15&lt;4.4,100,120)))</f>
        <v>120</v>
      </c>
      <c r="I15" s="160">
        <f>J15+K15+L15</f>
        <v>117</v>
      </c>
      <c r="J15" s="160">
        <f>IF(D15="TK",F15*0.3,IF(D15="PK",F15*0.25,IF(OR(D15="TBM",D15="BTLCD"),F15*0.2,IF(OR(D15="PCTCD",D15="CTCD"),F15*0.1,IF(OR(D15="TLĐT",D15="CVHT"),F15*0.15,IF(D15="NCS",F15*0.7,0))))))</f>
        <v>54</v>
      </c>
      <c r="K15" s="160">
        <f>IF(D15="TK",G15*0.3,IF(D15="PK",G15*0.25,IF(OR(D15="TBM",D15="BTLCD"),G15*0.2,IF(OR(D15="PCTCD",D15="CTCD"),F15*0.1,IF(OR(D15="TLĐT",D15="NCS,TLĐT",D15="NCS,CVHT",D15="CVHT"),G15*0.15,0)))))</f>
        <v>63</v>
      </c>
      <c r="L15" s="160">
        <f>IF(OR(D15="NCS",D15="NCS,TLĐT"),H15*0.7,0)</f>
        <v>0</v>
      </c>
      <c r="M15" s="160">
        <f>N15+O15+P15</f>
        <v>588</v>
      </c>
      <c r="N15" s="160">
        <f t="shared" ref="N15:P16" si="2">F15-J15</f>
        <v>216</v>
      </c>
      <c r="O15" s="160">
        <f t="shared" si="2"/>
        <v>252</v>
      </c>
      <c r="P15" s="160">
        <f t="shared" si="2"/>
        <v>120</v>
      </c>
      <c r="Q15" s="206" t="s">
        <v>556</v>
      </c>
    </row>
    <row r="16" spans="1:17" s="3" customFormat="1" ht="27.75" customHeight="1" x14ac:dyDescent="0.25">
      <c r="A16" s="80">
        <v>2</v>
      </c>
      <c r="B16" s="669" t="s">
        <v>802</v>
      </c>
      <c r="C16" s="670">
        <v>3.66</v>
      </c>
      <c r="D16" s="167" t="s">
        <v>803</v>
      </c>
      <c r="E16" s="160">
        <f>F16+G16+H16</f>
        <v>535</v>
      </c>
      <c r="F16" s="671">
        <v>270</v>
      </c>
      <c r="G16" s="671">
        <v>175</v>
      </c>
      <c r="H16" s="160">
        <f t="shared" si="1"/>
        <v>90</v>
      </c>
      <c r="I16" s="160">
        <f>J16+K16+L16</f>
        <v>133.5</v>
      </c>
      <c r="J16" s="160">
        <f t="shared" ref="J16:J23" si="3">IF(D16="TK",F16*0.3,IF(D16="PK",F16*0.25,IF(OR(D16="TBM",D16="BTLCD"),F16*0.2,IF(OR(D16="PCTCD",D16="CTCD"),F16*0.1,IF(OR(D16="TLĐT",D16="CVHT"),F16*0.15,IF(D16="NCS",F16*0.7,0))))))</f>
        <v>81</v>
      </c>
      <c r="K16" s="160">
        <f t="shared" ref="K16:K23" si="4">IF(D16="TK",G16*0.3,IF(D16="PK",G16*0.25,IF(OR(D16="TBM",D16="BTLCD"),G16*0.2,IF(OR(D16="PCTCD",D16="CTCD"),F16*0.1,IF(OR(D16="TLĐT",D16="NCS,TLĐT",D16="NCS,CVHT",D16="CVHT"),G16*0.15,0)))))</f>
        <v>52.5</v>
      </c>
      <c r="L16" s="160">
        <f>IF(OR(D16="NCS",D16="NCS,TLĐT"),H16*0.7,0)</f>
        <v>0</v>
      </c>
      <c r="M16" s="160">
        <f>N16+O16+P16</f>
        <v>401.5</v>
      </c>
      <c r="N16" s="160">
        <f t="shared" si="2"/>
        <v>189</v>
      </c>
      <c r="O16" s="160">
        <f t="shared" si="2"/>
        <v>122.5</v>
      </c>
      <c r="P16" s="160">
        <f t="shared" si="2"/>
        <v>90</v>
      </c>
      <c r="Q16" s="509" t="s">
        <v>807</v>
      </c>
    </row>
    <row r="17" spans="1:17" s="3" customFormat="1" ht="15.75" customHeight="1" x14ac:dyDescent="0.25">
      <c r="A17" s="80">
        <v>3</v>
      </c>
      <c r="B17" s="169" t="s">
        <v>324</v>
      </c>
      <c r="C17" s="159">
        <v>3.66</v>
      </c>
      <c r="D17" s="167" t="s">
        <v>806</v>
      </c>
      <c r="E17" s="160">
        <f t="shared" ref="E17:E23" si="5">F17+G17+H17</f>
        <v>535</v>
      </c>
      <c r="F17" s="160">
        <v>270</v>
      </c>
      <c r="G17" s="160">
        <f t="shared" si="0"/>
        <v>175</v>
      </c>
      <c r="H17" s="160">
        <f t="shared" si="1"/>
        <v>90</v>
      </c>
      <c r="I17" s="160">
        <f t="shared" ref="I17:I23" si="6">J17+K17+L17</f>
        <v>54</v>
      </c>
      <c r="J17" s="160">
        <f t="shared" si="3"/>
        <v>27</v>
      </c>
      <c r="K17" s="160">
        <f t="shared" si="4"/>
        <v>27</v>
      </c>
      <c r="L17" s="160">
        <f>IF(OR(D17="NCS",D17="NCS,TLĐT"),H17*0.7,0)</f>
        <v>0</v>
      </c>
      <c r="M17" s="160">
        <f t="shared" ref="M17:M23" si="7">N17+O17+P17</f>
        <v>481</v>
      </c>
      <c r="N17" s="160">
        <f t="shared" ref="N17:N24" si="8">F17-J17</f>
        <v>243</v>
      </c>
      <c r="O17" s="160">
        <f t="shared" ref="O17:P23" si="9">G17-K17</f>
        <v>148</v>
      </c>
      <c r="P17" s="160">
        <f t="shared" si="9"/>
        <v>90</v>
      </c>
      <c r="Q17" s="171" t="s">
        <v>808</v>
      </c>
    </row>
    <row r="18" spans="1:17" s="3" customFormat="1" ht="30" customHeight="1" x14ac:dyDescent="0.25">
      <c r="A18" s="80">
        <v>4</v>
      </c>
      <c r="B18" s="158" t="s">
        <v>325</v>
      </c>
      <c r="C18" s="344">
        <v>3.33</v>
      </c>
      <c r="D18" s="167" t="s">
        <v>314</v>
      </c>
      <c r="E18" s="160">
        <f t="shared" si="5"/>
        <v>535</v>
      </c>
      <c r="F18" s="160">
        <v>270</v>
      </c>
      <c r="G18" s="160">
        <f t="shared" si="0"/>
        <v>175</v>
      </c>
      <c r="H18" s="160">
        <f t="shared" si="1"/>
        <v>90</v>
      </c>
      <c r="I18" s="160">
        <f t="shared" si="6"/>
        <v>66.75</v>
      </c>
      <c r="J18" s="160">
        <f t="shared" si="3"/>
        <v>40.5</v>
      </c>
      <c r="K18" s="160">
        <f t="shared" si="4"/>
        <v>26.25</v>
      </c>
      <c r="L18" s="160">
        <f t="shared" ref="L18:L23" si="10">IF(OR(D18="NCS",D18="NCS,TLĐT",D18="NCS,CVHT"),H18*0.7,0)</f>
        <v>0</v>
      </c>
      <c r="M18" s="160">
        <f t="shared" si="7"/>
        <v>468.25</v>
      </c>
      <c r="N18" s="160">
        <f t="shared" si="8"/>
        <v>229.5</v>
      </c>
      <c r="O18" s="160">
        <f t="shared" si="9"/>
        <v>148.75</v>
      </c>
      <c r="P18" s="160">
        <f t="shared" si="9"/>
        <v>90</v>
      </c>
      <c r="Q18" s="205" t="s">
        <v>809</v>
      </c>
    </row>
    <row r="19" spans="1:17" s="3" customFormat="1" ht="30" customHeight="1" x14ac:dyDescent="0.25">
      <c r="A19" s="80">
        <v>5</v>
      </c>
      <c r="B19" s="170" t="s">
        <v>326</v>
      </c>
      <c r="C19" s="345">
        <v>3</v>
      </c>
      <c r="D19" s="167" t="s">
        <v>332</v>
      </c>
      <c r="E19" s="160">
        <f t="shared" si="5"/>
        <v>505</v>
      </c>
      <c r="F19" s="160">
        <v>270</v>
      </c>
      <c r="G19" s="160">
        <f t="shared" si="0"/>
        <v>165</v>
      </c>
      <c r="H19" s="160">
        <f t="shared" si="1"/>
        <v>70</v>
      </c>
      <c r="I19" s="160">
        <f t="shared" si="6"/>
        <v>65.25</v>
      </c>
      <c r="J19" s="160">
        <f t="shared" si="3"/>
        <v>40.5</v>
      </c>
      <c r="K19" s="160">
        <f t="shared" si="4"/>
        <v>24.75</v>
      </c>
      <c r="L19" s="160">
        <f t="shared" si="10"/>
        <v>0</v>
      </c>
      <c r="M19" s="160">
        <f t="shared" si="7"/>
        <v>439.75</v>
      </c>
      <c r="N19" s="160">
        <f t="shared" si="8"/>
        <v>229.5</v>
      </c>
      <c r="O19" s="160">
        <f t="shared" si="9"/>
        <v>140.25</v>
      </c>
      <c r="P19" s="160">
        <f t="shared" si="9"/>
        <v>70</v>
      </c>
      <c r="Q19" s="205" t="s">
        <v>537</v>
      </c>
    </row>
    <row r="20" spans="1:17" s="3" customFormat="1" ht="15.75" customHeight="1" x14ac:dyDescent="0.25">
      <c r="A20" s="80">
        <v>6</v>
      </c>
      <c r="B20" s="170" t="s">
        <v>327</v>
      </c>
      <c r="C20" s="345">
        <v>3</v>
      </c>
      <c r="D20" s="167" t="s">
        <v>332</v>
      </c>
      <c r="E20" s="160">
        <f t="shared" si="5"/>
        <v>505</v>
      </c>
      <c r="F20" s="160">
        <v>270</v>
      </c>
      <c r="G20" s="160">
        <f t="shared" si="0"/>
        <v>165</v>
      </c>
      <c r="H20" s="160">
        <f t="shared" si="1"/>
        <v>70</v>
      </c>
      <c r="I20" s="160">
        <f t="shared" si="6"/>
        <v>65.25</v>
      </c>
      <c r="J20" s="160">
        <f t="shared" si="3"/>
        <v>40.5</v>
      </c>
      <c r="K20" s="160">
        <f t="shared" si="4"/>
        <v>24.75</v>
      </c>
      <c r="L20" s="160">
        <f t="shared" si="10"/>
        <v>0</v>
      </c>
      <c r="M20" s="160">
        <f t="shared" si="7"/>
        <v>439.75</v>
      </c>
      <c r="N20" s="160">
        <f t="shared" si="8"/>
        <v>229.5</v>
      </c>
      <c r="O20" s="160">
        <f t="shared" si="9"/>
        <v>140.25</v>
      </c>
      <c r="P20" s="160">
        <f t="shared" si="9"/>
        <v>70</v>
      </c>
      <c r="Q20" s="172" t="s">
        <v>537</v>
      </c>
    </row>
    <row r="21" spans="1:17" s="3" customFormat="1" ht="15.75" customHeight="1" x14ac:dyDescent="0.25">
      <c r="A21" s="80">
        <v>7</v>
      </c>
      <c r="B21" s="158" t="s">
        <v>328</v>
      </c>
      <c r="C21" s="159">
        <v>6.78</v>
      </c>
      <c r="D21" s="167"/>
      <c r="E21" s="160">
        <f t="shared" si="5"/>
        <v>705</v>
      </c>
      <c r="F21" s="160">
        <v>270</v>
      </c>
      <c r="G21" s="160">
        <f t="shared" si="0"/>
        <v>315</v>
      </c>
      <c r="H21" s="160">
        <f t="shared" si="1"/>
        <v>120</v>
      </c>
      <c r="I21" s="160">
        <f t="shared" si="6"/>
        <v>0</v>
      </c>
      <c r="J21" s="160">
        <f t="shared" si="3"/>
        <v>0</v>
      </c>
      <c r="K21" s="160">
        <f t="shared" si="4"/>
        <v>0</v>
      </c>
      <c r="L21" s="160">
        <f t="shared" si="10"/>
        <v>0</v>
      </c>
      <c r="M21" s="160">
        <f t="shared" si="7"/>
        <v>705</v>
      </c>
      <c r="N21" s="160">
        <f t="shared" si="8"/>
        <v>270</v>
      </c>
      <c r="O21" s="160">
        <f t="shared" si="9"/>
        <v>315</v>
      </c>
      <c r="P21" s="160">
        <f t="shared" si="9"/>
        <v>120</v>
      </c>
      <c r="Q21" s="162"/>
    </row>
    <row r="22" spans="1:17" s="3" customFormat="1" ht="15.75" customHeight="1" x14ac:dyDescent="0.25">
      <c r="A22" s="80">
        <v>8</v>
      </c>
      <c r="B22" s="158" t="s">
        <v>329</v>
      </c>
      <c r="C22" s="159">
        <v>3.99</v>
      </c>
      <c r="D22" s="167"/>
      <c r="E22" s="160">
        <f t="shared" si="5"/>
        <v>0</v>
      </c>
      <c r="F22" s="160">
        <v>0</v>
      </c>
      <c r="G22" s="160">
        <v>0</v>
      </c>
      <c r="H22" s="160">
        <v>0</v>
      </c>
      <c r="I22" s="160">
        <f t="shared" si="6"/>
        <v>0</v>
      </c>
      <c r="J22" s="160">
        <f t="shared" si="3"/>
        <v>0</v>
      </c>
      <c r="K22" s="160">
        <f t="shared" si="4"/>
        <v>0</v>
      </c>
      <c r="L22" s="160">
        <f t="shared" si="10"/>
        <v>0</v>
      </c>
      <c r="M22" s="160">
        <f t="shared" si="7"/>
        <v>0</v>
      </c>
      <c r="N22" s="160">
        <f t="shared" si="8"/>
        <v>0</v>
      </c>
      <c r="O22" s="160">
        <f t="shared" si="9"/>
        <v>0</v>
      </c>
      <c r="P22" s="160">
        <f t="shared" si="9"/>
        <v>0</v>
      </c>
      <c r="Q22" s="161" t="s">
        <v>582</v>
      </c>
    </row>
    <row r="23" spans="1:17" s="3" customFormat="1" ht="15.75" customHeight="1" x14ac:dyDescent="0.25">
      <c r="A23" s="80">
        <v>9</v>
      </c>
      <c r="B23" s="165" t="s">
        <v>330</v>
      </c>
      <c r="C23" s="166">
        <v>3.99</v>
      </c>
      <c r="D23" s="167"/>
      <c r="E23" s="160">
        <f t="shared" si="5"/>
        <v>0</v>
      </c>
      <c r="F23" s="160">
        <v>0</v>
      </c>
      <c r="G23" s="160">
        <v>0</v>
      </c>
      <c r="H23" s="160">
        <v>0</v>
      </c>
      <c r="I23" s="160">
        <f t="shared" si="6"/>
        <v>0</v>
      </c>
      <c r="J23" s="160">
        <f t="shared" si="3"/>
        <v>0</v>
      </c>
      <c r="K23" s="160">
        <f t="shared" si="4"/>
        <v>0</v>
      </c>
      <c r="L23" s="160">
        <f t="shared" si="10"/>
        <v>0</v>
      </c>
      <c r="M23" s="160">
        <f t="shared" si="7"/>
        <v>0</v>
      </c>
      <c r="N23" s="160">
        <f t="shared" si="8"/>
        <v>0</v>
      </c>
      <c r="O23" s="160">
        <f t="shared" si="9"/>
        <v>0</v>
      </c>
      <c r="P23" s="160">
        <f t="shared" si="9"/>
        <v>0</v>
      </c>
      <c r="Q23" s="162" t="s">
        <v>583</v>
      </c>
    </row>
    <row r="24" spans="1:17" s="3" customFormat="1" ht="15.75" customHeight="1" x14ac:dyDescent="0.25">
      <c r="B24" s="86"/>
      <c r="C24" s="86"/>
      <c r="D24" s="87"/>
      <c r="E24" s="88"/>
      <c r="F24" s="88"/>
      <c r="G24" s="88"/>
      <c r="H24" s="88"/>
      <c r="I24" s="88"/>
      <c r="J24" s="88"/>
      <c r="K24" s="88"/>
      <c r="L24" s="88"/>
      <c r="M24" s="88"/>
      <c r="N24" s="160">
        <f t="shared" si="8"/>
        <v>0</v>
      </c>
      <c r="O24" s="88"/>
      <c r="P24" s="88"/>
      <c r="Q24" s="89"/>
    </row>
    <row r="25" spans="1:17" s="3" customFormat="1" ht="15.75" customHeight="1" thickBot="1" x14ac:dyDescent="0.3">
      <c r="A25" s="1503" t="s">
        <v>322</v>
      </c>
      <c r="B25" s="1504"/>
      <c r="C25" s="155"/>
      <c r="D25" s="90"/>
      <c r="E25" s="168">
        <f>SUM(E15:E23)</f>
        <v>4025</v>
      </c>
      <c r="F25" s="168">
        <f t="shared" ref="F25:P25" si="11">SUM(F15:F23)</f>
        <v>1890</v>
      </c>
      <c r="G25" s="168">
        <f t="shared" si="11"/>
        <v>1485</v>
      </c>
      <c r="H25" s="168">
        <f t="shared" si="11"/>
        <v>650</v>
      </c>
      <c r="I25" s="168">
        <f t="shared" si="11"/>
        <v>501.75</v>
      </c>
      <c r="J25" s="168">
        <f t="shared" si="11"/>
        <v>283.5</v>
      </c>
      <c r="K25" s="168">
        <f t="shared" si="11"/>
        <v>218.25</v>
      </c>
      <c r="L25" s="168">
        <f t="shared" si="11"/>
        <v>0</v>
      </c>
      <c r="M25" s="168">
        <f t="shared" si="11"/>
        <v>3523.25</v>
      </c>
      <c r="N25" s="168">
        <f t="shared" si="11"/>
        <v>1606.5</v>
      </c>
      <c r="O25" s="168">
        <f t="shared" si="11"/>
        <v>1266.75</v>
      </c>
      <c r="P25" s="168">
        <f t="shared" si="11"/>
        <v>650</v>
      </c>
      <c r="Q25" s="91"/>
    </row>
    <row r="26" spans="1:17" ht="13.5" thickTop="1" x14ac:dyDescent="0.3">
      <c r="A26" s="14"/>
      <c r="B26" s="10"/>
      <c r="C26" s="10"/>
      <c r="D26" s="10"/>
      <c r="E26" s="1505" t="s">
        <v>919</v>
      </c>
      <c r="F26" s="1505"/>
      <c r="G26" s="1505"/>
      <c r="H26" s="1505"/>
      <c r="I26" s="1505"/>
      <c r="J26" s="1505"/>
      <c r="K26" s="1505"/>
      <c r="L26" s="1505"/>
      <c r="M26" s="1505"/>
      <c r="N26" s="1505"/>
      <c r="O26" s="1505"/>
      <c r="P26" s="1505"/>
      <c r="Q26" s="1505"/>
    </row>
    <row r="27" spans="1:17" ht="13" x14ac:dyDescent="0.3">
      <c r="A27" s="14"/>
      <c r="B27" s="15"/>
      <c r="C27" s="15"/>
      <c r="D27" s="10"/>
      <c r="F27" s="92"/>
      <c r="G27" s="92"/>
      <c r="H27" s="92"/>
      <c r="I27" s="92"/>
      <c r="J27" s="92"/>
      <c r="K27" s="92"/>
      <c r="L27" s="92"/>
      <c r="M27" s="92"/>
      <c r="N27" s="1439"/>
      <c r="O27" s="1439"/>
      <c r="P27" s="1439"/>
      <c r="Q27" s="1439"/>
    </row>
    <row r="28" spans="1:17" ht="27" customHeight="1" x14ac:dyDescent="0.3">
      <c r="A28" s="1463" t="s">
        <v>238</v>
      </c>
      <c r="B28" s="1463"/>
      <c r="C28" s="1463"/>
      <c r="D28" s="1463"/>
      <c r="E28" s="1463"/>
      <c r="F28" s="1463"/>
      <c r="G28" s="1463"/>
      <c r="H28" s="1463"/>
      <c r="I28" s="1463"/>
      <c r="J28" s="1463"/>
      <c r="K28" s="1463"/>
      <c r="L28" s="1463"/>
      <c r="M28" s="1463"/>
      <c r="N28" s="11"/>
      <c r="O28" s="11"/>
      <c r="P28" s="11"/>
      <c r="Q28" s="11"/>
    </row>
    <row r="29" spans="1:17" ht="13" x14ac:dyDescent="0.3">
      <c r="A29" s="14"/>
      <c r="B29" s="16"/>
      <c r="C29" s="16"/>
      <c r="D29" s="10"/>
      <c r="E29" s="1439"/>
      <c r="F29" s="1439"/>
      <c r="G29" s="1439"/>
      <c r="H29" s="1439"/>
      <c r="I29" s="1439"/>
      <c r="J29" s="1439"/>
      <c r="K29" s="1439"/>
      <c r="L29" s="1439"/>
      <c r="M29" s="1439"/>
      <c r="N29" s="1439"/>
      <c r="O29" s="1439"/>
      <c r="P29" s="1439"/>
      <c r="Q29" s="1439"/>
    </row>
    <row r="30" spans="1:17" ht="13" x14ac:dyDescent="0.3">
      <c r="A30" s="14"/>
      <c r="B30" s="10"/>
      <c r="C30" s="10"/>
      <c r="D30" s="10"/>
      <c r="E30" s="1459"/>
      <c r="F30" s="1459"/>
      <c r="G30" s="1459"/>
      <c r="H30" s="1459"/>
      <c r="I30" s="1459"/>
      <c r="J30" s="1459"/>
      <c r="K30" s="1459"/>
      <c r="L30" s="1459"/>
      <c r="M30" s="1459"/>
      <c r="N30" s="1459"/>
      <c r="O30" s="1459"/>
      <c r="P30" s="1459"/>
      <c r="Q30" s="1459"/>
    </row>
  </sheetData>
  <mergeCells count="19">
    <mergeCell ref="H4:Q4"/>
    <mergeCell ref="A1:B1"/>
    <mergeCell ref="E1:P1"/>
    <mergeCell ref="A2:B2"/>
    <mergeCell ref="E2:P2"/>
    <mergeCell ref="A3:Q3"/>
    <mergeCell ref="E30:Q30"/>
    <mergeCell ref="Q5:Q6"/>
    <mergeCell ref="A25:B25"/>
    <mergeCell ref="E26:Q26"/>
    <mergeCell ref="N27:Q27"/>
    <mergeCell ref="A28:M28"/>
    <mergeCell ref="E29:Q29"/>
    <mergeCell ref="A5:A6"/>
    <mergeCell ref="B5:B6"/>
    <mergeCell ref="D5:D6"/>
    <mergeCell ref="E5:H5"/>
    <mergeCell ref="I5:L5"/>
    <mergeCell ref="M5:P5"/>
  </mergeCells>
  <pageMargins left="0.34" right="0.2" top="0.45" bottom="0.34" header="0.45" footer="0.21"/>
  <pageSetup paperSize="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30"/>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A4" sqref="A4"/>
    </sheetView>
  </sheetViews>
  <sheetFormatPr defaultColWidth="8.81640625" defaultRowHeight="12.5" x14ac:dyDescent="0.25"/>
  <cols>
    <col min="1" max="1" width="5.453125" style="1" customWidth="1"/>
    <col min="2" max="2" width="28.81640625" style="2" customWidth="1"/>
    <col min="3" max="3" width="7.81640625" style="2" customWidth="1"/>
    <col min="4" max="4" width="7.6328125" style="2" customWidth="1"/>
    <col min="5" max="6" width="5.6328125" customWidth="1"/>
    <col min="7" max="7" width="6.453125" customWidth="1"/>
    <col min="8" max="8" width="6.6328125" customWidth="1"/>
    <col min="9" max="10" width="5.6328125" customWidth="1"/>
    <col min="11" max="11" width="6.1796875" customWidth="1"/>
    <col min="12" max="12" width="9.1796875" customWidth="1"/>
    <col min="13" max="14" width="5.6328125" customWidth="1"/>
    <col min="15" max="15" width="6.453125" customWidth="1"/>
    <col min="16" max="16" width="7.1796875" customWidth="1"/>
    <col min="17" max="17" width="18.6328125" customWidth="1"/>
  </cols>
  <sheetData>
    <row r="1" spans="1:17" ht="14.25" customHeight="1" x14ac:dyDescent="0.3">
      <c r="A1" s="1511" t="s">
        <v>3</v>
      </c>
      <c r="B1" s="1511"/>
      <c r="C1" s="154"/>
      <c r="D1" s="10"/>
      <c r="E1" s="1435"/>
      <c r="F1" s="1435"/>
      <c r="G1" s="1435"/>
      <c r="H1" s="1435"/>
      <c r="I1" s="1435"/>
      <c r="J1" s="1435"/>
      <c r="K1" s="1435"/>
      <c r="L1" s="1435"/>
      <c r="M1" s="1435"/>
      <c r="N1" s="1435"/>
      <c r="O1" s="1435"/>
      <c r="P1" s="1435"/>
      <c r="Q1" s="150" t="s">
        <v>32</v>
      </c>
    </row>
    <row r="2" spans="1:17" ht="16.5" customHeight="1" x14ac:dyDescent="0.3">
      <c r="A2" s="1439" t="s">
        <v>296</v>
      </c>
      <c r="B2" s="1439"/>
      <c r="C2" s="153"/>
      <c r="D2" s="10"/>
      <c r="E2" s="1496"/>
      <c r="F2" s="1496"/>
      <c r="G2" s="1496"/>
      <c r="H2" s="1496"/>
      <c r="I2" s="1496"/>
      <c r="J2" s="1496"/>
      <c r="K2" s="1496"/>
      <c r="L2" s="1496"/>
      <c r="M2" s="1496"/>
      <c r="N2" s="1496"/>
      <c r="O2" s="1496"/>
      <c r="P2" s="1496"/>
      <c r="Q2" s="11"/>
    </row>
    <row r="3" spans="1:17" ht="21.75" customHeight="1" x14ac:dyDescent="0.25">
      <c r="A3" s="1437" t="s">
        <v>977</v>
      </c>
      <c r="B3" s="1437"/>
      <c r="C3" s="1437"/>
      <c r="D3" s="1437"/>
      <c r="E3" s="1437"/>
      <c r="F3" s="1437"/>
      <c r="G3" s="1437"/>
      <c r="H3" s="1437"/>
      <c r="I3" s="1437"/>
      <c r="J3" s="1437"/>
      <c r="K3" s="1437"/>
      <c r="L3" s="1437"/>
      <c r="M3" s="1437"/>
      <c r="N3" s="1437"/>
      <c r="O3" s="1437"/>
      <c r="P3" s="1437"/>
      <c r="Q3" s="1437"/>
    </row>
    <row r="4" spans="1:17" ht="13.5" thickBot="1" x14ac:dyDescent="0.35">
      <c r="A4" s="51"/>
      <c r="B4" s="51"/>
      <c r="C4" s="51"/>
      <c r="D4" s="51"/>
      <c r="E4" s="51"/>
      <c r="F4" s="51"/>
      <c r="G4" s="51"/>
      <c r="H4" s="1441" t="s">
        <v>75</v>
      </c>
      <c r="I4" s="1441"/>
      <c r="J4" s="1441"/>
      <c r="K4" s="1441"/>
      <c r="L4" s="1441"/>
      <c r="M4" s="1441"/>
      <c r="N4" s="1441"/>
      <c r="O4" s="1441"/>
      <c r="P4" s="1441"/>
      <c r="Q4" s="1441"/>
    </row>
    <row r="5" spans="1:17" ht="27.75" customHeight="1" thickTop="1" x14ac:dyDescent="0.25">
      <c r="A5" s="1506" t="s">
        <v>0</v>
      </c>
      <c r="B5" s="1508" t="s">
        <v>9</v>
      </c>
      <c r="C5" s="156"/>
      <c r="D5" s="1508" t="s">
        <v>10</v>
      </c>
      <c r="E5" s="1510" t="s">
        <v>15</v>
      </c>
      <c r="F5" s="1510"/>
      <c r="G5" s="1510"/>
      <c r="H5" s="1510"/>
      <c r="I5" s="1510" t="s">
        <v>212</v>
      </c>
      <c r="J5" s="1510"/>
      <c r="K5" s="1510"/>
      <c r="L5" s="1510"/>
      <c r="M5" s="1510" t="s">
        <v>16</v>
      </c>
      <c r="N5" s="1510"/>
      <c r="O5" s="1510"/>
      <c r="P5" s="1510"/>
      <c r="Q5" s="1501" t="s">
        <v>2</v>
      </c>
    </row>
    <row r="6" spans="1:17" ht="51" customHeight="1" x14ac:dyDescent="0.25">
      <c r="A6" s="1507"/>
      <c r="B6" s="1509"/>
      <c r="C6" s="49" t="s">
        <v>295</v>
      </c>
      <c r="D6" s="1509"/>
      <c r="E6" s="49" t="s">
        <v>14</v>
      </c>
      <c r="F6" s="49" t="s">
        <v>11</v>
      </c>
      <c r="G6" s="49" t="s">
        <v>12</v>
      </c>
      <c r="H6" s="49" t="s">
        <v>13</v>
      </c>
      <c r="I6" s="49" t="s">
        <v>14</v>
      </c>
      <c r="J6" s="49" t="s">
        <v>11</v>
      </c>
      <c r="K6" s="49" t="s">
        <v>12</v>
      </c>
      <c r="L6" s="49" t="s">
        <v>13</v>
      </c>
      <c r="M6" s="49" t="s">
        <v>14</v>
      </c>
      <c r="N6" s="49" t="s">
        <v>11</v>
      </c>
      <c r="O6" s="49" t="s">
        <v>12</v>
      </c>
      <c r="P6" s="49" t="s">
        <v>13</v>
      </c>
      <c r="Q6" s="1502"/>
    </row>
    <row r="7" spans="1:17" ht="13" x14ac:dyDescent="0.25">
      <c r="A7" s="62" t="s">
        <v>115</v>
      </c>
      <c r="B7" s="58" t="s">
        <v>116</v>
      </c>
      <c r="C7" s="58"/>
      <c r="D7" s="59" t="s">
        <v>117</v>
      </c>
      <c r="E7" s="59" t="s">
        <v>118</v>
      </c>
      <c r="F7" s="59" t="s">
        <v>119</v>
      </c>
      <c r="G7" s="59" t="s">
        <v>120</v>
      </c>
      <c r="H7" s="59" t="s">
        <v>121</v>
      </c>
      <c r="I7" s="59" t="s">
        <v>122</v>
      </c>
      <c r="J7" s="59" t="s">
        <v>123</v>
      </c>
      <c r="K7" s="59" t="s">
        <v>125</v>
      </c>
      <c r="L7" s="60" t="s">
        <v>88</v>
      </c>
      <c r="M7" s="59" t="s">
        <v>126</v>
      </c>
      <c r="N7" s="59" t="s">
        <v>127</v>
      </c>
      <c r="O7" s="59" t="s">
        <v>128</v>
      </c>
      <c r="P7" s="59" t="s">
        <v>129</v>
      </c>
      <c r="Q7" s="63" t="s">
        <v>130</v>
      </c>
    </row>
    <row r="8" spans="1:17" s="17" customFormat="1" ht="21.75" customHeight="1" x14ac:dyDescent="0.25">
      <c r="A8" s="76"/>
      <c r="B8" s="18" t="s">
        <v>821</v>
      </c>
      <c r="C8" s="18"/>
      <c r="D8" s="21"/>
      <c r="E8" s="21"/>
      <c r="F8" s="21"/>
      <c r="G8" s="21"/>
      <c r="H8" s="21"/>
      <c r="I8" s="21"/>
      <c r="J8" s="21"/>
      <c r="K8" s="21"/>
      <c r="L8" s="21"/>
      <c r="M8" s="21"/>
      <c r="N8" s="21"/>
      <c r="O8" s="21"/>
      <c r="P8" s="21"/>
      <c r="Q8" s="77"/>
    </row>
    <row r="9" spans="1:17" ht="18.75" customHeight="1" x14ac:dyDescent="0.25">
      <c r="A9" s="78"/>
      <c r="B9" s="20" t="s">
        <v>539</v>
      </c>
      <c r="C9" s="20"/>
      <c r="D9" s="19"/>
      <c r="E9" s="19"/>
      <c r="F9" s="19"/>
      <c r="G9" s="19"/>
      <c r="H9" s="19"/>
      <c r="I9" s="19"/>
      <c r="J9" s="19"/>
      <c r="K9" s="19"/>
      <c r="L9" s="19"/>
      <c r="M9" s="19"/>
      <c r="N9" s="19"/>
      <c r="O9" s="19"/>
      <c r="P9" s="19"/>
      <c r="Q9" s="79"/>
    </row>
    <row r="10" spans="1:17" ht="18.75" customHeight="1" x14ac:dyDescent="0.25">
      <c r="A10" s="78"/>
      <c r="B10" s="20" t="s">
        <v>822</v>
      </c>
      <c r="C10" s="20"/>
      <c r="D10" s="19"/>
      <c r="E10" s="19"/>
      <c r="F10" s="19"/>
      <c r="G10" s="19"/>
      <c r="H10" s="19"/>
      <c r="I10" s="19"/>
      <c r="J10" s="19"/>
      <c r="K10" s="19"/>
      <c r="L10" s="19"/>
      <c r="M10" s="19"/>
      <c r="N10" s="19"/>
      <c r="O10" s="19"/>
      <c r="P10" s="19"/>
      <c r="Q10" s="79"/>
    </row>
    <row r="11" spans="1:17" ht="22.5" customHeight="1" x14ac:dyDescent="0.25">
      <c r="A11" s="78"/>
      <c r="B11" s="20" t="s">
        <v>297</v>
      </c>
      <c r="C11" s="20"/>
      <c r="D11" s="19"/>
      <c r="E11" s="19"/>
      <c r="F11" s="19"/>
      <c r="G11" s="19"/>
      <c r="H11" s="19"/>
      <c r="I11" s="19"/>
      <c r="J11" s="19"/>
      <c r="K11" s="19"/>
      <c r="L11" s="19"/>
      <c r="M11" s="19"/>
      <c r="N11" s="19"/>
      <c r="O11" s="19"/>
      <c r="P11" s="19"/>
      <c r="Q11" s="79"/>
    </row>
    <row r="12" spans="1:17" ht="24" customHeight="1" x14ac:dyDescent="0.25">
      <c r="A12" s="78"/>
      <c r="B12" s="20" t="s">
        <v>823</v>
      </c>
      <c r="C12" s="20"/>
      <c r="D12" s="19"/>
      <c r="E12" s="19"/>
      <c r="F12" s="19"/>
      <c r="G12" s="19"/>
      <c r="H12" s="19"/>
      <c r="I12" s="19"/>
      <c r="J12" s="19"/>
      <c r="K12" s="19"/>
      <c r="L12" s="19"/>
      <c r="M12" s="19"/>
      <c r="N12" s="19"/>
      <c r="O12" s="19"/>
      <c r="P12" s="19"/>
      <c r="Q12" s="79"/>
    </row>
    <row r="13" spans="1:17" ht="18.75" customHeight="1" x14ac:dyDescent="0.25">
      <c r="A13" s="78"/>
      <c r="B13" s="20" t="s">
        <v>298</v>
      </c>
      <c r="C13" s="20"/>
      <c r="D13" s="19"/>
      <c r="E13" s="19"/>
      <c r="F13" s="19"/>
      <c r="G13" s="19"/>
      <c r="H13" s="19"/>
      <c r="I13" s="19"/>
      <c r="J13" s="19"/>
      <c r="K13" s="19"/>
      <c r="L13" s="19"/>
      <c r="M13" s="19"/>
      <c r="N13" s="19"/>
      <c r="O13" s="19"/>
      <c r="P13" s="19"/>
      <c r="Q13" s="79"/>
    </row>
    <row r="14" spans="1:17" s="3" customFormat="1" ht="15.75" customHeight="1" x14ac:dyDescent="0.25">
      <c r="A14" s="80"/>
      <c r="B14" s="81"/>
      <c r="C14" s="81"/>
      <c r="D14" s="82"/>
      <c r="E14" s="83"/>
      <c r="F14" s="83"/>
      <c r="G14" s="83"/>
      <c r="H14" s="83"/>
      <c r="I14" s="83"/>
      <c r="J14" s="83"/>
      <c r="K14" s="83"/>
      <c r="L14" s="83"/>
      <c r="M14" s="83"/>
      <c r="N14" s="83"/>
      <c r="O14" s="83"/>
      <c r="P14" s="83"/>
      <c r="Q14" s="84"/>
    </row>
    <row r="15" spans="1:17" s="3" customFormat="1" ht="15.75" customHeight="1" x14ac:dyDescent="0.25">
      <c r="A15" s="607">
        <v>1</v>
      </c>
      <c r="B15" s="165" t="s">
        <v>315</v>
      </c>
      <c r="C15" s="159">
        <v>4.42</v>
      </c>
      <c r="D15" s="167" t="s">
        <v>312</v>
      </c>
      <c r="E15" s="160">
        <f t="shared" ref="E15:E22" si="0">F15+G15+H15</f>
        <v>610</v>
      </c>
      <c r="F15" s="160">
        <v>270</v>
      </c>
      <c r="G15" s="160">
        <f t="shared" ref="G15:G24" si="1">IF(C15&lt;3.33,165,IF(C15&lt;4.32,175,IF(C15&lt;4.4,200,IF(C15&lt;5.76,220,IF(C15&lt;6.2,260,315)))))</f>
        <v>220</v>
      </c>
      <c r="H15" s="160">
        <f t="shared" ref="H15:H24" si="2">IF(C15&lt;3.33,70,IF(C15&lt;4.32,90,IF(C15&lt;4.4,100,120)))</f>
        <v>120</v>
      </c>
      <c r="I15" s="160">
        <f t="shared" ref="I15:I22" si="3">J15+K15+L15</f>
        <v>122.5</v>
      </c>
      <c r="J15" s="160">
        <f>IF(D15="CTHSVT",F15*0.6,IF(D15="TK",F15*0.3,IF(D15="PK",F15*0.25,IF(OR(D15="TBM",D15="BTLCD"),F15*0.2,IF(OR(D15="PCTCD",D15="CTCD"),F15*0.1,IF(OR(D15="TLĐT",D17="CVHT"),F15*0.15,IF(D15="NCS",F15*0.7,0)))))))</f>
        <v>67.5</v>
      </c>
      <c r="K15" s="160">
        <f>IF(D15="CTHSVT",G15*0.6,IF(D15="TK",G15*0.3,IF(D15="PK",G15*0.25,IF(OR(D15="TBM",D15="BTLCD"),G15*0.2,IF(OR(D15="PCTCD",D15="CTCD"),G15*0.1,IF(OR(D15="TLĐT",D17="CVHT"),G15*0.15,IF(D15="NCS",G15*0.7,0)))))))</f>
        <v>55</v>
      </c>
      <c r="L15" s="160">
        <f>IF(OR(D17="NCS",D17="NCS,TLĐT"),H15*0.7,0)</f>
        <v>0</v>
      </c>
      <c r="M15" s="160">
        <f t="shared" ref="M15:M22" si="4">N15+O15+P15</f>
        <v>487.5</v>
      </c>
      <c r="N15" s="160">
        <f t="shared" ref="N15:P23" si="5">F15-J15</f>
        <v>202.5</v>
      </c>
      <c r="O15" s="160">
        <f t="shared" si="5"/>
        <v>165</v>
      </c>
      <c r="P15" s="160">
        <f t="shared" si="5"/>
        <v>120</v>
      </c>
      <c r="Q15" s="161" t="s">
        <v>300</v>
      </c>
    </row>
    <row r="16" spans="1:17" s="3" customFormat="1" ht="15.75" customHeight="1" x14ac:dyDescent="0.25">
      <c r="A16" s="80">
        <v>2</v>
      </c>
      <c r="B16" s="165" t="s">
        <v>316</v>
      </c>
      <c r="C16" s="159">
        <v>3.66</v>
      </c>
      <c r="D16" s="167"/>
      <c r="E16" s="160">
        <f t="shared" si="0"/>
        <v>535</v>
      </c>
      <c r="F16" s="160">
        <v>270</v>
      </c>
      <c r="G16" s="160">
        <f t="shared" si="1"/>
        <v>175</v>
      </c>
      <c r="H16" s="160">
        <f t="shared" si="2"/>
        <v>90</v>
      </c>
      <c r="I16" s="160">
        <f t="shared" si="3"/>
        <v>0</v>
      </c>
      <c r="J16" s="160">
        <f>IF(D16="CTHSVT",F16*0.6,IF(D16="TK",F16*0.3,IF(D16="PK",F16*0.25,IF(OR(D16="TBM",D16="BTLCD"),F16*0.2,IF(OR(D16="PCTCD",D16="CTCD"),F16*0.1,IF(OR(D16="TLĐT",D18="CVHT"),F16*0.15,IF(D16="NCS",F16*0.7,0)))))))</f>
        <v>0</v>
      </c>
      <c r="K16" s="160">
        <f>IF(D18="CTHSVT",G16*0.6,IF(D18="TK",G16*0.3,IF(D18="PK",G16*0.25,IF(OR(D18="TBM",D18="BTLCD"),G16*0.2,IF(OR(D18="PCTCD",D18="CTCD"),F16*0.1,IF(OR(D18="TLĐT",D18="NCS,TLĐT",D18="NCS,CVHT",D18="CVHT"),G16*0.15,0))))))</f>
        <v>0</v>
      </c>
      <c r="L16" s="160">
        <f>IF(OR(D18="NCS",D18="NCS,TLĐT"),H16*0.7,0)</f>
        <v>0</v>
      </c>
      <c r="M16" s="160">
        <f t="shared" si="4"/>
        <v>535</v>
      </c>
      <c r="N16" s="160">
        <f t="shared" si="5"/>
        <v>270</v>
      </c>
      <c r="O16" s="160">
        <f t="shared" si="5"/>
        <v>175</v>
      </c>
      <c r="P16" s="160">
        <f t="shared" si="5"/>
        <v>90</v>
      </c>
      <c r="Q16" s="162"/>
    </row>
    <row r="17" spans="1:17" s="3" customFormat="1" ht="15.75" customHeight="1" x14ac:dyDescent="0.25">
      <c r="A17" s="80">
        <v>3</v>
      </c>
      <c r="B17" s="165" t="s">
        <v>317</v>
      </c>
      <c r="C17" s="164">
        <v>4.32</v>
      </c>
      <c r="D17" s="167" t="s">
        <v>313</v>
      </c>
      <c r="E17" s="160">
        <f t="shared" si="0"/>
        <v>570</v>
      </c>
      <c r="F17" s="160">
        <v>270</v>
      </c>
      <c r="G17" s="160">
        <f t="shared" si="1"/>
        <v>200</v>
      </c>
      <c r="H17" s="160">
        <f t="shared" si="2"/>
        <v>100</v>
      </c>
      <c r="I17" s="160">
        <f t="shared" si="3"/>
        <v>54</v>
      </c>
      <c r="J17" s="160">
        <f>IF(D17="CTHSVT",F17*0.6,IF(D17="TK",F17*0.3,IF(D17="PK",F17*0.25,IF(OR(D17="TBM",D17="BTLCD"),F17*0.2,IF(OR(D17="PCTCD",D17="CTCD"),F17*0.1,IF(OR(D17="TLĐT",D19="CVHT"),F17*0.15,IF(D17="NCS",F17*0.7,0)))))))</f>
        <v>54</v>
      </c>
      <c r="K17" s="160">
        <f>IF(E17="CTHSVT",G17*0.6,IF(E17="TK",G17*0.3,IF(E17="PK",G17*0.25,IF(OR(E17="TBM",E17="BTLCD"),G17*0.2,IF(OR(E17="PCTCD",E17="CTCD"),G17*0.1,IF(OR(E17="TLĐT",E19="CVHT"),G17*0.15,IF(E17="NCS",G17*0.7,0)))))))</f>
        <v>0</v>
      </c>
      <c r="L17" s="160">
        <f>IF(OR(D19="NCS",D19="NCS,TLĐT"),H17*0.7,0)</f>
        <v>0</v>
      </c>
      <c r="M17" s="160">
        <f t="shared" si="4"/>
        <v>516</v>
      </c>
      <c r="N17" s="160">
        <f t="shared" si="5"/>
        <v>216</v>
      </c>
      <c r="O17" s="160">
        <f t="shared" si="5"/>
        <v>200</v>
      </c>
      <c r="P17" s="160">
        <f t="shared" si="5"/>
        <v>100</v>
      </c>
      <c r="Q17" s="162" t="s">
        <v>302</v>
      </c>
    </row>
    <row r="18" spans="1:17" s="3" customFormat="1" ht="15.75" customHeight="1" x14ac:dyDescent="0.25">
      <c r="A18" s="80">
        <v>4</v>
      </c>
      <c r="B18" s="165" t="s">
        <v>318</v>
      </c>
      <c r="C18" s="159">
        <v>3.66</v>
      </c>
      <c r="D18" s="167"/>
      <c r="E18" s="160">
        <f t="shared" si="0"/>
        <v>535</v>
      </c>
      <c r="F18" s="160">
        <v>270</v>
      </c>
      <c r="G18" s="160">
        <f t="shared" si="1"/>
        <v>175</v>
      </c>
      <c r="H18" s="160">
        <f t="shared" si="2"/>
        <v>90</v>
      </c>
      <c r="I18" s="160">
        <f t="shared" si="3"/>
        <v>0</v>
      </c>
      <c r="J18" s="160">
        <f>IF(D20="CTHSVT",F18*0.6,IF(D20="TK",F18*0.3,IF(D20="PK",F18*0.25,IF(OR(D20="TBM",D20="BTLCD"),F18*0.2,IF(OR(D20="PCTCD",D20="CTCD"),F18*0.1,IF(OR(D20="TLĐT",D20="CVHT"),F18*0.15,IF(D20="NCS",F18*0.7,0)))))))</f>
        <v>0</v>
      </c>
      <c r="K18" s="160">
        <f t="shared" ref="K18:K24" si="6">IF(D18="CTHSVT",G18*0.6,IF(D18="TK",G18*0.3,IF(D18="PK",G18*0.25,IF(OR(D18="TBM",D18="BTLCD"),G18*0.2,IF(OR(D18="PCTCD",D18="CTCD"),F18*0.1,IF(OR(D18="TLĐT",D18="NCS,TLĐT",D18="NCS,CVHT",D18="CVHT"),G18*0.15,0))))))</f>
        <v>0</v>
      </c>
      <c r="L18" s="160">
        <f t="shared" ref="L18:L23" si="7">IF(OR(D18="NCS",D18="NCS,TLĐT"),H18*0.7,0)</f>
        <v>0</v>
      </c>
      <c r="M18" s="160">
        <f t="shared" si="4"/>
        <v>535</v>
      </c>
      <c r="N18" s="160">
        <f t="shared" si="5"/>
        <v>270</v>
      </c>
      <c r="O18" s="160">
        <f t="shared" si="5"/>
        <v>175</v>
      </c>
      <c r="P18" s="160">
        <f t="shared" si="5"/>
        <v>90</v>
      </c>
      <c r="Q18" s="162"/>
    </row>
    <row r="19" spans="1:17" s="3" customFormat="1" ht="15.75" customHeight="1" x14ac:dyDescent="0.25">
      <c r="A19" s="80">
        <v>5</v>
      </c>
      <c r="B19" s="165" t="s">
        <v>319</v>
      </c>
      <c r="C19" s="159">
        <v>3.66</v>
      </c>
      <c r="D19" s="167" t="s">
        <v>332</v>
      </c>
      <c r="E19" s="160">
        <f t="shared" si="0"/>
        <v>535</v>
      </c>
      <c r="F19" s="160">
        <v>270</v>
      </c>
      <c r="G19" s="160">
        <f t="shared" si="1"/>
        <v>175</v>
      </c>
      <c r="H19" s="160">
        <f t="shared" si="2"/>
        <v>90</v>
      </c>
      <c r="I19" s="160">
        <f t="shared" si="3"/>
        <v>66.75</v>
      </c>
      <c r="J19" s="160">
        <f t="shared" ref="J19:J24" si="8">IF(D19="CTHSVT",F19*0.6,IF(D19="TK",F19*0.3,IF(D19="PK",F19*0.25,IF(OR(D19="TBM",D19="BTLCD"),F19*0.2,IF(OR(D19="PCTCD",D19="CTCD"),F19*0.1,IF(OR(D19="TLĐT",D19="CVHT"),F19*0.15,IF(D19="NCS",F19*0.7,0)))))))</f>
        <v>40.5</v>
      </c>
      <c r="K19" s="160">
        <f t="shared" si="6"/>
        <v>26.25</v>
      </c>
      <c r="L19" s="160">
        <f t="shared" si="7"/>
        <v>0</v>
      </c>
      <c r="M19" s="160">
        <f t="shared" si="4"/>
        <v>468.25</v>
      </c>
      <c r="N19" s="160">
        <f t="shared" si="5"/>
        <v>229.5</v>
      </c>
      <c r="O19" s="160">
        <f t="shared" si="5"/>
        <v>148.75</v>
      </c>
      <c r="P19" s="160">
        <f t="shared" si="5"/>
        <v>90</v>
      </c>
      <c r="Q19" s="162"/>
    </row>
    <row r="20" spans="1:17" s="3" customFormat="1" ht="15.75" customHeight="1" x14ac:dyDescent="0.25">
      <c r="A20" s="80">
        <v>6</v>
      </c>
      <c r="B20" s="158" t="s">
        <v>580</v>
      </c>
      <c r="C20" s="159">
        <v>3.33</v>
      </c>
      <c r="D20" s="167"/>
      <c r="E20" s="160">
        <f t="shared" si="0"/>
        <v>535</v>
      </c>
      <c r="F20" s="160">
        <v>270</v>
      </c>
      <c r="G20" s="160">
        <f t="shared" si="1"/>
        <v>175</v>
      </c>
      <c r="H20" s="160">
        <f t="shared" si="2"/>
        <v>90</v>
      </c>
      <c r="I20" s="160">
        <f t="shared" si="3"/>
        <v>0</v>
      </c>
      <c r="J20" s="160">
        <f t="shared" si="8"/>
        <v>0</v>
      </c>
      <c r="K20" s="160">
        <f t="shared" si="6"/>
        <v>0</v>
      </c>
      <c r="L20" s="160">
        <f t="shared" si="7"/>
        <v>0</v>
      </c>
      <c r="M20" s="160">
        <f t="shared" si="4"/>
        <v>535</v>
      </c>
      <c r="N20" s="160">
        <f t="shared" si="5"/>
        <v>270</v>
      </c>
      <c r="O20" s="160">
        <f t="shared" si="5"/>
        <v>175</v>
      </c>
      <c r="P20" s="160">
        <f t="shared" si="5"/>
        <v>90</v>
      </c>
      <c r="Q20" s="161"/>
    </row>
    <row r="21" spans="1:17" s="3" customFormat="1" ht="15.75" customHeight="1" x14ac:dyDescent="0.25">
      <c r="A21" s="80">
        <v>7</v>
      </c>
      <c r="B21" s="165" t="s">
        <v>320</v>
      </c>
      <c r="C21" s="166">
        <v>4.6500000000000004</v>
      </c>
      <c r="D21" s="167"/>
      <c r="E21" s="160">
        <f t="shared" si="0"/>
        <v>610</v>
      </c>
      <c r="F21" s="160">
        <v>270</v>
      </c>
      <c r="G21" s="160">
        <f t="shared" si="1"/>
        <v>220</v>
      </c>
      <c r="H21" s="160">
        <f t="shared" si="2"/>
        <v>120</v>
      </c>
      <c r="I21" s="160">
        <f t="shared" si="3"/>
        <v>0</v>
      </c>
      <c r="J21" s="160">
        <f t="shared" si="8"/>
        <v>0</v>
      </c>
      <c r="K21" s="160">
        <f t="shared" si="6"/>
        <v>0</v>
      </c>
      <c r="L21" s="160">
        <f t="shared" si="7"/>
        <v>0</v>
      </c>
      <c r="M21" s="160">
        <f t="shared" si="4"/>
        <v>610</v>
      </c>
      <c r="N21" s="160">
        <f t="shared" si="5"/>
        <v>270</v>
      </c>
      <c r="O21" s="160">
        <f t="shared" si="5"/>
        <v>220</v>
      </c>
      <c r="P21" s="160">
        <f t="shared" si="5"/>
        <v>120</v>
      </c>
      <c r="Q21" s="162"/>
    </row>
    <row r="22" spans="1:17" s="3" customFormat="1" ht="15.75" customHeight="1" x14ac:dyDescent="0.25">
      <c r="A22" s="80">
        <v>8</v>
      </c>
      <c r="B22" s="165" t="s">
        <v>321</v>
      </c>
      <c r="C22" s="159">
        <v>4.9800000000000004</v>
      </c>
      <c r="D22" s="87"/>
      <c r="E22" s="160">
        <f t="shared" si="0"/>
        <v>610</v>
      </c>
      <c r="F22" s="160">
        <v>270</v>
      </c>
      <c r="G22" s="160">
        <f t="shared" si="1"/>
        <v>220</v>
      </c>
      <c r="H22" s="160">
        <f t="shared" si="2"/>
        <v>120</v>
      </c>
      <c r="I22" s="160">
        <f t="shared" si="3"/>
        <v>0</v>
      </c>
      <c r="J22" s="160">
        <f t="shared" si="8"/>
        <v>0</v>
      </c>
      <c r="K22" s="160">
        <f t="shared" si="6"/>
        <v>0</v>
      </c>
      <c r="L22" s="160">
        <f t="shared" si="7"/>
        <v>0</v>
      </c>
      <c r="M22" s="160">
        <f t="shared" si="4"/>
        <v>610</v>
      </c>
      <c r="N22" s="160">
        <f t="shared" si="5"/>
        <v>270</v>
      </c>
      <c r="O22" s="160">
        <f t="shared" si="5"/>
        <v>220</v>
      </c>
      <c r="P22" s="160">
        <f t="shared" si="5"/>
        <v>120</v>
      </c>
      <c r="Q22" s="89"/>
    </row>
    <row r="23" spans="1:17" s="3" customFormat="1" ht="15.75" customHeight="1" x14ac:dyDescent="0.25">
      <c r="A23" s="80">
        <v>9</v>
      </c>
      <c r="B23" s="347" t="s">
        <v>592</v>
      </c>
      <c r="C23" s="672">
        <v>2.67</v>
      </c>
      <c r="D23" s="167"/>
      <c r="E23" s="348">
        <v>535</v>
      </c>
      <c r="F23" s="348">
        <v>270</v>
      </c>
      <c r="G23" s="160">
        <f t="shared" si="1"/>
        <v>165</v>
      </c>
      <c r="H23" s="160">
        <f t="shared" si="2"/>
        <v>70</v>
      </c>
      <c r="I23" s="348">
        <v>0</v>
      </c>
      <c r="J23" s="160">
        <f t="shared" si="8"/>
        <v>0</v>
      </c>
      <c r="K23" s="160">
        <f t="shared" si="6"/>
        <v>0</v>
      </c>
      <c r="L23" s="160">
        <f t="shared" si="7"/>
        <v>0</v>
      </c>
      <c r="M23" s="160">
        <f>N23+O23+P23</f>
        <v>505</v>
      </c>
      <c r="N23" s="160">
        <f t="shared" si="5"/>
        <v>270</v>
      </c>
      <c r="O23" s="160">
        <f t="shared" si="5"/>
        <v>165</v>
      </c>
      <c r="P23" s="160">
        <f t="shared" si="5"/>
        <v>70</v>
      </c>
      <c r="Q23" s="89"/>
    </row>
    <row r="24" spans="1:17" s="3" customFormat="1" ht="32" customHeight="1" x14ac:dyDescent="0.25">
      <c r="A24" s="346">
        <v>10</v>
      </c>
      <c r="B24" s="363" t="s">
        <v>593</v>
      </c>
      <c r="C24" s="673">
        <v>2.34</v>
      </c>
      <c r="D24" s="167" t="s">
        <v>820</v>
      </c>
      <c r="E24" s="160">
        <f>F24+G24+H24</f>
        <v>505</v>
      </c>
      <c r="F24" s="160">
        <v>270</v>
      </c>
      <c r="G24" s="160">
        <f t="shared" si="1"/>
        <v>165</v>
      </c>
      <c r="H24" s="160">
        <f t="shared" si="2"/>
        <v>70</v>
      </c>
      <c r="I24" s="160">
        <f>J24+K24+L24</f>
        <v>261</v>
      </c>
      <c r="J24" s="160">
        <f t="shared" si="8"/>
        <v>162</v>
      </c>
      <c r="K24" s="160">
        <f t="shared" si="6"/>
        <v>99</v>
      </c>
      <c r="L24" s="160">
        <f>IF(OR(D24="NCS",D24="NCS,TLĐT"),H24*0.7,0)</f>
        <v>0</v>
      </c>
      <c r="M24" s="160">
        <f>N24+O24+P24</f>
        <v>244</v>
      </c>
      <c r="N24" s="160">
        <f>F24-J24</f>
        <v>108</v>
      </c>
      <c r="O24" s="160">
        <f>G24-K24</f>
        <v>66</v>
      </c>
      <c r="P24" s="160">
        <f>H24-L24</f>
        <v>70</v>
      </c>
      <c r="Q24" s="157" t="s">
        <v>934</v>
      </c>
    </row>
    <row r="25" spans="1:17" s="3" customFormat="1" ht="15.75" customHeight="1" thickBot="1" x14ac:dyDescent="0.3">
      <c r="A25" s="1503" t="s">
        <v>322</v>
      </c>
      <c r="B25" s="1504"/>
      <c r="C25" s="155"/>
      <c r="D25" s="90"/>
      <c r="E25" s="168">
        <f t="shared" ref="E25:P25" si="9">SUM(E15:E24)</f>
        <v>5580</v>
      </c>
      <c r="F25" s="168">
        <f t="shared" si="9"/>
        <v>2700</v>
      </c>
      <c r="G25" s="168">
        <f>SUM(G15:G24)</f>
        <v>1890</v>
      </c>
      <c r="H25" s="168">
        <f>SUM(H15:H24)</f>
        <v>960</v>
      </c>
      <c r="I25" s="168">
        <f t="shared" si="9"/>
        <v>504.25</v>
      </c>
      <c r="J25" s="168">
        <f t="shared" si="9"/>
        <v>324</v>
      </c>
      <c r="K25" s="168">
        <f t="shared" si="9"/>
        <v>180.25</v>
      </c>
      <c r="L25" s="168">
        <f t="shared" si="9"/>
        <v>0</v>
      </c>
      <c r="M25" s="168">
        <f t="shared" si="9"/>
        <v>5045.75</v>
      </c>
      <c r="N25" s="168">
        <f t="shared" si="9"/>
        <v>2376</v>
      </c>
      <c r="O25" s="168">
        <f t="shared" si="9"/>
        <v>1709.75</v>
      </c>
      <c r="P25" s="168">
        <f t="shared" si="9"/>
        <v>960</v>
      </c>
      <c r="Q25" s="91"/>
    </row>
    <row r="26" spans="1:17" ht="13.5" thickTop="1" x14ac:dyDescent="0.3">
      <c r="A26" s="14"/>
      <c r="B26" s="10"/>
      <c r="C26" s="10"/>
      <c r="D26" s="10"/>
      <c r="E26" s="1505" t="s">
        <v>919</v>
      </c>
      <c r="F26" s="1505"/>
      <c r="G26" s="1505"/>
      <c r="H26" s="1505"/>
      <c r="I26" s="1505"/>
      <c r="J26" s="1505"/>
      <c r="K26" s="1505"/>
      <c r="L26" s="1505"/>
      <c r="M26" s="1505"/>
      <c r="N26" s="1505"/>
      <c r="O26" s="1505"/>
      <c r="P26" s="1505"/>
      <c r="Q26" s="1505"/>
    </row>
    <row r="27" spans="1:17" ht="13" x14ac:dyDescent="0.3">
      <c r="A27" s="14"/>
      <c r="B27" s="15"/>
      <c r="C27" s="15"/>
      <c r="D27" s="10"/>
      <c r="F27" s="92"/>
      <c r="G27" s="92"/>
      <c r="H27" s="92"/>
      <c r="I27" s="92"/>
      <c r="J27" s="92"/>
      <c r="K27" s="92"/>
      <c r="L27" s="92"/>
      <c r="M27" s="92"/>
      <c r="N27" s="1439"/>
      <c r="O27" s="1439"/>
      <c r="P27" s="1439"/>
      <c r="Q27" s="1439"/>
    </row>
    <row r="28" spans="1:17" ht="27" customHeight="1" x14ac:dyDescent="0.3">
      <c r="A28" s="1463" t="s">
        <v>238</v>
      </c>
      <c r="B28" s="1463"/>
      <c r="C28" s="1463"/>
      <c r="D28" s="1463"/>
      <c r="E28" s="1463"/>
      <c r="F28" s="1463"/>
      <c r="G28" s="1463"/>
      <c r="H28" s="1463"/>
      <c r="I28" s="1463"/>
      <c r="J28" s="1463"/>
      <c r="K28" s="1463"/>
      <c r="L28" s="1463"/>
      <c r="M28" s="1463"/>
      <c r="N28" s="11"/>
      <c r="O28" s="11"/>
      <c r="P28" s="11"/>
      <c r="Q28" s="11"/>
    </row>
    <row r="29" spans="1:17" ht="13" x14ac:dyDescent="0.3">
      <c r="A29" s="14"/>
      <c r="B29" s="16"/>
      <c r="C29" s="16"/>
      <c r="D29" s="10"/>
      <c r="E29" s="1439"/>
      <c r="F29" s="1439"/>
      <c r="G29" s="1439"/>
      <c r="H29" s="1439"/>
      <c r="I29" s="1439"/>
      <c r="J29" s="1439"/>
      <c r="K29" s="1439"/>
      <c r="L29" s="1439"/>
      <c r="M29" s="1439"/>
      <c r="N29" s="1439"/>
      <c r="O29" s="1439"/>
      <c r="P29" s="1439"/>
      <c r="Q29" s="1439"/>
    </row>
    <row r="30" spans="1:17" ht="13" x14ac:dyDescent="0.3">
      <c r="A30" s="14"/>
      <c r="B30" s="10"/>
      <c r="C30" s="10"/>
      <c r="D30" s="10"/>
      <c r="E30" s="1459"/>
      <c r="F30" s="1459"/>
      <c r="G30" s="1459"/>
      <c r="H30" s="1459"/>
      <c r="I30" s="1459"/>
      <c r="J30" s="1459"/>
      <c r="K30" s="1459"/>
      <c r="L30" s="1459"/>
      <c r="M30" s="1459"/>
      <c r="N30" s="1459"/>
      <c r="O30" s="1459"/>
      <c r="P30" s="1459"/>
      <c r="Q30" s="1459"/>
    </row>
  </sheetData>
  <mergeCells count="19">
    <mergeCell ref="H4:Q4"/>
    <mergeCell ref="A1:B1"/>
    <mergeCell ref="E1:P1"/>
    <mergeCell ref="A2:B2"/>
    <mergeCell ref="E2:P2"/>
    <mergeCell ref="A3:Q3"/>
    <mergeCell ref="E30:Q30"/>
    <mergeCell ref="Q5:Q6"/>
    <mergeCell ref="A25:B25"/>
    <mergeCell ref="E26:Q26"/>
    <mergeCell ref="N27:Q27"/>
    <mergeCell ref="A28:M28"/>
    <mergeCell ref="E29:Q29"/>
    <mergeCell ref="A5:A6"/>
    <mergeCell ref="B5:B6"/>
    <mergeCell ref="D5:D6"/>
    <mergeCell ref="E5:H5"/>
    <mergeCell ref="I5:L5"/>
    <mergeCell ref="M5:P5"/>
  </mergeCells>
  <pageMargins left="0.34" right="0.2" top="0.45" bottom="0.34" header="0.45" footer="0.21"/>
  <pageSetup paperSize="9" orientation="landscape"/>
  <ignoredErrors>
    <ignoredError sqref="J25" emptyCellReferenc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dimension ref="A1:Q29"/>
  <sheetViews>
    <sheetView zoomScale="115" zoomScaleNormal="115" zoomScalePageLayoutView="115" workbookViewId="0">
      <pane xSplit="2" ySplit="7" topLeftCell="C9" activePane="bottomRight" state="frozen"/>
      <selection pane="topRight" activeCell="C1" sqref="C1"/>
      <selection pane="bottomLeft" activeCell="A8" sqref="A8"/>
      <selection pane="bottomRight" activeCell="A4" sqref="A4"/>
    </sheetView>
  </sheetViews>
  <sheetFormatPr defaultColWidth="8.81640625" defaultRowHeight="12.5" x14ac:dyDescent="0.25"/>
  <cols>
    <col min="1" max="1" width="5.453125" style="1" customWidth="1"/>
    <col min="2" max="2" width="28.453125" style="2" customWidth="1"/>
    <col min="3" max="3" width="7.81640625" style="2" customWidth="1"/>
    <col min="4" max="4" width="6.453125" style="2" customWidth="1"/>
    <col min="5" max="6" width="5.6328125" customWidth="1"/>
    <col min="7" max="7" width="6.453125" customWidth="1"/>
    <col min="8" max="8" width="6.6328125" customWidth="1"/>
    <col min="9" max="10" width="5.6328125" customWidth="1"/>
    <col min="11" max="11" width="6.1796875" customWidth="1"/>
    <col min="12" max="12" width="7.81640625" customWidth="1"/>
    <col min="13" max="13" width="5.6328125" customWidth="1"/>
    <col min="14" max="15" width="6.453125" customWidth="1"/>
    <col min="16" max="16" width="7.1796875" customWidth="1"/>
    <col min="17" max="17" width="20.453125" customWidth="1"/>
  </cols>
  <sheetData>
    <row r="1" spans="1:17" ht="14.25" customHeight="1" x14ac:dyDescent="0.3">
      <c r="A1" s="1511" t="s">
        <v>3</v>
      </c>
      <c r="B1" s="1511"/>
      <c r="C1" s="154"/>
      <c r="D1" s="10"/>
      <c r="E1" s="1435"/>
      <c r="F1" s="1435"/>
      <c r="G1" s="1435"/>
      <c r="H1" s="1435"/>
      <c r="I1" s="1435"/>
      <c r="J1" s="1435"/>
      <c r="K1" s="1435"/>
      <c r="L1" s="1435"/>
      <c r="M1" s="1435"/>
      <c r="N1" s="1435"/>
      <c r="O1" s="1435"/>
      <c r="P1" s="1435"/>
      <c r="Q1" s="150" t="s">
        <v>32</v>
      </c>
    </row>
    <row r="2" spans="1:17" ht="16.5" customHeight="1" x14ac:dyDescent="0.3">
      <c r="A2" s="1439" t="s">
        <v>296</v>
      </c>
      <c r="B2" s="1439"/>
      <c r="C2" s="153"/>
      <c r="D2" s="10"/>
      <c r="E2" s="1496"/>
      <c r="F2" s="1496"/>
      <c r="G2" s="1496"/>
      <c r="H2" s="1496"/>
      <c r="I2" s="1496"/>
      <c r="J2" s="1496"/>
      <c r="K2" s="1496"/>
      <c r="L2" s="1496"/>
      <c r="M2" s="1496"/>
      <c r="N2" s="1496"/>
      <c r="O2" s="1496"/>
      <c r="P2" s="1496"/>
      <c r="Q2" s="11"/>
    </row>
    <row r="3" spans="1:17" ht="21.75" customHeight="1" x14ac:dyDescent="0.25">
      <c r="A3" s="1437" t="s">
        <v>983</v>
      </c>
      <c r="B3" s="1437"/>
      <c r="C3" s="1437"/>
      <c r="D3" s="1437"/>
      <c r="E3" s="1437"/>
      <c r="F3" s="1437"/>
      <c r="G3" s="1437"/>
      <c r="H3" s="1437"/>
      <c r="I3" s="1437"/>
      <c r="J3" s="1437"/>
      <c r="K3" s="1437"/>
      <c r="L3" s="1437"/>
      <c r="M3" s="1437"/>
      <c r="N3" s="1437"/>
      <c r="O3" s="1437"/>
      <c r="P3" s="1437"/>
      <c r="Q3" s="1437"/>
    </row>
    <row r="4" spans="1:17" ht="13.5" thickBot="1" x14ac:dyDescent="0.35">
      <c r="A4" s="51"/>
      <c r="B4" s="51"/>
      <c r="C4" s="51"/>
      <c r="D4" s="51"/>
      <c r="E4" s="51"/>
      <c r="F4" s="51"/>
      <c r="G4" s="51"/>
      <c r="H4" s="1441" t="s">
        <v>75</v>
      </c>
      <c r="I4" s="1441"/>
      <c r="J4" s="1441"/>
      <c r="K4" s="1441"/>
      <c r="L4" s="1441"/>
      <c r="M4" s="1441"/>
      <c r="N4" s="1441"/>
      <c r="O4" s="1441"/>
      <c r="P4" s="1441"/>
      <c r="Q4" s="1441"/>
    </row>
    <row r="5" spans="1:17" ht="27.75" customHeight="1" thickTop="1" x14ac:dyDescent="0.25">
      <c r="A5" s="1506" t="s">
        <v>0</v>
      </c>
      <c r="B5" s="1508" t="s">
        <v>9</v>
      </c>
      <c r="C5" s="156"/>
      <c r="D5" s="1508" t="s">
        <v>10</v>
      </c>
      <c r="E5" s="1510" t="s">
        <v>15</v>
      </c>
      <c r="F5" s="1510"/>
      <c r="G5" s="1510"/>
      <c r="H5" s="1510"/>
      <c r="I5" s="1510" t="s">
        <v>212</v>
      </c>
      <c r="J5" s="1510"/>
      <c r="K5" s="1510"/>
      <c r="L5" s="1510"/>
      <c r="M5" s="1510" t="s">
        <v>16</v>
      </c>
      <c r="N5" s="1510"/>
      <c r="O5" s="1510"/>
      <c r="P5" s="1510"/>
      <c r="Q5" s="1501" t="s">
        <v>2</v>
      </c>
    </row>
    <row r="6" spans="1:17" ht="51" customHeight="1" x14ac:dyDescent="0.25">
      <c r="A6" s="1507"/>
      <c r="B6" s="1509"/>
      <c r="C6" s="49" t="s">
        <v>295</v>
      </c>
      <c r="D6" s="1509"/>
      <c r="E6" s="49" t="s">
        <v>14</v>
      </c>
      <c r="F6" s="49" t="s">
        <v>11</v>
      </c>
      <c r="G6" s="49" t="s">
        <v>12</v>
      </c>
      <c r="H6" s="49" t="s">
        <v>13</v>
      </c>
      <c r="I6" s="49" t="s">
        <v>14</v>
      </c>
      <c r="J6" s="49" t="s">
        <v>11</v>
      </c>
      <c r="K6" s="49" t="s">
        <v>12</v>
      </c>
      <c r="L6" s="49" t="s">
        <v>13</v>
      </c>
      <c r="M6" s="49" t="s">
        <v>14</v>
      </c>
      <c r="N6" s="49" t="s">
        <v>11</v>
      </c>
      <c r="O6" s="49" t="s">
        <v>12</v>
      </c>
      <c r="P6" s="49" t="s">
        <v>13</v>
      </c>
      <c r="Q6" s="1502"/>
    </row>
    <row r="7" spans="1:17" ht="21" x14ac:dyDescent="0.25">
      <c r="A7" s="62" t="s">
        <v>115</v>
      </c>
      <c r="B7" s="58" t="s">
        <v>116</v>
      </c>
      <c r="C7" s="58"/>
      <c r="D7" s="59" t="s">
        <v>117</v>
      </c>
      <c r="E7" s="59" t="s">
        <v>118</v>
      </c>
      <c r="F7" s="59" t="s">
        <v>119</v>
      </c>
      <c r="G7" s="59" t="s">
        <v>120</v>
      </c>
      <c r="H7" s="59" t="s">
        <v>121</v>
      </c>
      <c r="I7" s="59" t="s">
        <v>122</v>
      </c>
      <c r="J7" s="59" t="s">
        <v>123</v>
      </c>
      <c r="K7" s="59" t="s">
        <v>125</v>
      </c>
      <c r="L7" s="60" t="s">
        <v>88</v>
      </c>
      <c r="M7" s="59" t="s">
        <v>126</v>
      </c>
      <c r="N7" s="59" t="s">
        <v>127</v>
      </c>
      <c r="O7" s="59" t="s">
        <v>128</v>
      </c>
      <c r="P7" s="59" t="s">
        <v>129</v>
      </c>
      <c r="Q7" s="63" t="s">
        <v>130</v>
      </c>
    </row>
    <row r="8" spans="1:17" s="17" customFormat="1" ht="22.5" customHeight="1" x14ac:dyDescent="0.25">
      <c r="A8" s="76"/>
      <c r="B8" s="18" t="s">
        <v>538</v>
      </c>
      <c r="C8" s="18"/>
      <c r="D8" s="21"/>
      <c r="E8" s="21"/>
      <c r="F8" s="21"/>
      <c r="G8" s="21"/>
      <c r="H8" s="21"/>
      <c r="I8" s="21"/>
      <c r="J8" s="21"/>
      <c r="K8" s="21"/>
      <c r="L8" s="21"/>
      <c r="M8" s="21"/>
      <c r="N8" s="21"/>
      <c r="O8" s="21"/>
      <c r="P8" s="21"/>
      <c r="Q8" s="77"/>
    </row>
    <row r="9" spans="1:17" ht="18.75" customHeight="1" x14ac:dyDescent="0.25">
      <c r="A9" s="78"/>
      <c r="B9" s="20" t="s">
        <v>541</v>
      </c>
      <c r="C9" s="20"/>
      <c r="D9" s="19"/>
      <c r="E9" s="19"/>
      <c r="F9" s="19"/>
      <c r="G9" s="19"/>
      <c r="H9" s="19"/>
      <c r="I9" s="19"/>
      <c r="J9" s="19"/>
      <c r="K9" s="19"/>
      <c r="L9" s="19"/>
      <c r="M9" s="19"/>
      <c r="N9" s="19"/>
      <c r="O9" s="19"/>
      <c r="P9" s="19"/>
      <c r="Q9" s="79"/>
    </row>
    <row r="10" spans="1:17" ht="18.75" customHeight="1" x14ac:dyDescent="0.25">
      <c r="A10" s="78"/>
      <c r="B10" s="20" t="s">
        <v>540</v>
      </c>
      <c r="C10" s="20"/>
      <c r="D10" s="19"/>
      <c r="E10" s="19"/>
      <c r="F10" s="19"/>
      <c r="G10" s="19"/>
      <c r="H10" s="19"/>
      <c r="I10" s="19"/>
      <c r="J10" s="19"/>
      <c r="K10" s="19"/>
      <c r="L10" s="19"/>
      <c r="M10" s="19"/>
      <c r="N10" s="19"/>
      <c r="O10" s="19"/>
      <c r="P10" s="19"/>
      <c r="Q10" s="79"/>
    </row>
    <row r="11" spans="1:17" ht="24.75" customHeight="1" x14ac:dyDescent="0.25">
      <c r="A11" s="78"/>
      <c r="B11" s="20" t="s">
        <v>297</v>
      </c>
      <c r="C11" s="20"/>
      <c r="D11" s="19"/>
      <c r="E11" s="19"/>
      <c r="F11" s="19"/>
      <c r="G11" s="19"/>
      <c r="H11" s="19"/>
      <c r="I11" s="19"/>
      <c r="J11" s="19"/>
      <c r="K11" s="19"/>
      <c r="L11" s="19"/>
      <c r="M11" s="19"/>
      <c r="N11" s="19"/>
      <c r="O11" s="19"/>
      <c r="P11" s="19"/>
      <c r="Q11" s="79"/>
    </row>
    <row r="12" spans="1:17" ht="30.75" customHeight="1" x14ac:dyDescent="0.25">
      <c r="A12" s="78"/>
      <c r="B12" s="20" t="s">
        <v>924</v>
      </c>
      <c r="C12" s="20"/>
      <c r="D12" s="19"/>
      <c r="E12" s="19"/>
      <c r="F12" s="19"/>
      <c r="G12" s="19"/>
      <c r="H12" s="19"/>
      <c r="I12" s="19"/>
      <c r="J12" s="19"/>
      <c r="K12" s="19"/>
      <c r="L12" s="19"/>
      <c r="M12" s="19"/>
      <c r="N12" s="19"/>
      <c r="O12" s="19"/>
      <c r="P12" s="19"/>
      <c r="Q12" s="79"/>
    </row>
    <row r="13" spans="1:17" ht="21" customHeight="1" x14ac:dyDescent="0.25">
      <c r="A13" s="78"/>
      <c r="B13" s="20" t="s">
        <v>923</v>
      </c>
      <c r="C13" s="20"/>
      <c r="D13" s="19"/>
      <c r="E13" s="19"/>
      <c r="F13" s="19"/>
      <c r="G13" s="19"/>
      <c r="H13" s="19"/>
      <c r="I13" s="19"/>
      <c r="J13" s="19"/>
      <c r="K13" s="19"/>
      <c r="L13" s="19"/>
      <c r="M13" s="19"/>
      <c r="N13" s="19"/>
      <c r="O13" s="19"/>
      <c r="P13" s="19"/>
      <c r="Q13" s="79"/>
    </row>
    <row r="14" spans="1:17" s="3" customFormat="1" ht="15.75" customHeight="1" x14ac:dyDescent="0.25">
      <c r="A14" s="80">
        <v>1</v>
      </c>
      <c r="B14" s="158" t="s">
        <v>299</v>
      </c>
      <c r="C14" s="159">
        <v>6.2</v>
      </c>
      <c r="D14" s="167" t="s">
        <v>312</v>
      </c>
      <c r="E14" s="160">
        <f>F14+G14+H14</f>
        <v>705</v>
      </c>
      <c r="F14" s="160">
        <v>270</v>
      </c>
      <c r="G14" s="160">
        <f>IF(C14&lt;3.33,165,IF(C14&lt;4.32,175,IF(C14&lt;4.4,200,IF(C14&lt;5.76,220,IF(C14&lt;6.2,260,315)))))</f>
        <v>315</v>
      </c>
      <c r="H14" s="160">
        <f>IF(C14&lt;3.33,70,IF(C14&lt;4.32,90,IF(C14&lt;4.4,100,120)))</f>
        <v>120</v>
      </c>
      <c r="I14" s="160">
        <f>J14+K14+L14</f>
        <v>146.25</v>
      </c>
      <c r="J14" s="160">
        <f>IF(D14="CTHSVT",F14*0.6,IF(D14="TK",F14*0.3,IF(D14="PK",F14*0.25,IF(OR(D14="TBM",D14="BTLCD"),F14*0.2,IF(OR(D14="PCTCD",D14="CTCD"),F14*0.1,IF(OR(D14="TLĐT",D14="CVHT"),F14*0.15,IF(D14="NCS",F14*0.7,0)))))))</f>
        <v>67.5</v>
      </c>
      <c r="K14" s="160">
        <f>IF(D14="CTHSVT",G14*0.6,IF(D14="TK",G14*0.3,IF(D14="PK",G14*0.25,IF(OR(D14="TBM",D14="BTLCD"),G14*0.2,IF(OR(D14="PCTCD",D14="CTCD"),F14*0.1,IF(OR(D14="TLĐT",D14="NCS,TLĐT",D14="NCS,CVHT",D14="CVHT"),G14*0.15,0))))))</f>
        <v>78.75</v>
      </c>
      <c r="L14" s="160">
        <f>IF(OR(D14="NCS",D14="NCS,TLĐT"),H14*0.7,0)</f>
        <v>0</v>
      </c>
      <c r="M14" s="160">
        <f>N14+O14+P14</f>
        <v>558.75</v>
      </c>
      <c r="N14" s="160">
        <f>F14-J14</f>
        <v>202.5</v>
      </c>
      <c r="O14" s="160">
        <f>G14-K14</f>
        <v>236.25</v>
      </c>
      <c r="P14" s="160">
        <f>H14-L14</f>
        <v>120</v>
      </c>
      <c r="Q14" s="161" t="s">
        <v>300</v>
      </c>
    </row>
    <row r="15" spans="1:17" s="3" customFormat="1" ht="15.75" customHeight="1" x14ac:dyDescent="0.25">
      <c r="A15" s="80">
        <v>2</v>
      </c>
      <c r="B15" s="158" t="s">
        <v>301</v>
      </c>
      <c r="C15" s="159">
        <v>5.08</v>
      </c>
      <c r="D15" s="167" t="s">
        <v>313</v>
      </c>
      <c r="E15" s="160">
        <f t="shared" ref="E15:E22" si="0">F15+G15+H15</f>
        <v>610</v>
      </c>
      <c r="F15" s="160">
        <v>270</v>
      </c>
      <c r="G15" s="160">
        <f t="shared" ref="G15:G22" si="1">IF(C15&lt;3.33,165,IF(C15&lt;4.32,175,IF(C15&lt;4.4,200,IF(C15&lt;5.76,220,IF(C15&lt;6.2,260,315)))))</f>
        <v>220</v>
      </c>
      <c r="H15" s="160">
        <f t="shared" ref="H15:H22" si="2">IF(C15&lt;3.33,70,IF(C15&lt;4.32,90,IF(C15&lt;4.4,100,120)))</f>
        <v>120</v>
      </c>
      <c r="I15" s="160">
        <f t="shared" ref="I15:I22" si="3">J15+K15+L15</f>
        <v>98</v>
      </c>
      <c r="J15" s="160">
        <f t="shared" ref="J15:J22" si="4">IF(D15="CTHSVT",F15*0.6,IF(D15="TK",F15*0.3,IF(D15="PK",F15*0.25,IF(OR(D15="TBM",D15="BTLCD"),F15*0.2,IF(OR(D15="PCTCD",D15="CTCD"),F15*0.1,IF(OR(D15="TLĐT",D15="CVHT"),F15*0.15,IF(D15="NCS",F15*0.7,0)))))))</f>
        <v>54</v>
      </c>
      <c r="K15" s="160">
        <f t="shared" ref="K15:K22" si="5">IF(D15="CTHSVT",G15*0.6,IF(D15="TK",G15*0.3,IF(D15="PK",G15*0.25,IF(OR(D15="TBM",D15="BTLCD"),G15*0.2,IF(OR(D15="PCTCD",D15="CTCD"),F15*0.1,IF(OR(D15="TLĐT",D15="NCS,TLĐT",D15="NCS,CVHT",D15="CVHT"),G15*0.15,0))))))</f>
        <v>44</v>
      </c>
      <c r="L15" s="160">
        <f t="shared" ref="L15:L22" si="6">IF(OR(D15="NCS",D15="NCS,TLĐT"),H15*0.7,0)</f>
        <v>0</v>
      </c>
      <c r="M15" s="160">
        <f t="shared" ref="M15:M22" si="7">N15+O15+P15</f>
        <v>512</v>
      </c>
      <c r="N15" s="160">
        <f t="shared" ref="N15:N22" si="8">F15-J15</f>
        <v>216</v>
      </c>
      <c r="O15" s="160">
        <f t="shared" ref="O15:O22" si="9">G15-K15</f>
        <v>176</v>
      </c>
      <c r="P15" s="160">
        <f t="shared" ref="P15:P22" si="10">H15-L15</f>
        <v>120</v>
      </c>
      <c r="Q15" s="162" t="s">
        <v>302</v>
      </c>
    </row>
    <row r="16" spans="1:17" s="3" customFormat="1" ht="15.75" customHeight="1" x14ac:dyDescent="0.25">
      <c r="A16" s="80">
        <v>3</v>
      </c>
      <c r="B16" s="158" t="s">
        <v>303</v>
      </c>
      <c r="C16" s="159">
        <v>4.32</v>
      </c>
      <c r="D16" s="167" t="s">
        <v>314</v>
      </c>
      <c r="E16" s="160">
        <f t="shared" si="0"/>
        <v>570</v>
      </c>
      <c r="F16" s="160">
        <v>270</v>
      </c>
      <c r="G16" s="160">
        <f t="shared" si="1"/>
        <v>200</v>
      </c>
      <c r="H16" s="160">
        <f t="shared" si="2"/>
        <v>100</v>
      </c>
      <c r="I16" s="160">
        <f t="shared" si="3"/>
        <v>70.5</v>
      </c>
      <c r="J16" s="160">
        <f t="shared" si="4"/>
        <v>40.5</v>
      </c>
      <c r="K16" s="160">
        <f t="shared" si="5"/>
        <v>30</v>
      </c>
      <c r="L16" s="160">
        <f t="shared" si="6"/>
        <v>0</v>
      </c>
      <c r="M16" s="160">
        <f t="shared" si="7"/>
        <v>499.5</v>
      </c>
      <c r="N16" s="160">
        <f t="shared" si="8"/>
        <v>229.5</v>
      </c>
      <c r="O16" s="160">
        <f t="shared" si="9"/>
        <v>170</v>
      </c>
      <c r="P16" s="160">
        <f t="shared" si="10"/>
        <v>100</v>
      </c>
      <c r="Q16" s="162" t="s">
        <v>304</v>
      </c>
    </row>
    <row r="17" spans="1:17" s="3" customFormat="1" ht="21" customHeight="1" x14ac:dyDescent="0.25">
      <c r="A17" s="80">
        <v>4</v>
      </c>
      <c r="B17" s="163" t="s">
        <v>305</v>
      </c>
      <c r="C17" s="164">
        <v>3</v>
      </c>
      <c r="D17" s="167"/>
      <c r="E17" s="160">
        <f t="shared" si="0"/>
        <v>505</v>
      </c>
      <c r="F17" s="160">
        <v>270</v>
      </c>
      <c r="G17" s="160">
        <f t="shared" si="1"/>
        <v>165</v>
      </c>
      <c r="H17" s="160">
        <f t="shared" si="2"/>
        <v>70</v>
      </c>
      <c r="I17" s="160">
        <f t="shared" si="3"/>
        <v>0</v>
      </c>
      <c r="J17" s="160">
        <f t="shared" si="4"/>
        <v>0</v>
      </c>
      <c r="K17" s="160">
        <f t="shared" si="5"/>
        <v>0</v>
      </c>
      <c r="L17" s="160">
        <f t="shared" si="6"/>
        <v>0</v>
      </c>
      <c r="M17" s="160">
        <f t="shared" si="7"/>
        <v>505</v>
      </c>
      <c r="N17" s="160">
        <f t="shared" si="8"/>
        <v>270</v>
      </c>
      <c r="O17" s="160">
        <f t="shared" si="9"/>
        <v>165</v>
      </c>
      <c r="P17" s="160">
        <f t="shared" si="10"/>
        <v>70</v>
      </c>
      <c r="Q17" s="206"/>
    </row>
    <row r="18" spans="1:17" s="3" customFormat="1" ht="15.75" customHeight="1" x14ac:dyDescent="0.25">
      <c r="A18" s="80">
        <v>5</v>
      </c>
      <c r="B18" s="158" t="s">
        <v>307</v>
      </c>
      <c r="C18" s="159">
        <v>3.99</v>
      </c>
      <c r="D18" s="167"/>
      <c r="E18" s="160">
        <f t="shared" si="0"/>
        <v>535</v>
      </c>
      <c r="F18" s="160">
        <v>270</v>
      </c>
      <c r="G18" s="160">
        <f t="shared" si="1"/>
        <v>175</v>
      </c>
      <c r="H18" s="160">
        <f t="shared" si="2"/>
        <v>90</v>
      </c>
      <c r="I18" s="160">
        <f t="shared" si="3"/>
        <v>0</v>
      </c>
      <c r="J18" s="160">
        <f t="shared" si="4"/>
        <v>0</v>
      </c>
      <c r="K18" s="160">
        <f t="shared" si="5"/>
        <v>0</v>
      </c>
      <c r="L18" s="160">
        <f t="shared" si="6"/>
        <v>0</v>
      </c>
      <c r="M18" s="160">
        <f t="shared" si="7"/>
        <v>535</v>
      </c>
      <c r="N18" s="160">
        <f t="shared" si="8"/>
        <v>270</v>
      </c>
      <c r="O18" s="160">
        <f t="shared" si="9"/>
        <v>175</v>
      </c>
      <c r="P18" s="160">
        <f t="shared" si="10"/>
        <v>90</v>
      </c>
      <c r="Q18" s="157"/>
    </row>
    <row r="19" spans="1:17" s="3" customFormat="1" ht="15.75" customHeight="1" x14ac:dyDescent="0.25">
      <c r="A19" s="80">
        <v>6</v>
      </c>
      <c r="B19" s="158" t="s">
        <v>306</v>
      </c>
      <c r="C19" s="159">
        <v>3.33</v>
      </c>
      <c r="D19" s="167"/>
      <c r="E19" s="160">
        <f t="shared" si="0"/>
        <v>535</v>
      </c>
      <c r="F19" s="160">
        <v>270</v>
      </c>
      <c r="G19" s="160">
        <f t="shared" si="1"/>
        <v>175</v>
      </c>
      <c r="H19" s="160">
        <f t="shared" si="2"/>
        <v>90</v>
      </c>
      <c r="I19" s="160">
        <f t="shared" si="3"/>
        <v>0</v>
      </c>
      <c r="J19" s="160">
        <f t="shared" si="4"/>
        <v>0</v>
      </c>
      <c r="K19" s="160">
        <f t="shared" si="5"/>
        <v>0</v>
      </c>
      <c r="L19" s="160">
        <f>IF(D19="NCS",H19*0.7,0)</f>
        <v>0</v>
      </c>
      <c r="M19" s="160">
        <f t="shared" si="7"/>
        <v>535</v>
      </c>
      <c r="N19" s="160">
        <f t="shared" si="8"/>
        <v>270</v>
      </c>
      <c r="O19" s="160">
        <f t="shared" si="9"/>
        <v>175</v>
      </c>
      <c r="P19" s="160">
        <f t="shared" si="10"/>
        <v>90</v>
      </c>
      <c r="Q19" s="162" t="s">
        <v>308</v>
      </c>
    </row>
    <row r="20" spans="1:17" s="3" customFormat="1" ht="15.75" customHeight="1" x14ac:dyDescent="0.25">
      <c r="A20" s="80">
        <v>7</v>
      </c>
      <c r="B20" s="158" t="s">
        <v>309</v>
      </c>
      <c r="C20" s="159">
        <v>4.6500000000000004</v>
      </c>
      <c r="D20" s="167" t="s">
        <v>581</v>
      </c>
      <c r="E20" s="160">
        <f t="shared" si="0"/>
        <v>472</v>
      </c>
      <c r="F20" s="160">
        <v>472</v>
      </c>
      <c r="G20" s="160">
        <v>0</v>
      </c>
      <c r="H20" s="160">
        <v>0</v>
      </c>
      <c r="I20" s="160">
        <f t="shared" si="3"/>
        <v>0</v>
      </c>
      <c r="J20" s="160">
        <f t="shared" si="4"/>
        <v>0</v>
      </c>
      <c r="K20" s="160">
        <f t="shared" si="5"/>
        <v>0</v>
      </c>
      <c r="L20" s="160">
        <f t="shared" si="6"/>
        <v>0</v>
      </c>
      <c r="M20" s="160">
        <f t="shared" si="7"/>
        <v>472</v>
      </c>
      <c r="N20" s="160">
        <f t="shared" si="8"/>
        <v>472</v>
      </c>
      <c r="O20" s="160">
        <f t="shared" si="9"/>
        <v>0</v>
      </c>
      <c r="P20" s="160">
        <f t="shared" si="10"/>
        <v>0</v>
      </c>
      <c r="Q20" s="167" t="s">
        <v>581</v>
      </c>
    </row>
    <row r="21" spans="1:17" s="3" customFormat="1" ht="15.75" customHeight="1" x14ac:dyDescent="0.25">
      <c r="A21" s="80">
        <v>8</v>
      </c>
      <c r="B21" s="165" t="s">
        <v>310</v>
      </c>
      <c r="C21" s="166">
        <v>3.99</v>
      </c>
      <c r="D21" s="167"/>
      <c r="E21" s="160">
        <f t="shared" si="0"/>
        <v>535</v>
      </c>
      <c r="F21" s="160">
        <v>270</v>
      </c>
      <c r="G21" s="160">
        <f t="shared" si="1"/>
        <v>175</v>
      </c>
      <c r="H21" s="160">
        <f t="shared" si="2"/>
        <v>90</v>
      </c>
      <c r="I21" s="160">
        <f t="shared" si="3"/>
        <v>0</v>
      </c>
      <c r="J21" s="160">
        <f t="shared" si="4"/>
        <v>0</v>
      </c>
      <c r="K21" s="160">
        <f t="shared" si="5"/>
        <v>0</v>
      </c>
      <c r="L21" s="160">
        <f t="shared" si="6"/>
        <v>0</v>
      </c>
      <c r="M21" s="160">
        <f t="shared" si="7"/>
        <v>535</v>
      </c>
      <c r="N21" s="160">
        <f t="shared" si="8"/>
        <v>270</v>
      </c>
      <c r="O21" s="160">
        <f t="shared" si="9"/>
        <v>175</v>
      </c>
      <c r="P21" s="160">
        <f t="shared" si="10"/>
        <v>90</v>
      </c>
      <c r="Q21" s="162"/>
    </row>
    <row r="22" spans="1:17" s="3" customFormat="1" ht="15.75" customHeight="1" x14ac:dyDescent="0.25">
      <c r="A22" s="80">
        <v>9</v>
      </c>
      <c r="B22" s="86" t="s">
        <v>311</v>
      </c>
      <c r="C22" s="87">
        <v>4.32</v>
      </c>
      <c r="D22" s="87" t="s">
        <v>312</v>
      </c>
      <c r="E22" s="160">
        <f t="shared" si="0"/>
        <v>570</v>
      </c>
      <c r="F22" s="160">
        <v>270</v>
      </c>
      <c r="G22" s="160">
        <f t="shared" si="1"/>
        <v>200</v>
      </c>
      <c r="H22" s="160">
        <f t="shared" si="2"/>
        <v>100</v>
      </c>
      <c r="I22" s="160">
        <f t="shared" si="3"/>
        <v>117.5</v>
      </c>
      <c r="J22" s="160">
        <f t="shared" si="4"/>
        <v>67.5</v>
      </c>
      <c r="K22" s="160">
        <f t="shared" si="5"/>
        <v>50</v>
      </c>
      <c r="L22" s="160">
        <f t="shared" si="6"/>
        <v>0</v>
      </c>
      <c r="M22" s="160">
        <f t="shared" si="7"/>
        <v>452.5</v>
      </c>
      <c r="N22" s="160">
        <f t="shared" si="8"/>
        <v>202.5</v>
      </c>
      <c r="O22" s="160">
        <f t="shared" si="9"/>
        <v>150</v>
      </c>
      <c r="P22" s="160">
        <f t="shared" si="10"/>
        <v>100</v>
      </c>
      <c r="Q22" s="161" t="s">
        <v>300</v>
      </c>
    </row>
    <row r="23" spans="1:17" s="3" customFormat="1" ht="15.75" customHeight="1" x14ac:dyDescent="0.25">
      <c r="A23" s="85"/>
      <c r="B23" s="86"/>
      <c r="C23" s="86"/>
      <c r="D23" s="87"/>
      <c r="E23" s="88"/>
      <c r="F23" s="88"/>
      <c r="G23" s="88"/>
      <c r="H23" s="88"/>
      <c r="I23" s="88"/>
      <c r="J23" s="88"/>
      <c r="K23" s="88"/>
      <c r="L23" s="88"/>
      <c r="M23" s="88"/>
      <c r="N23" s="88"/>
      <c r="O23" s="88"/>
      <c r="P23" s="88"/>
      <c r="Q23" s="89"/>
    </row>
    <row r="24" spans="1:17" s="3" customFormat="1" ht="15.75" customHeight="1" thickBot="1" x14ac:dyDescent="0.3">
      <c r="A24" s="1503" t="s">
        <v>322</v>
      </c>
      <c r="B24" s="1504"/>
      <c r="C24" s="155"/>
      <c r="D24" s="90"/>
      <c r="E24" s="168">
        <f>SUM(E14:E22)</f>
        <v>5037</v>
      </c>
      <c r="F24" s="168">
        <f t="shared" ref="F24:P24" si="11">SUM(F14:F22)</f>
        <v>2632</v>
      </c>
      <c r="G24" s="168">
        <f t="shared" si="11"/>
        <v>1625</v>
      </c>
      <c r="H24" s="168">
        <f t="shared" si="11"/>
        <v>780</v>
      </c>
      <c r="I24" s="168">
        <f t="shared" si="11"/>
        <v>432.25</v>
      </c>
      <c r="J24" s="168">
        <f t="shared" si="11"/>
        <v>229.5</v>
      </c>
      <c r="K24" s="168">
        <f t="shared" si="11"/>
        <v>202.75</v>
      </c>
      <c r="L24" s="168">
        <f t="shared" si="11"/>
        <v>0</v>
      </c>
      <c r="M24" s="168">
        <f t="shared" si="11"/>
        <v>4604.75</v>
      </c>
      <c r="N24" s="458">
        <f>F24-J24</f>
        <v>2402.5</v>
      </c>
      <c r="O24" s="168">
        <f t="shared" si="11"/>
        <v>1422.25</v>
      </c>
      <c r="P24" s="168">
        <f t="shared" si="11"/>
        <v>780</v>
      </c>
      <c r="Q24" s="91"/>
    </row>
    <row r="25" spans="1:17" ht="13.5" thickTop="1" x14ac:dyDescent="0.3">
      <c r="A25" s="14"/>
      <c r="B25" s="10"/>
      <c r="C25" s="10"/>
      <c r="D25" s="10"/>
      <c r="E25" s="1505" t="s">
        <v>919</v>
      </c>
      <c r="F25" s="1505"/>
      <c r="G25" s="1505"/>
      <c r="H25" s="1505"/>
      <c r="I25" s="1505"/>
      <c r="J25" s="1505"/>
      <c r="K25" s="1505"/>
      <c r="L25" s="1505"/>
      <c r="M25" s="1505"/>
      <c r="N25" s="1505"/>
      <c r="O25" s="1505"/>
      <c r="P25" s="1505"/>
      <c r="Q25" s="1505"/>
    </row>
    <row r="26" spans="1:17" ht="13" x14ac:dyDescent="0.3">
      <c r="A26" s="14"/>
      <c r="B26" s="15"/>
      <c r="C26" s="15"/>
      <c r="D26" s="10"/>
      <c r="F26" s="92"/>
      <c r="G26" s="92"/>
      <c r="H26" s="92"/>
      <c r="I26" s="92"/>
      <c r="J26" s="92"/>
      <c r="K26" s="92"/>
      <c r="L26" s="92"/>
      <c r="M26" s="92"/>
      <c r="N26" s="1439"/>
      <c r="O26" s="1439"/>
      <c r="P26" s="1439"/>
      <c r="Q26" s="1439"/>
    </row>
    <row r="27" spans="1:17" ht="27" customHeight="1" x14ac:dyDescent="0.3">
      <c r="A27" s="1463" t="s">
        <v>238</v>
      </c>
      <c r="B27" s="1463"/>
      <c r="C27" s="1463"/>
      <c r="D27" s="1463"/>
      <c r="E27" s="1463"/>
      <c r="F27" s="1463"/>
      <c r="G27" s="1463"/>
      <c r="H27" s="1463"/>
      <c r="I27" s="1463"/>
      <c r="J27" s="1463"/>
      <c r="K27" s="1463"/>
      <c r="L27" s="1463"/>
      <c r="M27" s="1463"/>
      <c r="N27" s="11"/>
      <c r="O27" s="11"/>
      <c r="P27" s="11"/>
      <c r="Q27" s="11"/>
    </row>
    <row r="28" spans="1:17" ht="13" x14ac:dyDescent="0.3">
      <c r="A28" s="14"/>
      <c r="B28" s="16"/>
      <c r="C28" s="16"/>
      <c r="D28" s="10"/>
      <c r="E28" s="1439"/>
      <c r="F28" s="1439"/>
      <c r="G28" s="1439"/>
      <c r="H28" s="1439"/>
      <c r="I28" s="1439"/>
      <c r="J28" s="1439"/>
      <c r="K28" s="1439"/>
      <c r="L28" s="1439"/>
      <c r="M28" s="1439"/>
      <c r="N28" s="1439"/>
      <c r="O28" s="1439"/>
      <c r="P28" s="1439"/>
      <c r="Q28" s="1439"/>
    </row>
    <row r="29" spans="1:17" ht="13" x14ac:dyDescent="0.3">
      <c r="A29" s="14"/>
      <c r="B29" s="10"/>
      <c r="C29" s="10"/>
      <c r="D29" s="10"/>
      <c r="E29" s="1459"/>
      <c r="F29" s="1459"/>
      <c r="G29" s="1459"/>
      <c r="H29" s="1459"/>
      <c r="I29" s="1459"/>
      <c r="J29" s="1459"/>
      <c r="K29" s="1459"/>
      <c r="L29" s="1459"/>
      <c r="M29" s="1459"/>
      <c r="N29" s="1459"/>
      <c r="O29" s="1459"/>
      <c r="P29" s="1459"/>
      <c r="Q29" s="1459"/>
    </row>
  </sheetData>
  <mergeCells count="19">
    <mergeCell ref="E2:P2"/>
    <mergeCell ref="E1:P1"/>
    <mergeCell ref="N26:Q26"/>
    <mergeCell ref="A27:M27"/>
    <mergeCell ref="H4:Q4"/>
    <mergeCell ref="Q5:Q6"/>
    <mergeCell ref="M5:P5"/>
    <mergeCell ref="I5:L5"/>
    <mergeCell ref="A5:A6"/>
    <mergeCell ref="B5:B6"/>
    <mergeCell ref="D5:D6"/>
    <mergeCell ref="A1:B1"/>
    <mergeCell ref="A2:B2"/>
    <mergeCell ref="A24:B24"/>
    <mergeCell ref="A3:Q3"/>
    <mergeCell ref="E5:H5"/>
    <mergeCell ref="E28:Q28"/>
    <mergeCell ref="E29:Q29"/>
    <mergeCell ref="E25:Q25"/>
  </mergeCells>
  <phoneticPr fontId="3" type="noConversion"/>
  <pageMargins left="0.34" right="0.2" top="0.45" bottom="0.34" header="0.45" footer="0.21"/>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57"/>
  <sheetViews>
    <sheetView zoomScale="115" zoomScaleNormal="115" zoomScalePageLayoutView="115" workbookViewId="0">
      <pane xSplit="2" ySplit="5" topLeftCell="E13" activePane="bottomRight" state="frozen"/>
      <selection pane="topRight" activeCell="C1" sqref="C1"/>
      <selection pane="bottomLeft" activeCell="A8" sqref="A8"/>
      <selection pane="bottomRight" activeCell="B28" sqref="B28"/>
    </sheetView>
  </sheetViews>
  <sheetFormatPr defaultColWidth="8.81640625" defaultRowHeight="12.5" x14ac:dyDescent="0.25"/>
  <cols>
    <col min="1" max="1" width="5.453125" style="1" customWidth="1"/>
    <col min="2" max="2" width="52" style="2" customWidth="1"/>
    <col min="3" max="3" width="9.81640625" style="2" customWidth="1"/>
    <col min="4" max="4" width="12.36328125" style="2" customWidth="1"/>
    <col min="5" max="5" width="12.453125" style="2" customWidth="1"/>
    <col min="6" max="6" width="7.81640625" style="2" customWidth="1"/>
    <col min="7" max="7" width="8.6328125" style="2" customWidth="1"/>
    <col min="8" max="8" width="13.6328125" style="614" customWidth="1"/>
    <col min="9" max="9" width="18" style="1" customWidth="1"/>
  </cols>
  <sheetData>
    <row r="1" spans="1:14" ht="14.25" customHeight="1" x14ac:dyDescent="0.3">
      <c r="A1" s="1518" t="s">
        <v>135</v>
      </c>
      <c r="B1" s="1518"/>
      <c r="C1" s="1477"/>
      <c r="D1" s="1477"/>
      <c r="E1" s="1477"/>
      <c r="F1" s="1477"/>
      <c r="G1" s="1477"/>
      <c r="H1" s="615"/>
      <c r="I1" s="657" t="s">
        <v>31</v>
      </c>
      <c r="J1" s="6"/>
      <c r="K1" s="6"/>
      <c r="L1" s="6"/>
      <c r="M1" s="6"/>
      <c r="N1" s="6"/>
    </row>
    <row r="2" spans="1:14" ht="13" x14ac:dyDescent="0.3">
      <c r="A2" s="1519" t="s">
        <v>344</v>
      </c>
      <c r="B2" s="1519"/>
      <c r="C2" s="1477"/>
      <c r="D2" s="1477"/>
      <c r="E2" s="1477"/>
      <c r="F2" s="1477"/>
      <c r="G2" s="1477"/>
      <c r="H2" s="615"/>
      <c r="I2" s="615"/>
      <c r="J2" s="6"/>
      <c r="K2" s="6"/>
      <c r="L2" s="6"/>
      <c r="M2" s="6"/>
      <c r="N2" s="6"/>
    </row>
    <row r="3" spans="1:14" ht="27" customHeight="1" x14ac:dyDescent="0.3">
      <c r="A3" s="1487" t="s">
        <v>1322</v>
      </c>
      <c r="B3" s="1487"/>
      <c r="C3" s="1487"/>
      <c r="D3" s="1487"/>
      <c r="E3" s="1487"/>
      <c r="F3" s="1487"/>
      <c r="G3" s="1487"/>
      <c r="H3" s="1487"/>
      <c r="I3" s="1487"/>
      <c r="J3" s="6"/>
      <c r="K3" s="6"/>
      <c r="L3" s="6"/>
      <c r="M3" s="6"/>
      <c r="N3" s="6"/>
    </row>
    <row r="4" spans="1:14" ht="13.5" thickBot="1" x14ac:dyDescent="0.35">
      <c r="A4" s="676"/>
      <c r="B4" s="676"/>
      <c r="C4" s="676"/>
      <c r="D4" s="676"/>
      <c r="E4" s="676"/>
      <c r="F4" s="676"/>
      <c r="G4" s="676"/>
      <c r="H4" s="679"/>
      <c r="I4" s="676" t="s">
        <v>1324</v>
      </c>
      <c r="J4" s="6"/>
      <c r="K4" s="6"/>
      <c r="L4" s="6"/>
      <c r="M4" s="6"/>
      <c r="N4" s="6"/>
    </row>
    <row r="5" spans="1:14" ht="75" customHeight="1" thickTop="1" x14ac:dyDescent="0.3">
      <c r="A5" s="617" t="s">
        <v>0</v>
      </c>
      <c r="B5" s="618" t="s">
        <v>109</v>
      </c>
      <c r="C5" s="618" t="s">
        <v>78</v>
      </c>
      <c r="D5" s="618" t="s">
        <v>18</v>
      </c>
      <c r="E5" s="618" t="s">
        <v>73</v>
      </c>
      <c r="F5" s="618" t="s">
        <v>26</v>
      </c>
      <c r="G5" s="618" t="s">
        <v>69</v>
      </c>
      <c r="H5" s="618" t="s">
        <v>23</v>
      </c>
      <c r="I5" s="677" t="s">
        <v>2</v>
      </c>
      <c r="J5" s="6"/>
      <c r="K5" s="6"/>
      <c r="L5" s="6"/>
      <c r="M5" s="6"/>
      <c r="N5" s="6"/>
    </row>
    <row r="6" spans="1:14" ht="17.25" customHeight="1" x14ac:dyDescent="0.3">
      <c r="A6" s="214" t="s">
        <v>6</v>
      </c>
      <c r="B6" s="215" t="s">
        <v>76</v>
      </c>
      <c r="C6" s="216"/>
      <c r="D6" s="216"/>
      <c r="E6" s="216"/>
      <c r="F6" s="216"/>
      <c r="G6" s="216"/>
      <c r="H6" s="216"/>
      <c r="I6" s="216"/>
      <c r="J6" s="6"/>
      <c r="K6" s="6"/>
      <c r="L6" s="6"/>
      <c r="M6" s="6"/>
      <c r="N6" s="6"/>
    </row>
    <row r="7" spans="1:14" s="3" customFormat="1" ht="18" customHeight="1" x14ac:dyDescent="0.25">
      <c r="A7" s="223" t="s">
        <v>19</v>
      </c>
      <c r="B7" s="436" t="s">
        <v>102</v>
      </c>
      <c r="C7" s="436"/>
      <c r="D7" s="436"/>
      <c r="E7" s="223"/>
      <c r="F7" s="223"/>
      <c r="G7" s="223"/>
      <c r="H7" s="223"/>
      <c r="I7" s="214"/>
      <c r="J7" s="8"/>
      <c r="K7" s="8"/>
      <c r="L7" s="8"/>
      <c r="M7" s="8"/>
      <c r="N7" s="8"/>
    </row>
    <row r="8" spans="1:14" s="3" customFormat="1" ht="18" customHeight="1" x14ac:dyDescent="0.25">
      <c r="A8" s="435" t="s">
        <v>7</v>
      </c>
      <c r="B8" s="436" t="s">
        <v>77</v>
      </c>
      <c r="C8" s="434"/>
      <c r="D8" s="434"/>
      <c r="E8" s="223"/>
      <c r="F8" s="223"/>
      <c r="G8" s="223"/>
      <c r="H8" s="680">
        <f>SUM(H9:H11)</f>
        <v>45550000</v>
      </c>
      <c r="I8" s="214"/>
      <c r="J8" s="8"/>
      <c r="K8" s="8"/>
      <c r="L8" s="8"/>
      <c r="M8" s="8"/>
      <c r="N8" s="8"/>
    </row>
    <row r="9" spans="1:14" s="3" customFormat="1" ht="18" customHeight="1" x14ac:dyDescent="0.25">
      <c r="A9" s="770"/>
      <c r="B9" s="431" t="s">
        <v>880</v>
      </c>
      <c r="C9" s="431"/>
      <c r="D9" s="431"/>
      <c r="E9" s="427"/>
      <c r="F9" s="427">
        <v>1</v>
      </c>
      <c r="G9" s="427"/>
      <c r="H9" s="774">
        <v>16130000</v>
      </c>
      <c r="I9" s="216" t="s">
        <v>354</v>
      </c>
      <c r="J9" s="8"/>
      <c r="K9" s="8"/>
      <c r="L9" s="8"/>
      <c r="M9" s="8"/>
      <c r="N9" s="8"/>
    </row>
    <row r="10" spans="1:14" s="3" customFormat="1" ht="18" customHeight="1" x14ac:dyDescent="0.25">
      <c r="A10" s="435"/>
      <c r="B10" s="434" t="s">
        <v>756</v>
      </c>
      <c r="C10" s="434"/>
      <c r="D10" s="434"/>
      <c r="E10" s="212" t="s">
        <v>346</v>
      </c>
      <c r="F10" s="223">
        <v>2</v>
      </c>
      <c r="G10" s="223"/>
      <c r="H10" s="681">
        <v>21560000</v>
      </c>
      <c r="I10" s="216" t="s">
        <v>354</v>
      </c>
      <c r="J10" s="8"/>
      <c r="K10" s="8"/>
      <c r="L10" s="8"/>
      <c r="M10" s="8"/>
      <c r="N10" s="8"/>
    </row>
    <row r="11" spans="1:14" s="3" customFormat="1" ht="18" customHeight="1" x14ac:dyDescent="0.25">
      <c r="A11" s="435"/>
      <c r="B11" s="434" t="s">
        <v>504</v>
      </c>
      <c r="C11" s="212" t="s">
        <v>485</v>
      </c>
      <c r="D11" s="212" t="s">
        <v>815</v>
      </c>
      <c r="E11" s="212" t="s">
        <v>346</v>
      </c>
      <c r="F11" s="223">
        <v>2</v>
      </c>
      <c r="G11" s="223"/>
      <c r="H11" s="682">
        <v>7860000</v>
      </c>
      <c r="I11" s="216" t="s">
        <v>354</v>
      </c>
      <c r="J11" s="8"/>
      <c r="K11" s="8"/>
      <c r="L11" s="8"/>
      <c r="M11" s="8"/>
      <c r="N11" s="8"/>
    </row>
    <row r="12" spans="1:14" s="3" customFormat="1" ht="18" customHeight="1" x14ac:dyDescent="0.25">
      <c r="A12" s="425" t="s">
        <v>8</v>
      </c>
      <c r="B12" s="426" t="s">
        <v>347</v>
      </c>
      <c r="C12" s="426"/>
      <c r="D12" s="427"/>
      <c r="E12" s="428"/>
      <c r="F12" s="428"/>
      <c r="G12" s="428"/>
      <c r="H12" s="683"/>
      <c r="I12" s="429"/>
      <c r="J12" s="8"/>
      <c r="K12" s="8"/>
      <c r="L12" s="8"/>
      <c r="M12" s="8"/>
      <c r="N12" s="8"/>
    </row>
    <row r="13" spans="1:14" s="3" customFormat="1" ht="18" customHeight="1" x14ac:dyDescent="0.25">
      <c r="A13" s="425">
        <v>1</v>
      </c>
      <c r="B13" s="426" t="s">
        <v>348</v>
      </c>
      <c r="C13" s="426"/>
      <c r="D13" s="427"/>
      <c r="E13" s="428"/>
      <c r="F13" s="428"/>
      <c r="G13" s="428"/>
      <c r="H13" s="684">
        <f>SUM(H14:H16)</f>
        <v>251444000</v>
      </c>
      <c r="I13" s="429"/>
      <c r="J13" s="8"/>
      <c r="K13" s="8"/>
      <c r="L13" s="8"/>
      <c r="M13" s="8"/>
      <c r="N13" s="8"/>
    </row>
    <row r="14" spans="1:14" s="3" customFormat="1" ht="21" customHeight="1" x14ac:dyDescent="0.25">
      <c r="A14" s="430">
        <v>1.1000000000000001</v>
      </c>
      <c r="B14" s="1351" t="s">
        <v>818</v>
      </c>
      <c r="C14" s="1352" t="s">
        <v>357</v>
      </c>
      <c r="D14" s="1352" t="s">
        <v>951</v>
      </c>
      <c r="E14" s="1352" t="s">
        <v>819</v>
      </c>
      <c r="F14" s="1352">
        <v>2</v>
      </c>
      <c r="G14" s="1352">
        <v>4</v>
      </c>
      <c r="H14" s="1353">
        <f>'Dự toán TTSP GDMN k58'!F34</f>
        <v>135200000</v>
      </c>
      <c r="I14" s="804" t="s">
        <v>354</v>
      </c>
      <c r="J14" s="8"/>
      <c r="K14" s="8"/>
      <c r="L14" s="8"/>
      <c r="M14" s="8"/>
      <c r="N14" s="8"/>
    </row>
    <row r="15" spans="1:14" s="3" customFormat="1" ht="21" customHeight="1" x14ac:dyDescent="0.25">
      <c r="A15" s="430">
        <v>1.2</v>
      </c>
      <c r="B15" s="1351" t="s">
        <v>1326</v>
      </c>
      <c r="C15" s="1352" t="s">
        <v>357</v>
      </c>
      <c r="D15" s="1352" t="s">
        <v>952</v>
      </c>
      <c r="E15" s="1354"/>
      <c r="F15" s="1354">
        <v>1</v>
      </c>
      <c r="G15" s="1354">
        <v>2</v>
      </c>
      <c r="H15" s="1355">
        <f>'Dự toán RLNVSP 1 GDMN'!H98</f>
        <v>63642000</v>
      </c>
      <c r="I15" s="1356"/>
      <c r="J15" s="8"/>
      <c r="K15" s="8"/>
      <c r="L15" s="8"/>
      <c r="M15" s="8"/>
      <c r="N15" s="8"/>
    </row>
    <row r="16" spans="1:14" s="3" customFormat="1" ht="27" customHeight="1" x14ac:dyDescent="0.3">
      <c r="A16" s="1348">
        <v>1.3</v>
      </c>
      <c r="B16" s="1351" t="s">
        <v>1325</v>
      </c>
      <c r="C16" s="1352" t="s">
        <v>357</v>
      </c>
      <c r="D16" s="1352" t="s">
        <v>952</v>
      </c>
      <c r="E16" s="1352" t="s">
        <v>953</v>
      </c>
      <c r="F16" s="1352">
        <v>2</v>
      </c>
      <c r="G16" s="1352">
        <v>2</v>
      </c>
      <c r="H16" s="1357">
        <f>'Dự toán RLNVSP2 GDMN'!H110</f>
        <v>52602000</v>
      </c>
      <c r="I16" s="804" t="s">
        <v>354</v>
      </c>
      <c r="J16" s="8"/>
      <c r="K16" s="8"/>
      <c r="L16" s="8"/>
      <c r="M16" s="8"/>
      <c r="N16" s="8"/>
    </row>
    <row r="17" spans="1:14" s="3" customFormat="1" ht="18" customHeight="1" x14ac:dyDescent="0.25">
      <c r="A17" s="221">
        <v>2</v>
      </c>
      <c r="B17" s="222" t="s">
        <v>349</v>
      </c>
      <c r="C17" s="222"/>
      <c r="D17" s="223"/>
      <c r="E17" s="224"/>
      <c r="F17" s="211"/>
      <c r="G17" s="211"/>
      <c r="H17" s="680">
        <f>SUM(H18:H21)</f>
        <v>347034000</v>
      </c>
      <c r="I17" s="216"/>
      <c r="J17" s="8"/>
      <c r="K17" s="8"/>
      <c r="L17" s="8"/>
      <c r="M17" s="8"/>
      <c r="N17" s="8"/>
    </row>
    <row r="18" spans="1:14" s="3" customFormat="1" ht="27" customHeight="1" x14ac:dyDescent="0.25">
      <c r="A18" s="428">
        <v>2.1</v>
      </c>
      <c r="B18" s="432" t="s">
        <v>1327</v>
      </c>
      <c r="C18" s="428" t="s">
        <v>345</v>
      </c>
      <c r="D18" s="428" t="s">
        <v>921</v>
      </c>
      <c r="E18" s="428" t="s">
        <v>857</v>
      </c>
      <c r="F18" s="428">
        <v>2</v>
      </c>
      <c r="G18" s="428">
        <v>2</v>
      </c>
      <c r="H18" s="685">
        <f>'Dự toán hk2 RLNVSP GDTH'!L28</f>
        <v>91520000</v>
      </c>
      <c r="I18" s="429" t="s">
        <v>354</v>
      </c>
      <c r="J18" s="8"/>
      <c r="K18" s="8"/>
      <c r="L18" s="8"/>
      <c r="M18" s="8"/>
      <c r="N18" s="8"/>
    </row>
    <row r="19" spans="1:14" s="3" customFormat="1" ht="18" customHeight="1" x14ac:dyDescent="0.25">
      <c r="A19" s="428">
        <v>2.2000000000000002</v>
      </c>
      <c r="B19" s="432" t="s">
        <v>1328</v>
      </c>
      <c r="C19" s="428" t="s">
        <v>345</v>
      </c>
      <c r="H19" s="1350">
        <f>'Dự toán HK1 RLNV GDTH'!H11</f>
        <v>118300000</v>
      </c>
      <c r="J19" s="8"/>
      <c r="K19" s="8"/>
      <c r="L19" s="8"/>
      <c r="M19" s="8"/>
      <c r="N19" s="8"/>
    </row>
    <row r="20" spans="1:14" s="3" customFormat="1" ht="18" customHeight="1" x14ac:dyDescent="0.25">
      <c r="A20" s="428">
        <v>2.2999999999999998</v>
      </c>
      <c r="B20" s="431" t="s">
        <v>350</v>
      </c>
      <c r="C20" s="428" t="s">
        <v>345</v>
      </c>
      <c r="D20" s="428" t="s">
        <v>920</v>
      </c>
      <c r="E20" s="428" t="s">
        <v>351</v>
      </c>
      <c r="F20" s="428">
        <v>2</v>
      </c>
      <c r="G20" s="428">
        <v>4</v>
      </c>
      <c r="H20" s="686">
        <f>'Dự toán TTSP GDTH'!F34</f>
        <v>124054000</v>
      </c>
      <c r="I20" s="429" t="s">
        <v>354</v>
      </c>
      <c r="J20" s="8"/>
      <c r="K20" s="8"/>
      <c r="L20" s="8"/>
      <c r="M20" s="8"/>
      <c r="N20" s="8"/>
    </row>
    <row r="21" spans="1:14" s="3" customFormat="1" ht="18" customHeight="1" x14ac:dyDescent="0.25">
      <c r="A21" s="211">
        <v>2.4</v>
      </c>
      <c r="B21" s="431" t="s">
        <v>355</v>
      </c>
      <c r="C21" s="428" t="s">
        <v>345</v>
      </c>
      <c r="D21" s="428" t="s">
        <v>356</v>
      </c>
      <c r="E21" s="428" t="s">
        <v>346</v>
      </c>
      <c r="F21" s="428">
        <v>2</v>
      </c>
      <c r="G21" s="428"/>
      <c r="H21" s="687">
        <f>'Dự toán hội thi VCĐ-GTN GDTH'!F36</f>
        <v>13160000</v>
      </c>
      <c r="I21" s="429" t="s">
        <v>354</v>
      </c>
      <c r="J21" s="8"/>
      <c r="K21" s="8"/>
      <c r="L21" s="8"/>
      <c r="M21" s="8"/>
      <c r="N21" s="8"/>
    </row>
    <row r="22" spans="1:14" s="3" customFormat="1" ht="18" customHeight="1" x14ac:dyDescent="0.25">
      <c r="A22" s="221">
        <v>3</v>
      </c>
      <c r="B22" s="222" t="s">
        <v>352</v>
      </c>
      <c r="C22" s="224"/>
      <c r="D22" s="223"/>
      <c r="E22" s="211"/>
      <c r="F22" s="211"/>
      <c r="G22" s="211"/>
      <c r="H22" s="680">
        <f>SUM(H23:H25)</f>
        <v>76972000</v>
      </c>
      <c r="I22" s="216"/>
      <c r="J22" s="8"/>
      <c r="K22" s="8"/>
      <c r="L22" s="8"/>
      <c r="M22" s="8"/>
      <c r="N22" s="8"/>
    </row>
    <row r="23" spans="1:14" s="3" customFormat="1" ht="18" customHeight="1" x14ac:dyDescent="0.25">
      <c r="A23" s="433"/>
      <c r="B23" s="818" t="s">
        <v>816</v>
      </c>
      <c r="C23" s="802" t="s">
        <v>485</v>
      </c>
      <c r="D23" s="802"/>
      <c r="E23" s="820"/>
      <c r="F23" s="820"/>
      <c r="G23" s="820"/>
      <c r="H23" s="928"/>
      <c r="I23" s="799"/>
      <c r="J23" s="8"/>
      <c r="K23" s="8"/>
      <c r="L23" s="8"/>
      <c r="M23" s="8"/>
      <c r="N23" s="8"/>
    </row>
    <row r="24" spans="1:14" s="36" customFormat="1" ht="18" customHeight="1" x14ac:dyDescent="0.25">
      <c r="A24" s="433"/>
      <c r="B24" s="818" t="s">
        <v>817</v>
      </c>
      <c r="C24" s="802" t="s">
        <v>485</v>
      </c>
      <c r="D24" s="802"/>
      <c r="E24" s="820"/>
      <c r="F24" s="820"/>
      <c r="G24" s="820">
        <v>5</v>
      </c>
      <c r="H24" s="929">
        <v>35250000</v>
      </c>
      <c r="I24" s="799"/>
      <c r="J24" s="9"/>
      <c r="K24" s="9"/>
      <c r="L24" s="9"/>
      <c r="M24" s="9"/>
      <c r="N24" s="9"/>
    </row>
    <row r="25" spans="1:14" s="36" customFormat="1" ht="18" customHeight="1" x14ac:dyDescent="0.25">
      <c r="A25" s="433"/>
      <c r="B25" s="818" t="s">
        <v>486</v>
      </c>
      <c r="C25" s="802" t="s">
        <v>485</v>
      </c>
      <c r="D25" s="802"/>
      <c r="E25" s="820"/>
      <c r="F25" s="820">
        <v>2</v>
      </c>
      <c r="G25" s="820">
        <v>5</v>
      </c>
      <c r="H25" s="1349">
        <v>41722000</v>
      </c>
      <c r="I25" s="799" t="s">
        <v>354</v>
      </c>
      <c r="J25" s="9"/>
      <c r="K25" s="9"/>
      <c r="L25" s="9"/>
      <c r="M25" s="9"/>
      <c r="N25" s="9"/>
    </row>
    <row r="26" spans="1:14" s="36" customFormat="1" ht="18" customHeight="1" x14ac:dyDescent="0.25">
      <c r="A26" s="221">
        <v>4</v>
      </c>
      <c r="B26" s="224" t="s">
        <v>380</v>
      </c>
      <c r="F26" s="767"/>
      <c r="G26" s="767"/>
      <c r="H26" s="688">
        <f>H8+H17+H22+H13</f>
        <v>721000000</v>
      </c>
      <c r="I26" s="216"/>
      <c r="J26" s="9"/>
      <c r="K26" s="9"/>
      <c r="L26" s="9"/>
      <c r="M26" s="9"/>
      <c r="N26" s="9"/>
    </row>
    <row r="27" spans="1:14" ht="13" x14ac:dyDescent="0.3">
      <c r="A27" s="74"/>
      <c r="B27" s="1515" t="s">
        <v>1422</v>
      </c>
      <c r="C27" s="1516"/>
      <c r="D27" s="1516"/>
      <c r="E27" s="1516"/>
      <c r="F27" s="1517"/>
      <c r="G27" s="102"/>
      <c r="H27" s="173"/>
      <c r="I27" s="616"/>
      <c r="J27" s="6"/>
      <c r="K27" s="6"/>
      <c r="L27" s="6"/>
      <c r="M27" s="6"/>
      <c r="N27" s="6"/>
    </row>
    <row r="28" spans="1:14" ht="13" x14ac:dyDescent="0.3">
      <c r="G28" s="621"/>
      <c r="H28" s="1513" t="s">
        <v>982</v>
      </c>
      <c r="I28" s="1513"/>
      <c r="J28" s="678"/>
      <c r="K28" s="678"/>
      <c r="L28" s="6"/>
      <c r="M28" s="6"/>
      <c r="N28" s="6"/>
    </row>
    <row r="29" spans="1:14" ht="15" customHeight="1" x14ac:dyDescent="0.3">
      <c r="A29" s="1512"/>
      <c r="B29" s="1512"/>
      <c r="C29" s="623"/>
      <c r="D29" s="623"/>
      <c r="E29" s="623"/>
      <c r="F29" s="623"/>
      <c r="G29" s="623"/>
      <c r="H29" s="1477" t="s">
        <v>21</v>
      </c>
      <c r="I29" s="1477"/>
      <c r="J29" s="466"/>
      <c r="K29" s="466"/>
      <c r="L29" s="6"/>
      <c r="M29" s="6"/>
      <c r="N29" s="6"/>
    </row>
    <row r="30" spans="1:14" ht="59.25" customHeight="1" x14ac:dyDescent="0.3">
      <c r="A30" s="1514" t="s">
        <v>858</v>
      </c>
      <c r="B30" s="1514"/>
      <c r="C30" s="1514"/>
      <c r="D30" s="1514"/>
      <c r="E30" s="1514"/>
      <c r="F30" s="1514"/>
      <c r="G30" s="7"/>
      <c r="I30" s="622"/>
      <c r="J30" s="6"/>
      <c r="K30" s="6"/>
      <c r="L30" s="6"/>
      <c r="M30" s="6"/>
      <c r="N30" s="6"/>
    </row>
    <row r="31" spans="1:14" ht="25.5" customHeight="1" x14ac:dyDescent="0.3">
      <c r="A31" s="5"/>
      <c r="B31" s="7"/>
      <c r="C31" s="7"/>
      <c r="D31" s="7"/>
      <c r="E31" s="7"/>
      <c r="F31" s="7"/>
      <c r="G31" s="7"/>
      <c r="H31" s="1477" t="s">
        <v>766</v>
      </c>
      <c r="I31" s="1477"/>
      <c r="J31" s="6"/>
      <c r="K31" s="6"/>
      <c r="L31" s="6"/>
      <c r="M31" s="6"/>
      <c r="N31" s="6"/>
    </row>
    <row r="32" spans="1:14" ht="13" x14ac:dyDescent="0.3">
      <c r="A32" s="5"/>
      <c r="B32" s="7"/>
      <c r="C32" s="7"/>
      <c r="D32" s="7"/>
      <c r="E32" s="7"/>
      <c r="F32" s="7"/>
      <c r="G32" s="7"/>
      <c r="H32" s="173"/>
      <c r="I32" s="5"/>
      <c r="J32" s="6"/>
      <c r="K32" s="6"/>
      <c r="L32" s="6"/>
      <c r="M32" s="6"/>
      <c r="N32" s="6"/>
    </row>
    <row r="33" spans="1:14" ht="13" x14ac:dyDescent="0.3">
      <c r="A33" s="5"/>
      <c r="B33" s="7"/>
      <c r="C33" s="7"/>
      <c r="D33" s="7"/>
      <c r="E33" s="7"/>
      <c r="F33" s="7"/>
      <c r="G33" s="7"/>
      <c r="H33" s="173"/>
      <c r="I33" s="5"/>
      <c r="J33" s="6"/>
      <c r="K33" s="6"/>
      <c r="L33" s="6"/>
      <c r="M33" s="6"/>
      <c r="N33" s="6"/>
    </row>
    <row r="34" spans="1:14" ht="13" x14ac:dyDescent="0.3">
      <c r="A34" s="5"/>
      <c r="B34" s="7"/>
      <c r="C34" s="7"/>
      <c r="D34" s="7"/>
      <c r="E34" s="7"/>
      <c r="F34" s="7"/>
      <c r="G34" s="7"/>
      <c r="H34" s="173"/>
      <c r="I34" s="5"/>
      <c r="J34" s="6"/>
      <c r="K34" s="6"/>
      <c r="L34" s="6"/>
      <c r="M34" s="6"/>
      <c r="N34" s="6"/>
    </row>
    <row r="35" spans="1:14" ht="13.5" customHeight="1" x14ac:dyDescent="0.3">
      <c r="A35" s="5"/>
      <c r="B35" s="7"/>
      <c r="C35" s="7"/>
      <c r="D35" s="7"/>
      <c r="E35" s="7"/>
      <c r="F35" s="7"/>
      <c r="G35" s="7"/>
      <c r="H35" s="173"/>
      <c r="I35" s="5"/>
      <c r="J35" s="6"/>
      <c r="K35" s="6"/>
      <c r="L35" s="6"/>
      <c r="M35" s="6"/>
      <c r="N35" s="6"/>
    </row>
    <row r="36" spans="1:14" ht="13" x14ac:dyDescent="0.3">
      <c r="A36" s="5"/>
      <c r="B36" s="7"/>
      <c r="C36" s="7"/>
      <c r="D36" s="7"/>
      <c r="E36" s="7"/>
      <c r="F36" s="7"/>
      <c r="G36" s="7"/>
      <c r="H36" s="173"/>
      <c r="I36" s="5"/>
      <c r="J36" s="6"/>
      <c r="K36" s="6"/>
      <c r="L36" s="6"/>
      <c r="M36" s="6"/>
      <c r="N36" s="6"/>
    </row>
    <row r="37" spans="1:14" ht="13" x14ac:dyDescent="0.3">
      <c r="A37" s="5"/>
      <c r="B37" s="7"/>
      <c r="C37" s="7"/>
      <c r="D37" s="7"/>
      <c r="E37" s="7"/>
      <c r="F37" s="7"/>
      <c r="G37" s="7"/>
      <c r="H37" s="173"/>
      <c r="I37" s="5"/>
      <c r="J37" s="6"/>
      <c r="K37" s="6"/>
      <c r="L37" s="6"/>
      <c r="M37" s="6"/>
      <c r="N37" s="6"/>
    </row>
    <row r="38" spans="1:14" ht="13" x14ac:dyDescent="0.3">
      <c r="A38" s="5"/>
      <c r="B38" s="7"/>
      <c r="C38" s="7"/>
      <c r="D38" s="7"/>
      <c r="E38" s="7"/>
      <c r="F38" s="7"/>
      <c r="G38" s="7"/>
      <c r="H38" s="173"/>
      <c r="I38" s="5"/>
      <c r="J38" s="6"/>
      <c r="K38" s="6"/>
      <c r="L38" s="6"/>
      <c r="M38" s="6"/>
      <c r="N38" s="6"/>
    </row>
    <row r="39" spans="1:14" ht="13" x14ac:dyDescent="0.3">
      <c r="A39" s="5"/>
      <c r="B39" s="7"/>
      <c r="C39" s="7"/>
      <c r="D39" s="7"/>
      <c r="E39" s="7"/>
      <c r="F39" s="7"/>
      <c r="G39" s="7"/>
      <c r="H39" s="173"/>
      <c r="I39" s="5"/>
      <c r="J39" s="6"/>
      <c r="K39" s="6"/>
      <c r="L39" s="6"/>
      <c r="M39" s="6"/>
      <c r="N39" s="6"/>
    </row>
    <row r="40" spans="1:14" ht="13" x14ac:dyDescent="0.3">
      <c r="A40" s="5"/>
      <c r="B40" s="7"/>
      <c r="C40" s="7"/>
      <c r="D40" s="7"/>
      <c r="E40" s="7"/>
      <c r="F40" s="7"/>
      <c r="G40" s="7"/>
      <c r="H40" s="173"/>
      <c r="I40" s="5"/>
      <c r="J40" s="6"/>
      <c r="K40" s="6"/>
      <c r="L40" s="6"/>
      <c r="M40" s="6"/>
      <c r="N40" s="6"/>
    </row>
    <row r="41" spans="1:14" ht="13" x14ac:dyDescent="0.3">
      <c r="A41" s="5"/>
      <c r="B41" s="7"/>
      <c r="C41" s="7"/>
      <c r="D41" s="7"/>
      <c r="E41" s="7"/>
      <c r="F41" s="7"/>
      <c r="G41" s="7"/>
      <c r="H41" s="173"/>
      <c r="I41" s="5"/>
      <c r="J41" s="6"/>
      <c r="K41" s="6"/>
      <c r="L41" s="6"/>
      <c r="M41" s="6"/>
      <c r="N41" s="6"/>
    </row>
    <row r="42" spans="1:14" ht="13" x14ac:dyDescent="0.3">
      <c r="A42" s="5"/>
      <c r="B42" s="7"/>
      <c r="C42" s="7"/>
      <c r="D42" s="7"/>
      <c r="E42" s="7"/>
      <c r="F42" s="7"/>
      <c r="G42" s="7"/>
      <c r="H42" s="173"/>
      <c r="I42" s="5"/>
      <c r="J42" s="6"/>
      <c r="K42" s="6"/>
      <c r="L42" s="6"/>
      <c r="M42" s="6"/>
      <c r="N42" s="6"/>
    </row>
    <row r="43" spans="1:14" ht="13" x14ac:dyDescent="0.3">
      <c r="A43" s="5"/>
      <c r="B43" s="7"/>
      <c r="C43" s="7"/>
      <c r="D43" s="7"/>
      <c r="E43" s="7"/>
      <c r="F43" s="7"/>
      <c r="G43" s="7"/>
      <c r="H43" s="173"/>
      <c r="I43" s="5"/>
      <c r="J43" s="6"/>
      <c r="K43" s="6"/>
      <c r="L43" s="6"/>
      <c r="M43" s="6"/>
      <c r="N43" s="6"/>
    </row>
    <row r="44" spans="1:14" ht="13" x14ac:dyDescent="0.3">
      <c r="A44" s="5"/>
      <c r="B44" s="7"/>
      <c r="C44" s="7"/>
      <c r="D44" s="7"/>
      <c r="E44" s="7"/>
      <c r="F44" s="7"/>
      <c r="G44" s="7"/>
      <c r="H44" s="173"/>
      <c r="I44" s="5"/>
      <c r="J44" s="6"/>
      <c r="K44" s="6"/>
      <c r="L44" s="6"/>
      <c r="M44" s="6"/>
      <c r="N44" s="6"/>
    </row>
    <row r="45" spans="1:14" ht="13" x14ac:dyDescent="0.3">
      <c r="A45" s="5"/>
      <c r="B45" s="7"/>
      <c r="C45" s="7"/>
      <c r="D45" s="7"/>
      <c r="E45" s="7"/>
      <c r="F45" s="7"/>
      <c r="G45" s="7"/>
      <c r="H45" s="173"/>
      <c r="I45" s="5"/>
      <c r="J45" s="6"/>
      <c r="K45" s="6"/>
      <c r="L45" s="6"/>
      <c r="M45" s="6"/>
      <c r="N45" s="6"/>
    </row>
    <row r="46" spans="1:14" ht="13" x14ac:dyDescent="0.3">
      <c r="A46" s="5"/>
      <c r="B46" s="7"/>
      <c r="C46" s="7"/>
      <c r="D46" s="7"/>
      <c r="E46" s="7"/>
      <c r="F46" s="7"/>
      <c r="G46" s="7"/>
      <c r="H46" s="173"/>
      <c r="I46" s="5"/>
      <c r="J46" s="6"/>
      <c r="K46" s="6"/>
      <c r="L46" s="6"/>
      <c r="M46" s="6"/>
      <c r="N46" s="6"/>
    </row>
    <row r="47" spans="1:14" ht="13" x14ac:dyDescent="0.3">
      <c r="A47" s="5"/>
      <c r="B47" s="7"/>
      <c r="C47" s="7"/>
      <c r="D47" s="7"/>
      <c r="E47" s="7"/>
      <c r="F47" s="7"/>
      <c r="G47" s="7"/>
      <c r="H47" s="173"/>
      <c r="I47" s="5"/>
      <c r="J47" s="6"/>
      <c r="K47" s="6"/>
      <c r="L47" s="6"/>
      <c r="M47" s="6"/>
      <c r="N47" s="6"/>
    </row>
    <row r="48" spans="1:14" ht="13" x14ac:dyDescent="0.3">
      <c r="A48" s="5"/>
      <c r="B48" s="7"/>
      <c r="C48" s="7"/>
      <c r="D48" s="7"/>
      <c r="E48" s="7"/>
      <c r="F48" s="7"/>
      <c r="G48" s="7"/>
      <c r="H48" s="173"/>
      <c r="I48" s="5"/>
      <c r="J48" s="6"/>
      <c r="K48" s="6"/>
      <c r="L48" s="6"/>
      <c r="M48" s="6"/>
      <c r="N48" s="6"/>
    </row>
    <row r="49" spans="1:14" ht="13" x14ac:dyDescent="0.3">
      <c r="A49" s="5"/>
      <c r="B49" s="7"/>
      <c r="C49" s="7"/>
      <c r="D49" s="7"/>
      <c r="E49" s="7"/>
      <c r="F49" s="7"/>
      <c r="G49" s="7"/>
      <c r="H49" s="173"/>
      <c r="I49" s="5"/>
      <c r="J49" s="6"/>
      <c r="K49" s="6"/>
      <c r="L49" s="6"/>
      <c r="M49" s="6"/>
      <c r="N49" s="6"/>
    </row>
    <row r="50" spans="1:14" ht="13" x14ac:dyDescent="0.3">
      <c r="A50" s="5"/>
      <c r="B50" s="7"/>
      <c r="C50" s="7"/>
      <c r="D50" s="7"/>
      <c r="E50" s="7"/>
      <c r="F50" s="7"/>
      <c r="G50" s="7"/>
      <c r="H50" s="173"/>
      <c r="I50" s="5"/>
      <c r="J50" s="6"/>
      <c r="K50" s="6"/>
      <c r="L50" s="6"/>
      <c r="M50" s="6"/>
      <c r="N50" s="6"/>
    </row>
    <row r="51" spans="1:14" ht="13" x14ac:dyDescent="0.3">
      <c r="A51" s="5"/>
      <c r="B51" s="7"/>
      <c r="C51" s="7"/>
      <c r="D51" s="7"/>
      <c r="E51" s="7"/>
      <c r="F51" s="7"/>
      <c r="G51" s="7"/>
      <c r="H51" s="173"/>
      <c r="I51" s="5"/>
      <c r="J51" s="6"/>
      <c r="K51" s="6"/>
      <c r="L51" s="6"/>
      <c r="M51" s="6"/>
      <c r="N51" s="6"/>
    </row>
    <row r="52" spans="1:14" ht="13" x14ac:dyDescent="0.3">
      <c r="A52" s="5"/>
      <c r="B52" s="7"/>
      <c r="C52" s="7"/>
      <c r="D52" s="7"/>
      <c r="E52" s="7"/>
      <c r="F52" s="7"/>
      <c r="G52" s="7"/>
      <c r="H52" s="173"/>
      <c r="I52" s="5"/>
      <c r="J52" s="6"/>
      <c r="K52" s="6"/>
      <c r="L52" s="6"/>
      <c r="M52" s="6"/>
      <c r="N52" s="6"/>
    </row>
    <row r="53" spans="1:14" ht="13" x14ac:dyDescent="0.3">
      <c r="A53" s="5"/>
      <c r="B53" s="7"/>
      <c r="C53" s="7"/>
      <c r="D53" s="7"/>
      <c r="E53" s="7"/>
      <c r="F53" s="7"/>
      <c r="G53" s="7"/>
      <c r="H53" s="173"/>
      <c r="I53" s="5"/>
      <c r="J53" s="6"/>
      <c r="K53" s="6"/>
      <c r="L53" s="6"/>
      <c r="M53" s="6"/>
      <c r="N53" s="6"/>
    </row>
    <row r="54" spans="1:14" ht="13" x14ac:dyDescent="0.3">
      <c r="A54" s="5"/>
      <c r="B54" s="7"/>
      <c r="C54" s="7"/>
      <c r="D54" s="7"/>
      <c r="E54" s="7"/>
      <c r="F54" s="7"/>
      <c r="G54" s="7"/>
      <c r="H54" s="173"/>
      <c r="I54" s="5"/>
      <c r="J54" s="6"/>
      <c r="K54" s="6"/>
      <c r="L54" s="6"/>
      <c r="M54" s="6"/>
      <c r="N54" s="6"/>
    </row>
    <row r="55" spans="1:14" ht="13" x14ac:dyDescent="0.3">
      <c r="A55" s="5"/>
      <c r="B55" s="7"/>
      <c r="C55" s="7"/>
      <c r="D55" s="7"/>
      <c r="E55" s="7"/>
      <c r="F55" s="7"/>
      <c r="G55" s="7"/>
      <c r="H55" s="173"/>
      <c r="I55" s="5"/>
      <c r="J55" s="6"/>
      <c r="K55" s="6"/>
      <c r="L55" s="6"/>
      <c r="M55" s="6"/>
      <c r="N55" s="6"/>
    </row>
    <row r="56" spans="1:14" ht="13" x14ac:dyDescent="0.3">
      <c r="A56" s="5"/>
      <c r="B56" s="7"/>
      <c r="C56" s="7"/>
      <c r="D56" s="7"/>
      <c r="E56" s="7"/>
      <c r="F56" s="7"/>
      <c r="G56" s="7"/>
      <c r="H56" s="173"/>
      <c r="I56" s="5"/>
      <c r="J56" s="6"/>
      <c r="K56" s="6"/>
      <c r="L56" s="6"/>
      <c r="M56" s="6"/>
      <c r="N56" s="6"/>
    </row>
    <row r="57" spans="1:14" ht="13" x14ac:dyDescent="0.3">
      <c r="A57" s="5"/>
      <c r="B57" s="7"/>
      <c r="C57" s="7"/>
      <c r="D57" s="7"/>
      <c r="E57" s="7"/>
      <c r="F57" s="7"/>
      <c r="G57" s="7"/>
      <c r="H57" s="173"/>
      <c r="I57" s="5"/>
      <c r="J57" s="6"/>
      <c r="K57" s="6"/>
      <c r="L57" s="6"/>
      <c r="M57" s="6"/>
      <c r="N57" s="6"/>
    </row>
  </sheetData>
  <mergeCells count="11">
    <mergeCell ref="B27:F27"/>
    <mergeCell ref="A1:B1"/>
    <mergeCell ref="A2:B2"/>
    <mergeCell ref="C1:G1"/>
    <mergeCell ref="C2:G2"/>
    <mergeCell ref="A3:I3"/>
    <mergeCell ref="H31:I31"/>
    <mergeCell ref="H29:I29"/>
    <mergeCell ref="A29:B29"/>
    <mergeCell ref="H28:I28"/>
    <mergeCell ref="A30:F30"/>
  </mergeCells>
  <pageMargins left="0.38" right="0.2" top="0.38" bottom="0.22" header="0.38" footer="0.21"/>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L51"/>
  <sheetViews>
    <sheetView zoomScale="115" zoomScaleNormal="115" zoomScalePageLayoutView="115" workbookViewId="0">
      <pane xSplit="2" ySplit="5" topLeftCell="C7" activePane="bottomRight" state="frozen"/>
      <selection pane="topRight" activeCell="C1" sqref="C1"/>
      <selection pane="bottomLeft" activeCell="A8" sqref="A8"/>
      <selection pane="bottomRight" activeCell="B22" sqref="B22"/>
    </sheetView>
  </sheetViews>
  <sheetFormatPr defaultColWidth="9.1796875" defaultRowHeight="12.5" x14ac:dyDescent="0.25"/>
  <cols>
    <col min="1" max="1" width="5.453125" style="75" customWidth="1"/>
    <col min="2" max="2" width="35.81640625" style="103" customWidth="1"/>
    <col min="3" max="3" width="8.81640625" style="103" customWidth="1"/>
    <col min="4" max="4" width="7.6328125" style="614" customWidth="1"/>
    <col min="5" max="5" width="9.453125" style="103" customWidth="1"/>
    <col min="6" max="6" width="10.6328125" style="103" customWidth="1"/>
    <col min="7" max="7" width="18" style="99" customWidth="1"/>
    <col min="8" max="16384" width="9.1796875" style="99"/>
  </cols>
  <sheetData>
    <row r="1" spans="1:12" ht="15" x14ac:dyDescent="0.25">
      <c r="A1" s="1518" t="s">
        <v>137</v>
      </c>
      <c r="B1" s="1518"/>
      <c r="G1" s="38" t="s">
        <v>33</v>
      </c>
    </row>
    <row r="2" spans="1:12" ht="14.25" customHeight="1" x14ac:dyDescent="0.25">
      <c r="A2" s="1519" t="s">
        <v>562</v>
      </c>
      <c r="B2" s="1519"/>
      <c r="C2" s="1477"/>
      <c r="D2" s="1477"/>
      <c r="E2" s="1477"/>
      <c r="F2" s="1477"/>
      <c r="G2" s="1477"/>
      <c r="H2" s="98"/>
      <c r="I2" s="98"/>
      <c r="J2" s="98"/>
      <c r="K2" s="98"/>
      <c r="L2" s="98"/>
    </row>
    <row r="3" spans="1:12" ht="30" customHeight="1" x14ac:dyDescent="0.25">
      <c r="A3" s="1487" t="s">
        <v>956</v>
      </c>
      <c r="B3" s="1487"/>
      <c r="C3" s="1487"/>
      <c r="D3" s="1487"/>
      <c r="E3" s="1487"/>
      <c r="F3" s="1487"/>
      <c r="G3" s="1487"/>
      <c r="H3" s="98"/>
      <c r="I3" s="98"/>
      <c r="J3" s="98"/>
      <c r="K3" s="98"/>
      <c r="L3" s="98"/>
    </row>
    <row r="4" spans="1:12" ht="14" thickBot="1" x14ac:dyDescent="0.3">
      <c r="A4" s="332"/>
      <c r="B4" s="332"/>
      <c r="C4" s="332"/>
      <c r="D4" s="616"/>
      <c r="E4" s="332"/>
      <c r="F4" s="329" t="s">
        <v>84</v>
      </c>
      <c r="G4" s="332"/>
      <c r="H4" s="98"/>
      <c r="I4" s="98"/>
      <c r="J4" s="98"/>
      <c r="K4" s="98"/>
      <c r="L4" s="98"/>
    </row>
    <row r="5" spans="1:12" ht="38.25" customHeight="1" thickTop="1" x14ac:dyDescent="0.25">
      <c r="A5" s="617" t="s">
        <v>0</v>
      </c>
      <c r="B5" s="618" t="s">
        <v>27</v>
      </c>
      <c r="C5" s="618" t="s">
        <v>1</v>
      </c>
      <c r="D5" s="619" t="s">
        <v>373</v>
      </c>
      <c r="E5" s="619" t="s">
        <v>28</v>
      </c>
      <c r="F5" s="619" t="s">
        <v>29</v>
      </c>
      <c r="G5" s="619" t="s">
        <v>2</v>
      </c>
      <c r="H5" s="98"/>
      <c r="I5" s="98"/>
      <c r="J5" s="98"/>
      <c r="K5" s="98"/>
      <c r="L5" s="98"/>
    </row>
    <row r="6" spans="1:12" ht="21.75" customHeight="1" x14ac:dyDescent="0.25">
      <c r="A6" s="429">
        <v>1</v>
      </c>
      <c r="B6" s="432" t="s">
        <v>42</v>
      </c>
      <c r="C6" s="748"/>
      <c r="D6" s="749"/>
      <c r="E6" s="749"/>
      <c r="F6" s="771">
        <f>SUM(F7:F11)</f>
        <v>30200</v>
      </c>
      <c r="G6" s="750"/>
      <c r="H6" s="98"/>
      <c r="I6" s="98"/>
      <c r="J6" s="98"/>
      <c r="K6" s="98"/>
      <c r="L6" s="98"/>
    </row>
    <row r="7" spans="1:12" ht="35" customHeight="1" x14ac:dyDescent="0.25">
      <c r="A7" s="429" t="s">
        <v>369</v>
      </c>
      <c r="B7" s="751" t="s">
        <v>775</v>
      </c>
      <c r="C7" s="752" t="s">
        <v>788</v>
      </c>
      <c r="D7" s="749">
        <v>2</v>
      </c>
      <c r="E7" s="749">
        <v>100</v>
      </c>
      <c r="F7" s="753">
        <f>D7*E7</f>
        <v>200</v>
      </c>
      <c r="G7" s="749"/>
      <c r="I7" s="98"/>
      <c r="J7" s="98"/>
      <c r="K7" s="98"/>
      <c r="L7" s="98"/>
    </row>
    <row r="8" spans="1:12" ht="36" customHeight="1" x14ac:dyDescent="0.25">
      <c r="A8" s="429">
        <v>1.2</v>
      </c>
      <c r="B8" s="432" t="s">
        <v>776</v>
      </c>
      <c r="C8" s="754" t="s">
        <v>777</v>
      </c>
      <c r="D8" s="755" t="s">
        <v>789</v>
      </c>
      <c r="E8" s="754"/>
      <c r="F8" s="753">
        <f>D8*E8</f>
        <v>0</v>
      </c>
      <c r="G8" s="754" t="s">
        <v>778</v>
      </c>
      <c r="I8" s="98"/>
      <c r="J8" s="98"/>
      <c r="K8" s="98"/>
      <c r="L8" s="98"/>
    </row>
    <row r="9" spans="1:12" ht="54" customHeight="1" x14ac:dyDescent="0.25">
      <c r="A9" s="429">
        <v>1.3</v>
      </c>
      <c r="B9" s="432" t="s">
        <v>779</v>
      </c>
      <c r="C9" s="754" t="s">
        <v>777</v>
      </c>
      <c r="D9" s="331">
        <v>1</v>
      </c>
      <c r="E9" s="754"/>
      <c r="F9" s="753">
        <f>D9*E9</f>
        <v>0</v>
      </c>
      <c r="G9" s="754" t="s">
        <v>778</v>
      </c>
      <c r="I9" s="98"/>
      <c r="J9" s="98"/>
      <c r="K9" s="98"/>
      <c r="L9" s="98"/>
    </row>
    <row r="10" spans="1:12" ht="26" x14ac:dyDescent="0.25">
      <c r="A10" s="429">
        <v>1.4</v>
      </c>
      <c r="B10" s="432" t="s">
        <v>780</v>
      </c>
      <c r="C10" s="754" t="s">
        <v>370</v>
      </c>
      <c r="D10" s="331">
        <v>1</v>
      </c>
      <c r="E10" s="754">
        <v>20000</v>
      </c>
      <c r="F10" s="753">
        <f>D10*E10</f>
        <v>20000</v>
      </c>
      <c r="G10" s="754" t="s">
        <v>781</v>
      </c>
      <c r="I10" s="98"/>
      <c r="J10" s="98"/>
      <c r="K10" s="98"/>
      <c r="L10" s="98"/>
    </row>
    <row r="11" spans="1:12" ht="27" customHeight="1" x14ac:dyDescent="0.25">
      <c r="A11" s="756">
        <v>1.5</v>
      </c>
      <c r="B11" s="936" t="s">
        <v>992</v>
      </c>
      <c r="C11" s="937" t="s">
        <v>370</v>
      </c>
      <c r="D11" s="802">
        <v>1</v>
      </c>
      <c r="E11" s="938">
        <v>10000</v>
      </c>
      <c r="F11" s="939">
        <f>D11*E11</f>
        <v>10000</v>
      </c>
      <c r="G11" s="754"/>
      <c r="I11" s="98"/>
      <c r="J11" s="98"/>
      <c r="K11" s="98"/>
      <c r="L11" s="98"/>
    </row>
    <row r="12" spans="1:12" ht="21.75" customHeight="1" x14ac:dyDescent="0.25">
      <c r="A12" s="429">
        <v>2</v>
      </c>
      <c r="B12" s="757" t="s">
        <v>782</v>
      </c>
      <c r="C12" s="752"/>
      <c r="D12" s="331"/>
      <c r="E12" s="754"/>
      <c r="F12" s="772">
        <f>SUM(F13:F14)</f>
        <v>30000</v>
      </c>
      <c r="I12" s="98"/>
      <c r="J12" s="98"/>
      <c r="K12" s="98"/>
      <c r="L12" s="98"/>
    </row>
    <row r="13" spans="1:12" s="101" customFormat="1" ht="26" customHeight="1" x14ac:dyDescent="0.25">
      <c r="A13" s="429">
        <v>2.1</v>
      </c>
      <c r="B13" s="432" t="s">
        <v>783</v>
      </c>
      <c r="C13" s="754" t="s">
        <v>790</v>
      </c>
      <c r="D13" s="755" t="s">
        <v>791</v>
      </c>
      <c r="E13" s="754">
        <v>200</v>
      </c>
      <c r="F13" s="753">
        <f>D13*E13</f>
        <v>20000</v>
      </c>
      <c r="G13" s="754" t="s">
        <v>778</v>
      </c>
      <c r="I13" s="100"/>
      <c r="J13" s="100"/>
      <c r="K13" s="100"/>
      <c r="L13" s="100"/>
    </row>
    <row r="14" spans="1:12" s="101" customFormat="1" ht="26" x14ac:dyDescent="0.25">
      <c r="A14" s="429">
        <v>2.2000000000000002</v>
      </c>
      <c r="B14" s="437" t="s">
        <v>785</v>
      </c>
      <c r="C14" s="754" t="s">
        <v>784</v>
      </c>
      <c r="D14" s="331">
        <v>100</v>
      </c>
      <c r="E14" s="754">
        <v>100</v>
      </c>
      <c r="F14" s="753">
        <f>D14*E14</f>
        <v>10000</v>
      </c>
      <c r="G14" s="754"/>
      <c r="I14" s="100"/>
      <c r="J14" s="100"/>
      <c r="K14" s="100"/>
      <c r="L14" s="100"/>
    </row>
    <row r="15" spans="1:12" s="101" customFormat="1" ht="21.75" customHeight="1" x14ac:dyDescent="0.25">
      <c r="A15" s="429">
        <v>3</v>
      </c>
      <c r="B15" s="757" t="s">
        <v>786</v>
      </c>
      <c r="C15" s="754"/>
      <c r="D15" s="331">
        <v>1</v>
      </c>
      <c r="E15" s="754"/>
      <c r="F15" s="753">
        <f>D15*E15</f>
        <v>0</v>
      </c>
      <c r="G15" s="754"/>
      <c r="I15" s="100"/>
      <c r="J15" s="100"/>
      <c r="K15" s="100"/>
      <c r="L15" s="100"/>
    </row>
    <row r="16" spans="1:12" s="101" customFormat="1" ht="49" customHeight="1" x14ac:dyDescent="0.25">
      <c r="A16" s="429">
        <v>4</v>
      </c>
      <c r="B16" s="1425" t="s">
        <v>1418</v>
      </c>
      <c r="C16" s="431"/>
      <c r="D16" s="331">
        <v>1</v>
      </c>
      <c r="E16" s="331"/>
      <c r="F16" s="753">
        <v>10000</v>
      </c>
      <c r="G16" s="754" t="s">
        <v>787</v>
      </c>
      <c r="I16" s="100"/>
      <c r="J16" s="100"/>
      <c r="K16" s="100"/>
      <c r="L16" s="100"/>
    </row>
    <row r="17" spans="1:12" s="101" customFormat="1" ht="21.75" customHeight="1" x14ac:dyDescent="0.25">
      <c r="A17" s="429">
        <v>5</v>
      </c>
      <c r="B17" s="757" t="s">
        <v>17</v>
      </c>
      <c r="C17" s="431"/>
      <c r="D17" s="331"/>
      <c r="E17" s="331"/>
      <c r="F17" s="753"/>
      <c r="G17" s="432"/>
      <c r="I17" s="100"/>
      <c r="J17" s="100"/>
      <c r="K17" s="100"/>
      <c r="L17" s="100"/>
    </row>
    <row r="18" spans="1:12" s="101" customFormat="1" ht="24" customHeight="1" x14ac:dyDescent="0.25">
      <c r="A18" s="429">
        <v>5.0999999999999996</v>
      </c>
      <c r="B18" s="813" t="s">
        <v>954</v>
      </c>
      <c r="C18" s="814" t="s">
        <v>372</v>
      </c>
      <c r="D18" s="803">
        <v>5</v>
      </c>
      <c r="E18" s="803">
        <v>100</v>
      </c>
      <c r="F18" s="815">
        <f>D18*E18</f>
        <v>500</v>
      </c>
      <c r="G18" s="437"/>
      <c r="I18" s="100"/>
      <c r="J18" s="100"/>
      <c r="K18" s="100"/>
      <c r="L18" s="100"/>
    </row>
    <row r="19" spans="1:12" s="101" customFormat="1" ht="29.25" customHeight="1" x14ac:dyDescent="0.25">
      <c r="C19" s="431"/>
      <c r="D19" s="331"/>
      <c r="E19" s="331"/>
      <c r="F19" s="758"/>
      <c r="G19" s="437"/>
      <c r="I19" s="100"/>
      <c r="J19" s="100"/>
      <c r="K19" s="100"/>
      <c r="L19" s="100"/>
    </row>
    <row r="20" spans="1:12" s="101" customFormat="1" ht="21.75" customHeight="1" x14ac:dyDescent="0.25">
      <c r="A20" s="1522" t="s">
        <v>24</v>
      </c>
      <c r="B20" s="1522"/>
      <c r="C20" s="431"/>
      <c r="D20" s="759">
        <f>SUM(D7:D19)</f>
        <v>112</v>
      </c>
      <c r="E20" s="759">
        <f>SUM(E7:E19)</f>
        <v>30500</v>
      </c>
      <c r="F20" s="1433">
        <f>F6+F12+F15+F16+F19</f>
        <v>70200</v>
      </c>
      <c r="G20" s="432"/>
      <c r="I20" s="100"/>
      <c r="J20" s="100"/>
      <c r="K20" s="100"/>
      <c r="L20" s="100"/>
    </row>
    <row r="21" spans="1:12" ht="24" customHeight="1" x14ac:dyDescent="0.25">
      <c r="A21" s="74"/>
      <c r="B21" s="1477" t="s">
        <v>1423</v>
      </c>
      <c r="C21" s="1477"/>
      <c r="D21" s="173"/>
      <c r="E21" s="102"/>
      <c r="F21" s="102"/>
      <c r="G21" s="616"/>
      <c r="H21" s="620"/>
      <c r="I21" s="620"/>
      <c r="J21" s="98"/>
      <c r="K21" s="98"/>
      <c r="L21" s="98"/>
    </row>
    <row r="22" spans="1:12" ht="13" x14ac:dyDescent="0.25">
      <c r="A22" s="99"/>
      <c r="B22" s="99"/>
      <c r="C22" s="99"/>
      <c r="D22" s="75"/>
      <c r="E22" s="621"/>
      <c r="F22" s="1513" t="s">
        <v>955</v>
      </c>
      <c r="G22" s="1513"/>
      <c r="H22" s="622"/>
      <c r="I22" s="622"/>
      <c r="J22" s="98"/>
      <c r="K22" s="98"/>
      <c r="L22" s="98"/>
    </row>
    <row r="23" spans="1:12" ht="15" customHeight="1" x14ac:dyDescent="0.25">
      <c r="A23" s="1512"/>
      <c r="B23" s="1512"/>
      <c r="C23" s="623"/>
      <c r="D23" s="173"/>
      <c r="E23" s="623"/>
      <c r="F23" s="1477" t="s">
        <v>21</v>
      </c>
      <c r="G23" s="1477"/>
      <c r="H23" s="98"/>
      <c r="I23" s="98"/>
      <c r="J23" s="98"/>
      <c r="K23" s="98"/>
      <c r="L23" s="98"/>
    </row>
    <row r="24" spans="1:12" ht="33" customHeight="1" x14ac:dyDescent="0.25">
      <c r="A24" s="1521"/>
      <c r="B24" s="1521"/>
      <c r="C24" s="1521"/>
      <c r="D24" s="615"/>
      <c r="E24" s="624"/>
      <c r="F24" s="102"/>
      <c r="G24" s="625"/>
      <c r="H24" s="98"/>
      <c r="I24" s="98"/>
      <c r="J24" s="98"/>
      <c r="K24" s="98"/>
      <c r="L24" s="98"/>
    </row>
    <row r="25" spans="1:12" ht="39" customHeight="1" x14ac:dyDescent="0.25">
      <c r="A25" s="99"/>
      <c r="B25" s="99"/>
      <c r="C25" s="99"/>
      <c r="D25" s="75"/>
      <c r="E25" s="102"/>
      <c r="F25" s="1477" t="s">
        <v>766</v>
      </c>
      <c r="G25" s="1477"/>
      <c r="H25" s="98"/>
      <c r="I25" s="98"/>
      <c r="J25" s="98"/>
      <c r="K25" s="98"/>
      <c r="L25" s="98"/>
    </row>
    <row r="26" spans="1:12" ht="13" x14ac:dyDescent="0.25">
      <c r="A26" s="74"/>
      <c r="B26" s="102"/>
      <c r="C26" s="102"/>
      <c r="D26" s="173"/>
      <c r="E26" s="102"/>
      <c r="F26" s="102"/>
      <c r="G26" s="98"/>
      <c r="H26" s="98"/>
      <c r="I26" s="98"/>
      <c r="J26" s="98"/>
      <c r="K26" s="98"/>
      <c r="L26" s="98"/>
    </row>
    <row r="27" spans="1:12" ht="96" customHeight="1" x14ac:dyDescent="0.25">
      <c r="A27" s="1520" t="s">
        <v>1010</v>
      </c>
      <c r="B27" s="1520"/>
      <c r="C27" s="1520"/>
      <c r="D27" s="1520"/>
      <c r="E27" s="1520"/>
      <c r="F27" s="1520"/>
      <c r="G27" s="98"/>
      <c r="H27" s="98"/>
      <c r="I27" s="98"/>
      <c r="J27" s="98"/>
      <c r="K27" s="98"/>
      <c r="L27" s="98"/>
    </row>
    <row r="28" spans="1:12" ht="13" x14ac:dyDescent="0.25">
      <c r="A28" s="74"/>
      <c r="B28" s="102"/>
      <c r="C28" s="102"/>
      <c r="D28" s="173"/>
      <c r="E28" s="102"/>
      <c r="F28" s="102"/>
      <c r="G28" s="98"/>
      <c r="H28" s="98"/>
      <c r="I28" s="98"/>
      <c r="J28" s="98"/>
      <c r="K28" s="98"/>
      <c r="L28" s="98"/>
    </row>
    <row r="29" spans="1:12" ht="13.5" customHeight="1" x14ac:dyDescent="0.25">
      <c r="A29" s="74"/>
      <c r="B29" s="102"/>
      <c r="C29" s="102"/>
      <c r="D29" s="173"/>
      <c r="E29" s="102"/>
      <c r="F29" s="102"/>
      <c r="G29" s="98"/>
      <c r="H29" s="98"/>
      <c r="I29" s="98"/>
      <c r="J29" s="98"/>
      <c r="K29" s="98"/>
      <c r="L29" s="98"/>
    </row>
    <row r="30" spans="1:12" ht="13" x14ac:dyDescent="0.25">
      <c r="A30" s="74"/>
      <c r="B30" s="102"/>
      <c r="C30" s="102"/>
      <c r="D30" s="173"/>
      <c r="E30" s="102"/>
      <c r="F30" s="102"/>
      <c r="G30" s="98"/>
      <c r="H30" s="98"/>
      <c r="I30" s="98"/>
      <c r="J30" s="98"/>
      <c r="K30" s="98"/>
      <c r="L30" s="98"/>
    </row>
    <row r="31" spans="1:12" ht="13" x14ac:dyDescent="0.25">
      <c r="A31" s="74"/>
      <c r="B31" s="102"/>
      <c r="C31" s="102"/>
      <c r="D31" s="173"/>
      <c r="E31" s="102"/>
      <c r="F31" s="102"/>
      <c r="G31" s="98"/>
      <c r="H31" s="98"/>
      <c r="I31" s="98"/>
      <c r="J31" s="98"/>
      <c r="K31" s="98"/>
      <c r="L31" s="98"/>
    </row>
    <row r="32" spans="1:12" ht="13" x14ac:dyDescent="0.25">
      <c r="A32" s="74"/>
      <c r="B32" s="102"/>
      <c r="C32" s="102"/>
      <c r="D32" s="173"/>
      <c r="E32" s="102"/>
      <c r="F32" s="102"/>
      <c r="G32" s="98"/>
      <c r="H32" s="98"/>
      <c r="I32" s="98"/>
      <c r="J32" s="98"/>
      <c r="K32" s="98"/>
      <c r="L32" s="98"/>
    </row>
    <row r="33" spans="1:12" ht="13" x14ac:dyDescent="0.25">
      <c r="A33" s="74"/>
      <c r="B33" s="102"/>
      <c r="C33" s="102"/>
      <c r="D33" s="173"/>
      <c r="E33" s="102"/>
      <c r="F33" s="102"/>
      <c r="G33" s="98"/>
      <c r="H33" s="98"/>
      <c r="I33" s="98"/>
      <c r="J33" s="98"/>
      <c r="K33" s="98"/>
      <c r="L33" s="98"/>
    </row>
    <row r="34" spans="1:12" ht="13" x14ac:dyDescent="0.25">
      <c r="A34" s="74"/>
      <c r="B34" s="102"/>
      <c r="C34" s="102"/>
      <c r="D34" s="173"/>
      <c r="E34" s="102"/>
      <c r="F34" s="102"/>
      <c r="G34" s="98"/>
      <c r="H34" s="98"/>
      <c r="I34" s="98"/>
      <c r="J34" s="98"/>
      <c r="K34" s="98"/>
      <c r="L34" s="98"/>
    </row>
    <row r="35" spans="1:12" ht="13" x14ac:dyDescent="0.25">
      <c r="A35" s="74"/>
      <c r="B35" s="102"/>
      <c r="C35" s="102"/>
      <c r="D35" s="173"/>
      <c r="E35" s="102"/>
      <c r="F35" s="102"/>
      <c r="G35" s="98"/>
      <c r="H35" s="98"/>
      <c r="I35" s="98"/>
      <c r="J35" s="98"/>
      <c r="K35" s="98"/>
      <c r="L35" s="98"/>
    </row>
    <row r="36" spans="1:12" ht="13" x14ac:dyDescent="0.25">
      <c r="A36" s="74"/>
      <c r="B36" s="102"/>
      <c r="C36" s="102"/>
      <c r="D36" s="173"/>
      <c r="E36" s="102"/>
      <c r="F36" s="102"/>
      <c r="G36" s="98"/>
      <c r="H36" s="98"/>
      <c r="I36" s="98"/>
      <c r="J36" s="98"/>
      <c r="K36" s="98"/>
      <c r="L36" s="98"/>
    </row>
    <row r="37" spans="1:12" ht="13" x14ac:dyDescent="0.25">
      <c r="A37" s="74"/>
      <c r="B37" s="102"/>
      <c r="C37" s="102"/>
      <c r="D37" s="173"/>
      <c r="E37" s="102"/>
      <c r="F37" s="102"/>
      <c r="G37" s="98"/>
      <c r="H37" s="98"/>
      <c r="I37" s="98"/>
      <c r="J37" s="98"/>
      <c r="K37" s="98"/>
      <c r="L37" s="98"/>
    </row>
    <row r="38" spans="1:12" ht="13" x14ac:dyDescent="0.25">
      <c r="A38" s="74"/>
      <c r="B38" s="102"/>
      <c r="C38" s="102"/>
      <c r="D38" s="173"/>
      <c r="E38" s="102"/>
      <c r="F38" s="102"/>
      <c r="G38" s="98"/>
      <c r="H38" s="98"/>
      <c r="I38" s="98"/>
      <c r="J38" s="98"/>
      <c r="K38" s="98"/>
      <c r="L38" s="98"/>
    </row>
    <row r="39" spans="1:12" ht="13" x14ac:dyDescent="0.25">
      <c r="A39" s="74"/>
      <c r="B39" s="102"/>
      <c r="C39" s="102"/>
      <c r="D39" s="173"/>
      <c r="E39" s="102"/>
      <c r="F39" s="102"/>
      <c r="G39" s="98"/>
      <c r="H39" s="98"/>
      <c r="I39" s="98"/>
      <c r="J39" s="98"/>
      <c r="K39" s="98"/>
      <c r="L39" s="98"/>
    </row>
    <row r="40" spans="1:12" ht="13" x14ac:dyDescent="0.25">
      <c r="A40" s="74"/>
      <c r="B40" s="102"/>
      <c r="C40" s="102"/>
      <c r="D40" s="173"/>
      <c r="E40" s="102"/>
      <c r="F40" s="102"/>
      <c r="G40" s="98"/>
      <c r="H40" s="98"/>
      <c r="I40" s="98"/>
      <c r="J40" s="98"/>
      <c r="K40" s="98"/>
      <c r="L40" s="98"/>
    </row>
    <row r="41" spans="1:12" ht="13" x14ac:dyDescent="0.25">
      <c r="A41" s="74"/>
      <c r="B41" s="102"/>
      <c r="C41" s="102"/>
      <c r="D41" s="173"/>
      <c r="E41" s="102"/>
      <c r="F41" s="102"/>
      <c r="G41" s="98"/>
      <c r="H41" s="98"/>
      <c r="I41" s="98"/>
      <c r="J41" s="98"/>
      <c r="K41" s="98"/>
      <c r="L41" s="98"/>
    </row>
    <row r="42" spans="1:12" ht="13" x14ac:dyDescent="0.25">
      <c r="A42" s="74"/>
      <c r="B42" s="102"/>
      <c r="C42" s="102"/>
      <c r="D42" s="173"/>
      <c r="E42" s="102"/>
      <c r="F42" s="102"/>
      <c r="G42" s="98"/>
      <c r="H42" s="98"/>
      <c r="I42" s="98"/>
      <c r="J42" s="98"/>
      <c r="K42" s="98"/>
      <c r="L42" s="98"/>
    </row>
    <row r="43" spans="1:12" ht="13" x14ac:dyDescent="0.25">
      <c r="A43" s="74"/>
      <c r="B43" s="102"/>
      <c r="C43" s="102"/>
      <c r="D43" s="173"/>
      <c r="E43" s="102"/>
      <c r="F43" s="102"/>
      <c r="G43" s="98"/>
      <c r="H43" s="98"/>
      <c r="I43" s="98"/>
      <c r="J43" s="98"/>
      <c r="K43" s="98"/>
      <c r="L43" s="98"/>
    </row>
    <row r="44" spans="1:12" ht="13" x14ac:dyDescent="0.25">
      <c r="A44" s="74"/>
      <c r="B44" s="102"/>
      <c r="C44" s="102"/>
      <c r="D44" s="173"/>
      <c r="E44" s="102"/>
      <c r="F44" s="102"/>
      <c r="G44" s="98"/>
      <c r="H44" s="98"/>
      <c r="I44" s="98"/>
      <c r="J44" s="98"/>
      <c r="K44" s="98"/>
      <c r="L44" s="98"/>
    </row>
    <row r="45" spans="1:12" ht="13" x14ac:dyDescent="0.25">
      <c r="A45" s="74"/>
      <c r="B45" s="102"/>
      <c r="C45" s="102"/>
      <c r="D45" s="173"/>
      <c r="E45" s="102"/>
      <c r="F45" s="102"/>
      <c r="G45" s="98"/>
      <c r="H45" s="98"/>
      <c r="I45" s="98"/>
      <c r="J45" s="98"/>
      <c r="K45" s="98"/>
      <c r="L45" s="98"/>
    </row>
    <row r="46" spans="1:12" ht="13" x14ac:dyDescent="0.25">
      <c r="A46" s="74"/>
      <c r="B46" s="102"/>
      <c r="C46" s="102"/>
      <c r="D46" s="173"/>
      <c r="E46" s="102"/>
      <c r="F46" s="102"/>
      <c r="G46" s="98"/>
      <c r="H46" s="98"/>
      <c r="I46" s="98"/>
      <c r="J46" s="98"/>
      <c r="K46" s="98"/>
      <c r="L46" s="98"/>
    </row>
    <row r="47" spans="1:12" ht="13" x14ac:dyDescent="0.25">
      <c r="A47" s="74"/>
      <c r="B47" s="102"/>
      <c r="C47" s="102"/>
      <c r="D47" s="173"/>
      <c r="E47" s="102"/>
      <c r="F47" s="102"/>
      <c r="G47" s="98"/>
      <c r="H47" s="98"/>
      <c r="I47" s="98"/>
      <c r="J47" s="98"/>
      <c r="K47" s="98"/>
      <c r="L47" s="98"/>
    </row>
    <row r="48" spans="1:12" ht="13" x14ac:dyDescent="0.25">
      <c r="A48" s="74"/>
      <c r="B48" s="102"/>
      <c r="C48" s="102"/>
      <c r="D48" s="173"/>
      <c r="E48" s="102"/>
      <c r="F48" s="102"/>
      <c r="G48" s="98"/>
      <c r="H48" s="98"/>
      <c r="I48" s="98"/>
      <c r="J48" s="98"/>
      <c r="K48" s="98"/>
      <c r="L48" s="98"/>
    </row>
    <row r="49" spans="1:12" ht="13" x14ac:dyDescent="0.25">
      <c r="A49" s="74"/>
      <c r="B49" s="102"/>
      <c r="C49" s="102"/>
      <c r="D49" s="173"/>
      <c r="E49" s="102"/>
      <c r="F49" s="102"/>
      <c r="G49" s="98"/>
      <c r="H49" s="98"/>
      <c r="I49" s="98"/>
      <c r="J49" s="98"/>
      <c r="K49" s="98"/>
      <c r="L49" s="98"/>
    </row>
    <row r="50" spans="1:12" ht="13" x14ac:dyDescent="0.25">
      <c r="A50" s="74"/>
      <c r="B50" s="102"/>
      <c r="C50" s="102"/>
      <c r="D50" s="173"/>
      <c r="E50" s="102"/>
      <c r="F50" s="102"/>
      <c r="G50" s="98"/>
      <c r="H50" s="98"/>
      <c r="I50" s="98"/>
      <c r="J50" s="98"/>
      <c r="K50" s="98"/>
      <c r="L50" s="98"/>
    </row>
    <row r="51" spans="1:12" ht="13" x14ac:dyDescent="0.25">
      <c r="A51" s="74"/>
      <c r="B51" s="102"/>
      <c r="C51" s="102"/>
      <c r="D51" s="173"/>
      <c r="E51" s="102"/>
      <c r="F51" s="102"/>
      <c r="G51" s="98"/>
    </row>
  </sheetData>
  <mergeCells count="12">
    <mergeCell ref="A27:F27"/>
    <mergeCell ref="F25:G25"/>
    <mergeCell ref="A1:B1"/>
    <mergeCell ref="A2:B2"/>
    <mergeCell ref="C2:G2"/>
    <mergeCell ref="A24:C24"/>
    <mergeCell ref="F22:G22"/>
    <mergeCell ref="A23:B23"/>
    <mergeCell ref="F23:G23"/>
    <mergeCell ref="A3:G3"/>
    <mergeCell ref="B21:C21"/>
    <mergeCell ref="A20:B20"/>
  </mergeCells>
  <pageMargins left="0.44" right="0.33" top="0.35" bottom="0.22" header="0.54" footer="0.21"/>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81"/>
  <sheetViews>
    <sheetView zoomScale="106" zoomScaleNormal="106" zoomScalePageLayoutView="106" workbookViewId="0">
      <pane xSplit="2" ySplit="5" topLeftCell="C41" activePane="bottomRight" state="frozen"/>
      <selection pane="topRight" activeCell="C1" sqref="C1"/>
      <selection pane="bottomLeft" activeCell="A8" sqref="A8"/>
      <selection pane="bottomRight" activeCell="B45" sqref="B45"/>
    </sheetView>
  </sheetViews>
  <sheetFormatPr defaultColWidth="9.1796875" defaultRowHeight="12.5" x14ac:dyDescent="0.25"/>
  <cols>
    <col min="1" max="1" width="5.1796875" style="75" customWidth="1"/>
    <col min="2" max="2" width="34.1796875" style="103" customWidth="1"/>
    <col min="3" max="3" width="9.81640625" style="103" customWidth="1"/>
    <col min="4" max="4" width="9.453125" style="103" customWidth="1"/>
    <col min="5" max="5" width="36.6328125" style="99" customWidth="1"/>
    <col min="6" max="16384" width="9.1796875" style="99"/>
  </cols>
  <sheetData>
    <row r="1" spans="1:5" ht="14.25" customHeight="1" x14ac:dyDescent="0.25">
      <c r="A1" s="1518" t="s">
        <v>137</v>
      </c>
      <c r="B1" s="1518"/>
      <c r="C1" s="94"/>
      <c r="D1" s="94"/>
      <c r="E1" s="38" t="s">
        <v>34</v>
      </c>
    </row>
    <row r="2" spans="1:5" ht="14.25" customHeight="1" x14ac:dyDescent="0.25">
      <c r="A2" s="1524" t="s">
        <v>563</v>
      </c>
      <c r="B2" s="1524"/>
      <c r="C2" s="106"/>
      <c r="D2" s="106"/>
      <c r="E2" s="106"/>
    </row>
    <row r="3" spans="1:5" ht="28.5" customHeight="1" x14ac:dyDescent="0.25">
      <c r="A3" s="1437" t="s">
        <v>932</v>
      </c>
      <c r="B3" s="1437"/>
      <c r="C3" s="1437"/>
      <c r="D3" s="1437"/>
      <c r="E3" s="1437"/>
    </row>
    <row r="4" spans="1:5" ht="13" x14ac:dyDescent="0.25">
      <c r="A4" s="108"/>
      <c r="B4" s="108"/>
      <c r="C4" s="108"/>
      <c r="D4" s="108"/>
      <c r="E4" s="96"/>
    </row>
    <row r="5" spans="1:5" ht="36.75" customHeight="1" x14ac:dyDescent="0.25">
      <c r="A5" s="226" t="s">
        <v>0</v>
      </c>
      <c r="B5" s="226" t="s">
        <v>9</v>
      </c>
      <c r="C5" s="226" t="s">
        <v>35</v>
      </c>
      <c r="D5" s="226" t="s">
        <v>10</v>
      </c>
      <c r="E5" s="226" t="s">
        <v>70</v>
      </c>
    </row>
    <row r="6" spans="1:5" s="107" customFormat="1" ht="28.5" customHeight="1" x14ac:dyDescent="0.25">
      <c r="A6" s="226"/>
      <c r="B6" s="227" t="s">
        <v>986</v>
      </c>
      <c r="C6" s="226"/>
      <c r="D6" s="226"/>
      <c r="E6" s="226"/>
    </row>
    <row r="7" spans="1:5" ht="18.75" customHeight="1" x14ac:dyDescent="0.25">
      <c r="A7" s="226"/>
      <c r="B7" s="227" t="s">
        <v>343</v>
      </c>
      <c r="C7" s="226"/>
      <c r="D7" s="226"/>
      <c r="E7" s="226"/>
    </row>
    <row r="8" spans="1:5" ht="18.75" customHeight="1" x14ac:dyDescent="0.25">
      <c r="A8" s="226"/>
      <c r="B8" s="227" t="s">
        <v>987</v>
      </c>
      <c r="C8" s="226"/>
      <c r="D8" s="226"/>
      <c r="E8" s="226"/>
    </row>
    <row r="9" spans="1:5" ht="30" customHeight="1" x14ac:dyDescent="0.25">
      <c r="A9" s="226"/>
      <c r="B9" s="228" t="s">
        <v>872</v>
      </c>
      <c r="C9" s="226"/>
      <c r="D9" s="226"/>
      <c r="E9" s="226"/>
    </row>
    <row r="10" spans="1:5" ht="29.25" customHeight="1" x14ac:dyDescent="0.25">
      <c r="A10" s="226"/>
      <c r="B10" s="228" t="s">
        <v>863</v>
      </c>
      <c r="C10" s="226"/>
      <c r="D10" s="226"/>
      <c r="E10" s="226"/>
    </row>
    <row r="11" spans="1:5" ht="18.75" customHeight="1" x14ac:dyDescent="0.25">
      <c r="A11" s="226"/>
      <c r="B11" s="217" t="s">
        <v>864</v>
      </c>
      <c r="C11" s="226"/>
      <c r="D11" s="226"/>
      <c r="E11" s="226"/>
    </row>
    <row r="12" spans="1:5" ht="18.75" customHeight="1" x14ac:dyDescent="0.25">
      <c r="A12" s="226"/>
      <c r="B12" s="229" t="s">
        <v>985</v>
      </c>
      <c r="C12" s="226"/>
      <c r="D12" s="226"/>
      <c r="E12" s="226"/>
    </row>
    <row r="13" spans="1:5" ht="25.5" customHeight="1" x14ac:dyDescent="0.25">
      <c r="A13" s="226" t="s">
        <v>7</v>
      </c>
      <c r="B13" s="230" t="s">
        <v>173</v>
      </c>
      <c r="C13" s="226"/>
      <c r="D13" s="226"/>
      <c r="E13" s="226"/>
    </row>
    <row r="14" spans="1:5" ht="29" customHeight="1" x14ac:dyDescent="0.25">
      <c r="A14" s="218">
        <v>1</v>
      </c>
      <c r="B14" s="228" t="s">
        <v>358</v>
      </c>
      <c r="C14" s="226"/>
      <c r="D14" s="226"/>
      <c r="E14" s="940" t="s">
        <v>993</v>
      </c>
    </row>
    <row r="15" spans="1:5" ht="26" customHeight="1" x14ac:dyDescent="0.25">
      <c r="A15" s="218">
        <v>2</v>
      </c>
      <c r="B15" s="228" t="s">
        <v>359</v>
      </c>
      <c r="C15" s="226"/>
      <c r="D15" s="226"/>
      <c r="E15" s="940" t="s">
        <v>993</v>
      </c>
    </row>
    <row r="16" spans="1:5" s="101" customFormat="1" ht="15.75" customHeight="1" x14ac:dyDescent="0.25">
      <c r="A16" s="225" t="s">
        <v>7</v>
      </c>
      <c r="B16" s="219" t="s">
        <v>360</v>
      </c>
      <c r="C16" s="225"/>
      <c r="D16" s="225"/>
      <c r="E16" s="231"/>
    </row>
    <row r="17" spans="1:5" s="101" customFormat="1" ht="15.75" customHeight="1" x14ac:dyDescent="0.25">
      <c r="A17" s="220"/>
      <c r="B17" s="931" t="s">
        <v>984</v>
      </c>
      <c r="C17" s="932"/>
      <c r="D17" s="932"/>
      <c r="E17" s="933"/>
    </row>
    <row r="18" spans="1:5" s="101" customFormat="1" ht="15.75" customHeight="1" x14ac:dyDescent="0.25">
      <c r="A18" s="220"/>
      <c r="B18" s="931" t="s">
        <v>859</v>
      </c>
      <c r="C18" s="932"/>
      <c r="D18" s="932"/>
      <c r="E18" s="933"/>
    </row>
    <row r="19" spans="1:5" s="101" customFormat="1" ht="17.25" customHeight="1" x14ac:dyDescent="0.25">
      <c r="A19" s="220"/>
      <c r="B19" s="931" t="s">
        <v>327</v>
      </c>
      <c r="C19" s="932" t="s">
        <v>332</v>
      </c>
      <c r="D19" s="932" t="s">
        <v>362</v>
      </c>
      <c r="E19" s="808" t="s">
        <v>860</v>
      </c>
    </row>
    <row r="20" spans="1:5" s="101" customFormat="1" ht="15.75" customHeight="1" x14ac:dyDescent="0.25">
      <c r="A20" s="220"/>
      <c r="B20" s="931" t="s">
        <v>363</v>
      </c>
      <c r="C20" s="932"/>
      <c r="D20" s="932"/>
      <c r="E20" s="934"/>
    </row>
    <row r="21" spans="1:5" s="101" customFormat="1" ht="35" customHeight="1" x14ac:dyDescent="0.25">
      <c r="A21" s="220"/>
      <c r="B21" s="931" t="s">
        <v>995</v>
      </c>
      <c r="C21" s="932"/>
      <c r="D21" s="932"/>
      <c r="E21" s="943" t="s">
        <v>996</v>
      </c>
    </row>
    <row r="22" spans="1:5" s="101" customFormat="1" ht="15.75" customHeight="1" x14ac:dyDescent="0.25">
      <c r="A22" s="443" t="s">
        <v>8</v>
      </c>
      <c r="B22" s="426" t="s">
        <v>364</v>
      </c>
      <c r="C22" s="443"/>
      <c r="D22" s="443"/>
      <c r="E22" s="444"/>
    </row>
    <row r="23" spans="1:5" s="101" customFormat="1" ht="31" customHeight="1" x14ac:dyDescent="0.25">
      <c r="A23" s="428"/>
      <c r="B23" s="941" t="s">
        <v>997</v>
      </c>
      <c r="C23" s="428"/>
      <c r="D23" s="428"/>
      <c r="E23" s="330"/>
    </row>
    <row r="24" spans="1:5" s="101" customFormat="1" ht="15.75" customHeight="1" x14ac:dyDescent="0.25">
      <c r="A24" s="428"/>
      <c r="B24" s="445" t="s">
        <v>957</v>
      </c>
      <c r="C24" s="428"/>
      <c r="D24" s="428"/>
      <c r="E24" s="330"/>
    </row>
    <row r="25" spans="1:5" s="101" customFormat="1" ht="25" customHeight="1" x14ac:dyDescent="0.25">
      <c r="A25" s="428"/>
      <c r="B25" s="941" t="s">
        <v>926</v>
      </c>
      <c r="C25" s="942"/>
      <c r="D25" s="942" t="s">
        <v>362</v>
      </c>
      <c r="E25" s="943" t="s">
        <v>994</v>
      </c>
    </row>
    <row r="26" spans="1:5" s="101" customFormat="1" ht="15.75" customHeight="1" x14ac:dyDescent="0.25">
      <c r="A26" s="428"/>
      <c r="B26" s="445" t="s">
        <v>886</v>
      </c>
      <c r="C26" s="428"/>
      <c r="D26" s="428"/>
      <c r="E26" s="330"/>
    </row>
    <row r="27" spans="1:5" s="101" customFormat="1" ht="21" customHeight="1" x14ac:dyDescent="0.25">
      <c r="A27" s="428"/>
      <c r="B27" s="445" t="s">
        <v>885</v>
      </c>
      <c r="C27" s="428"/>
      <c r="D27" s="428"/>
      <c r="E27" s="330"/>
    </row>
    <row r="28" spans="1:5" s="101" customFormat="1" ht="21" customHeight="1" x14ac:dyDescent="0.25">
      <c r="A28" s="224" t="s">
        <v>25</v>
      </c>
      <c r="B28" s="222" t="s">
        <v>294</v>
      </c>
      <c r="C28" s="211"/>
      <c r="D28" s="211"/>
      <c r="E28" s="446"/>
    </row>
    <row r="29" spans="1:5" s="101" customFormat="1" ht="32" customHeight="1" x14ac:dyDescent="0.25">
      <c r="A29" s="942">
        <v>1</v>
      </c>
      <c r="B29" s="445" t="s">
        <v>925</v>
      </c>
      <c r="C29" s="428"/>
      <c r="D29" s="428"/>
      <c r="E29" s="330"/>
    </row>
    <row r="30" spans="1:5" s="101" customFormat="1" ht="27" customHeight="1" x14ac:dyDescent="0.25">
      <c r="A30" s="942">
        <v>2</v>
      </c>
      <c r="B30" s="445" t="s">
        <v>365</v>
      </c>
      <c r="C30" s="807"/>
      <c r="D30" s="807"/>
      <c r="E30" s="808"/>
    </row>
    <row r="31" spans="1:5" s="101" customFormat="1" ht="22" customHeight="1" x14ac:dyDescent="0.25">
      <c r="A31" s="942" t="s">
        <v>131</v>
      </c>
      <c r="B31" s="445" t="s">
        <v>886</v>
      </c>
      <c r="C31" s="807"/>
      <c r="D31" s="807"/>
      <c r="E31" s="808"/>
    </row>
    <row r="32" spans="1:5" s="101" customFormat="1" ht="35" customHeight="1" x14ac:dyDescent="0.25">
      <c r="A32" s="942">
        <v>3</v>
      </c>
      <c r="B32" s="941" t="s">
        <v>1004</v>
      </c>
      <c r="C32" s="942"/>
      <c r="D32" s="942" t="s">
        <v>366</v>
      </c>
      <c r="E32" s="808"/>
    </row>
    <row r="33" spans="1:5" s="101" customFormat="1" ht="56" customHeight="1" x14ac:dyDescent="0.25">
      <c r="A33" s="942">
        <v>4</v>
      </c>
      <c r="B33" s="941" t="s">
        <v>998</v>
      </c>
      <c r="C33" s="942"/>
      <c r="D33" s="942"/>
      <c r="E33" s="943" t="s">
        <v>1005</v>
      </c>
    </row>
    <row r="34" spans="1:5" s="101" customFormat="1" ht="57" customHeight="1" x14ac:dyDescent="0.25">
      <c r="A34" s="942" t="s">
        <v>999</v>
      </c>
      <c r="B34" s="941" t="s">
        <v>1000</v>
      </c>
      <c r="C34" s="942"/>
      <c r="D34" s="942"/>
      <c r="E34" s="943" t="s">
        <v>1006</v>
      </c>
    </row>
    <row r="35" spans="1:5" s="101" customFormat="1" ht="67" customHeight="1" x14ac:dyDescent="0.25">
      <c r="A35" s="942" t="s">
        <v>1001</v>
      </c>
      <c r="B35" s="941" t="s">
        <v>1002</v>
      </c>
      <c r="C35" s="942"/>
      <c r="D35" s="942"/>
      <c r="E35" s="943" t="s">
        <v>1003</v>
      </c>
    </row>
    <row r="36" spans="1:5" s="101" customFormat="1" ht="15.75" customHeight="1" x14ac:dyDescent="0.25">
      <c r="A36" s="224" t="s">
        <v>36</v>
      </c>
      <c r="B36" s="222" t="s">
        <v>367</v>
      </c>
      <c r="C36" s="211"/>
      <c r="D36" s="211"/>
      <c r="E36" s="446"/>
    </row>
    <row r="37" spans="1:5" s="101" customFormat="1" ht="15.75" customHeight="1" x14ac:dyDescent="0.25">
      <c r="A37" s="942">
        <v>1</v>
      </c>
      <c r="B37" s="941" t="s">
        <v>922</v>
      </c>
      <c r="C37" s="942"/>
      <c r="D37" s="942"/>
      <c r="E37" s="943"/>
    </row>
    <row r="38" spans="1:5" s="101" customFormat="1" ht="21" customHeight="1" x14ac:dyDescent="0.25">
      <c r="A38" s="942">
        <v>2</v>
      </c>
      <c r="B38" s="941" t="s">
        <v>931</v>
      </c>
      <c r="C38" s="942"/>
      <c r="D38" s="942"/>
      <c r="E38" s="943"/>
    </row>
    <row r="39" spans="1:5" s="101" customFormat="1" ht="25.5" customHeight="1" x14ac:dyDescent="0.25">
      <c r="A39" s="942" t="s">
        <v>131</v>
      </c>
      <c r="B39" s="941" t="s">
        <v>342</v>
      </c>
      <c r="C39" s="942"/>
      <c r="D39" s="942" t="s">
        <v>362</v>
      </c>
      <c r="E39" s="943" t="s">
        <v>862</v>
      </c>
    </row>
    <row r="40" spans="1:5" s="101" customFormat="1" ht="25.5" customHeight="1" x14ac:dyDescent="0.25">
      <c r="A40" s="942">
        <v>3</v>
      </c>
      <c r="B40" s="941" t="s">
        <v>365</v>
      </c>
      <c r="C40" s="942"/>
      <c r="D40" s="942"/>
      <c r="E40" s="943"/>
    </row>
    <row r="41" spans="1:5" s="101" customFormat="1" ht="28" customHeight="1" x14ac:dyDescent="0.25">
      <c r="A41" s="942">
        <v>4</v>
      </c>
      <c r="B41" s="941" t="s">
        <v>1004</v>
      </c>
      <c r="C41" s="942"/>
      <c r="D41" s="942"/>
      <c r="E41" s="943" t="s">
        <v>1007</v>
      </c>
    </row>
    <row r="42" spans="1:5" s="101" customFormat="1" ht="15.75" customHeight="1" x14ac:dyDescent="0.25">
      <c r="A42" s="232" t="s">
        <v>40</v>
      </c>
      <c r="B42" s="222" t="s">
        <v>368</v>
      </c>
      <c r="C42" s="211"/>
      <c r="D42" s="211"/>
      <c r="E42" s="446"/>
    </row>
    <row r="43" spans="1:5" s="101" customFormat="1" ht="22" customHeight="1" x14ac:dyDescent="0.25">
      <c r="A43" s="447"/>
      <c r="B43" s="812" t="s">
        <v>361</v>
      </c>
      <c r="C43" s="807"/>
      <c r="D43" s="807"/>
      <c r="E43" s="808"/>
    </row>
    <row r="44" spans="1:5" s="101" customFormat="1" ht="15.75" customHeight="1" x14ac:dyDescent="0.25">
      <c r="A44" s="447"/>
      <c r="B44" s="812" t="s">
        <v>365</v>
      </c>
      <c r="C44" s="817"/>
      <c r="D44" s="817"/>
      <c r="E44" s="817"/>
    </row>
    <row r="45" spans="1:5" s="101" customFormat="1" ht="59" customHeight="1" x14ac:dyDescent="0.3">
      <c r="A45" s="448"/>
      <c r="B45" s="818" t="s">
        <v>1008</v>
      </c>
      <c r="C45" s="819"/>
      <c r="D45" s="819"/>
      <c r="E45" s="801" t="s">
        <v>971</v>
      </c>
    </row>
    <row r="46" spans="1:5" s="101" customFormat="1" ht="34.5" customHeight="1" x14ac:dyDescent="0.25">
      <c r="A46" s="599" t="s">
        <v>579</v>
      </c>
      <c r="B46" s="596" t="s">
        <v>487</v>
      </c>
      <c r="C46" s="595"/>
      <c r="D46" s="595"/>
      <c r="E46" s="598"/>
    </row>
    <row r="47" spans="1:5" s="101" customFormat="1" ht="34.5" customHeight="1" x14ac:dyDescent="0.25">
      <c r="A47" s="595"/>
      <c r="B47" s="597" t="s">
        <v>754</v>
      </c>
      <c r="C47" s="595"/>
      <c r="D47" s="595"/>
      <c r="E47" s="597" t="s">
        <v>989</v>
      </c>
    </row>
    <row r="48" spans="1:5" s="101" customFormat="1" ht="34.5" customHeight="1" x14ac:dyDescent="0.25">
      <c r="A48" s="595"/>
      <c r="B48" s="597" t="s">
        <v>755</v>
      </c>
      <c r="C48" s="595"/>
      <c r="D48" s="595"/>
      <c r="E48" s="597" t="s">
        <v>881</v>
      </c>
    </row>
    <row r="49" spans="1:6" s="101" customFormat="1" ht="39" x14ac:dyDescent="0.25">
      <c r="A49" s="595"/>
      <c r="B49" s="597" t="s">
        <v>882</v>
      </c>
      <c r="C49" s="595"/>
      <c r="D49" s="595"/>
      <c r="E49" s="597"/>
    </row>
    <row r="50" spans="1:6" s="101" customFormat="1" ht="34.5" customHeight="1" x14ac:dyDescent="0.25">
      <c r="A50" s="595"/>
      <c r="B50" s="449" t="s">
        <v>988</v>
      </c>
      <c r="C50" s="595"/>
      <c r="D50" s="595"/>
      <c r="E50" s="597"/>
    </row>
    <row r="51" spans="1:6" s="101" customFormat="1" ht="36.75" customHeight="1" x14ac:dyDescent="0.25">
      <c r="A51" s="450"/>
      <c r="B51" s="1525" t="s">
        <v>990</v>
      </c>
      <c r="C51" s="1525"/>
      <c r="D51" s="1525"/>
      <c r="E51" s="1525"/>
    </row>
    <row r="52" spans="1:6" ht="18.75" customHeight="1" x14ac:dyDescent="0.25">
      <c r="A52" s="73"/>
      <c r="B52" s="93"/>
      <c r="C52" s="93"/>
      <c r="D52" s="93"/>
      <c r="E52" s="96" t="s">
        <v>972</v>
      </c>
    </row>
    <row r="53" spans="1:6" ht="13.5" customHeight="1" x14ac:dyDescent="0.25">
      <c r="A53" s="73"/>
      <c r="B53" s="94"/>
      <c r="C53" s="93"/>
      <c r="D53" s="93"/>
      <c r="E53" s="48" t="s">
        <v>21</v>
      </c>
    </row>
    <row r="54" spans="1:6" ht="71.25" customHeight="1" x14ac:dyDescent="0.25">
      <c r="A54" s="1523" t="s">
        <v>79</v>
      </c>
      <c r="B54" s="1523"/>
      <c r="C54" s="1523"/>
      <c r="D54" s="1523"/>
      <c r="E54" s="48"/>
    </row>
    <row r="55" spans="1:6" ht="13" x14ac:dyDescent="0.25">
      <c r="A55" s="73"/>
      <c r="B55" s="93"/>
      <c r="C55" s="93"/>
      <c r="D55" s="93"/>
      <c r="E55" s="236" t="s">
        <v>766</v>
      </c>
      <c r="F55" s="94"/>
    </row>
    <row r="56" spans="1:6" ht="13" x14ac:dyDescent="0.25">
      <c r="A56" s="73"/>
      <c r="B56" s="93"/>
      <c r="C56" s="93"/>
      <c r="D56" s="93"/>
      <c r="E56" s="97"/>
    </row>
    <row r="57" spans="1:6" ht="13" x14ac:dyDescent="0.25">
      <c r="A57" s="73"/>
      <c r="B57" s="93"/>
      <c r="C57" s="93"/>
      <c r="D57" s="93"/>
      <c r="E57" s="97"/>
    </row>
    <row r="58" spans="1:6" ht="13" x14ac:dyDescent="0.25">
      <c r="A58" s="73"/>
      <c r="B58" s="93"/>
      <c r="C58" s="93"/>
      <c r="D58" s="93"/>
      <c r="E58" s="97"/>
    </row>
    <row r="59" spans="1:6" ht="13.5" customHeight="1" x14ac:dyDescent="0.25">
      <c r="A59" s="73"/>
      <c r="B59" s="93"/>
      <c r="C59" s="93"/>
      <c r="D59" s="93"/>
      <c r="E59" s="97"/>
    </row>
    <row r="60" spans="1:6" ht="13" x14ac:dyDescent="0.25">
      <c r="A60" s="73"/>
      <c r="B60" s="93"/>
      <c r="C60" s="93"/>
      <c r="D60" s="93"/>
      <c r="E60" s="97"/>
    </row>
    <row r="61" spans="1:6" ht="13" x14ac:dyDescent="0.25">
      <c r="A61" s="73"/>
      <c r="B61" s="93"/>
      <c r="C61" s="93"/>
      <c r="D61" s="93"/>
      <c r="E61" s="97"/>
    </row>
    <row r="62" spans="1:6" ht="13" x14ac:dyDescent="0.25">
      <c r="A62" s="73"/>
      <c r="B62" s="93"/>
      <c r="C62" s="93"/>
      <c r="D62" s="93"/>
      <c r="E62" s="97"/>
    </row>
    <row r="63" spans="1:6" ht="13" x14ac:dyDescent="0.25">
      <c r="A63" s="73"/>
      <c r="B63" s="93"/>
      <c r="C63" s="93"/>
      <c r="D63" s="93"/>
      <c r="E63" s="97"/>
    </row>
    <row r="64" spans="1:6" ht="13" x14ac:dyDescent="0.25">
      <c r="A64" s="73"/>
      <c r="B64" s="93"/>
      <c r="C64" s="93"/>
      <c r="D64" s="93"/>
      <c r="E64" s="97"/>
    </row>
    <row r="65" spans="1:5" ht="13" x14ac:dyDescent="0.25">
      <c r="A65" s="73"/>
      <c r="B65" s="93"/>
      <c r="C65" s="93"/>
      <c r="D65" s="93"/>
      <c r="E65" s="97"/>
    </row>
    <row r="66" spans="1:5" ht="13" x14ac:dyDescent="0.25">
      <c r="A66" s="73"/>
      <c r="B66" s="93"/>
      <c r="C66" s="93"/>
      <c r="D66" s="93"/>
      <c r="E66" s="97"/>
    </row>
    <row r="67" spans="1:5" ht="13" x14ac:dyDescent="0.25">
      <c r="A67" s="73"/>
      <c r="B67" s="93"/>
      <c r="C67" s="93"/>
      <c r="D67" s="93"/>
      <c r="E67" s="97"/>
    </row>
    <row r="68" spans="1:5" ht="13" x14ac:dyDescent="0.25">
      <c r="A68" s="73"/>
      <c r="B68" s="93"/>
      <c r="C68" s="93"/>
      <c r="D68" s="93"/>
      <c r="E68" s="97"/>
    </row>
    <row r="69" spans="1:5" ht="13" x14ac:dyDescent="0.25">
      <c r="A69" s="73"/>
      <c r="B69" s="93"/>
      <c r="C69" s="93"/>
      <c r="D69" s="93"/>
      <c r="E69" s="97"/>
    </row>
    <row r="70" spans="1:5" ht="13" x14ac:dyDescent="0.25">
      <c r="A70" s="73"/>
      <c r="B70" s="93"/>
      <c r="C70" s="93"/>
      <c r="D70" s="93"/>
      <c r="E70" s="97"/>
    </row>
    <row r="71" spans="1:5" ht="13" x14ac:dyDescent="0.25">
      <c r="A71" s="73"/>
      <c r="B71" s="93"/>
      <c r="C71" s="93"/>
      <c r="D71" s="93"/>
      <c r="E71" s="97"/>
    </row>
    <row r="72" spans="1:5" ht="13" x14ac:dyDescent="0.25">
      <c r="A72" s="73"/>
      <c r="B72" s="93"/>
      <c r="C72" s="93"/>
      <c r="D72" s="93"/>
      <c r="E72" s="97"/>
    </row>
    <row r="73" spans="1:5" ht="13" x14ac:dyDescent="0.25">
      <c r="A73" s="73"/>
      <c r="B73" s="93"/>
      <c r="C73" s="93"/>
      <c r="D73" s="93"/>
      <c r="E73" s="97"/>
    </row>
    <row r="74" spans="1:5" ht="13" x14ac:dyDescent="0.25">
      <c r="A74" s="73"/>
      <c r="B74" s="93"/>
      <c r="C74" s="93"/>
      <c r="D74" s="93"/>
      <c r="E74" s="97"/>
    </row>
    <row r="75" spans="1:5" ht="13" x14ac:dyDescent="0.25">
      <c r="A75" s="73"/>
      <c r="B75" s="93"/>
      <c r="C75" s="93"/>
      <c r="D75" s="93"/>
      <c r="E75" s="97"/>
    </row>
    <row r="76" spans="1:5" ht="13" x14ac:dyDescent="0.25">
      <c r="A76" s="73"/>
      <c r="B76" s="93"/>
      <c r="C76" s="93"/>
      <c r="D76" s="93"/>
      <c r="E76" s="97"/>
    </row>
    <row r="77" spans="1:5" ht="13" x14ac:dyDescent="0.25">
      <c r="A77" s="73"/>
      <c r="B77" s="93"/>
      <c r="C77" s="93"/>
      <c r="D77" s="93"/>
      <c r="E77" s="97"/>
    </row>
    <row r="78" spans="1:5" ht="13" x14ac:dyDescent="0.25">
      <c r="A78" s="73"/>
      <c r="B78" s="93"/>
      <c r="C78" s="93"/>
      <c r="D78" s="93"/>
      <c r="E78" s="97"/>
    </row>
    <row r="79" spans="1:5" ht="13" x14ac:dyDescent="0.25">
      <c r="A79" s="73"/>
      <c r="B79" s="93"/>
      <c r="C79" s="93"/>
      <c r="D79" s="93"/>
      <c r="E79" s="97"/>
    </row>
    <row r="80" spans="1:5" ht="13" x14ac:dyDescent="0.25">
      <c r="A80" s="73"/>
      <c r="B80" s="93"/>
      <c r="C80" s="93"/>
      <c r="D80" s="93"/>
      <c r="E80" s="97"/>
    </row>
    <row r="81" spans="1:5" ht="13" x14ac:dyDescent="0.25">
      <c r="A81" s="74"/>
      <c r="B81" s="102"/>
      <c r="C81" s="102"/>
      <c r="D81" s="102"/>
      <c r="E81" s="98"/>
    </row>
  </sheetData>
  <mergeCells count="5">
    <mergeCell ref="A3:E3"/>
    <mergeCell ref="A54:D54"/>
    <mergeCell ref="A1:B1"/>
    <mergeCell ref="A2:B2"/>
    <mergeCell ref="B51:E51"/>
  </mergeCells>
  <pageMargins left="0.46" right="0.33" top="0.51" bottom="0.42" header="0.51" footer="0.21"/>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36"/>
  <sheetViews>
    <sheetView topLeftCell="A14" workbookViewId="0">
      <selection activeCell="B32" sqref="B32"/>
    </sheetView>
  </sheetViews>
  <sheetFormatPr defaultColWidth="9.1796875" defaultRowHeight="13" x14ac:dyDescent="0.3"/>
  <cols>
    <col min="1" max="1" width="6.6328125" style="6" customWidth="1"/>
    <col min="2" max="2" width="47" style="6" customWidth="1"/>
    <col min="3" max="3" width="21.1796875" style="6" customWidth="1"/>
    <col min="4" max="4" width="14.6328125" style="5" customWidth="1"/>
    <col min="5" max="5" width="14" style="6" customWidth="1"/>
    <col min="6" max="16384" width="9.1796875" style="6"/>
  </cols>
  <sheetData>
    <row r="1" spans="1:5" ht="20" customHeight="1" x14ac:dyDescent="0.35">
      <c r="A1" s="109" t="s">
        <v>137</v>
      </c>
      <c r="B1" s="451"/>
      <c r="C1" s="451"/>
      <c r="D1" s="452"/>
      <c r="E1" s="38" t="s">
        <v>239</v>
      </c>
    </row>
    <row r="2" spans="1:5" ht="20" customHeight="1" x14ac:dyDescent="0.35">
      <c r="A2" s="453" t="s">
        <v>560</v>
      </c>
      <c r="B2" s="451"/>
      <c r="C2" s="451"/>
      <c r="D2" s="454" t="s">
        <v>523</v>
      </c>
    </row>
    <row r="3" spans="1:5" ht="20" customHeight="1" x14ac:dyDescent="0.3">
      <c r="A3" s="1526" t="s">
        <v>991</v>
      </c>
      <c r="B3" s="1526"/>
      <c r="C3" s="1526"/>
      <c r="D3" s="1526"/>
      <c r="E3" s="1526"/>
    </row>
    <row r="4" spans="1:5" ht="13.5" thickBot="1" x14ac:dyDescent="0.35">
      <c r="A4" s="468"/>
      <c r="B4" s="468"/>
      <c r="C4" s="468"/>
      <c r="D4" s="469"/>
      <c r="E4" s="469"/>
    </row>
    <row r="5" spans="1:5" ht="37.5" customHeight="1" thickTop="1" x14ac:dyDescent="0.3">
      <c r="A5" s="633" t="s">
        <v>0</v>
      </c>
      <c r="B5" s="634" t="s">
        <v>37</v>
      </c>
      <c r="C5" s="634" t="s">
        <v>112</v>
      </c>
      <c r="D5" s="634" t="s">
        <v>38</v>
      </c>
      <c r="E5" s="635" t="s">
        <v>2</v>
      </c>
    </row>
    <row r="6" spans="1:5" ht="33" customHeight="1" x14ac:dyDescent="0.3">
      <c r="A6" s="636" t="s">
        <v>7</v>
      </c>
      <c r="B6" s="627" t="s">
        <v>80</v>
      </c>
      <c r="C6" s="637"/>
      <c r="D6" s="651"/>
      <c r="E6" s="638"/>
    </row>
    <row r="7" spans="1:5" ht="18.75" customHeight="1" x14ac:dyDescent="0.3">
      <c r="A7" s="639">
        <v>1</v>
      </c>
      <c r="B7" s="640" t="s">
        <v>82</v>
      </c>
      <c r="C7" s="640"/>
      <c r="D7" s="1382">
        <v>1150000</v>
      </c>
      <c r="E7" s="641"/>
    </row>
    <row r="8" spans="1:5" ht="50" customHeight="1" x14ac:dyDescent="0.3">
      <c r="A8" s="1383" t="s">
        <v>369</v>
      </c>
      <c r="B8" s="1384" t="s">
        <v>594</v>
      </c>
      <c r="C8" s="1384" t="s">
        <v>595</v>
      </c>
      <c r="D8" s="1385">
        <v>650000</v>
      </c>
      <c r="E8" s="1386">
        <v>0.5</v>
      </c>
    </row>
    <row r="9" spans="1:5" ht="50" customHeight="1" x14ac:dyDescent="0.3">
      <c r="A9" s="1383">
        <v>1.2</v>
      </c>
      <c r="B9" s="1384" t="s">
        <v>1356</v>
      </c>
      <c r="C9" s="1384" t="s">
        <v>719</v>
      </c>
      <c r="D9" s="1385">
        <v>250000</v>
      </c>
      <c r="E9" s="1386">
        <v>0.5</v>
      </c>
    </row>
    <row r="10" spans="1:5" ht="18.75" customHeight="1" x14ac:dyDescent="0.3">
      <c r="A10" s="1387">
        <v>2</v>
      </c>
      <c r="B10" s="1388" t="s">
        <v>81</v>
      </c>
      <c r="C10" s="1388"/>
      <c r="D10" s="1389">
        <v>175000</v>
      </c>
      <c r="E10" s="1390"/>
    </row>
    <row r="11" spans="1:5" ht="46" customHeight="1" x14ac:dyDescent="0.3">
      <c r="A11" s="628">
        <v>2.1</v>
      </c>
      <c r="B11" s="630" t="s">
        <v>792</v>
      </c>
      <c r="C11" s="630" t="s">
        <v>793</v>
      </c>
      <c r="D11" s="653">
        <v>175000</v>
      </c>
      <c r="E11" s="642">
        <v>0.5</v>
      </c>
    </row>
    <row r="12" spans="1:5" ht="18.75" customHeight="1" x14ac:dyDescent="0.3">
      <c r="A12" s="639">
        <v>3</v>
      </c>
      <c r="B12" s="640" t="s">
        <v>83</v>
      </c>
      <c r="C12" s="640"/>
      <c r="D12" s="652"/>
      <c r="E12" s="641"/>
    </row>
    <row r="13" spans="1:5" ht="33.75" customHeight="1" x14ac:dyDescent="0.3">
      <c r="A13" s="643" t="s">
        <v>8</v>
      </c>
      <c r="B13" s="644" t="s">
        <v>113</v>
      </c>
      <c r="C13" s="644"/>
      <c r="D13" s="654"/>
      <c r="E13" s="645"/>
    </row>
    <row r="14" spans="1:5" ht="18.75" customHeight="1" x14ac:dyDescent="0.3">
      <c r="A14" s="626" t="s">
        <v>25</v>
      </c>
      <c r="B14" s="627" t="s">
        <v>794</v>
      </c>
      <c r="C14" s="627"/>
      <c r="D14" s="773">
        <f>SUM(D15:D20)</f>
        <v>60000</v>
      </c>
      <c r="E14" s="646"/>
    </row>
    <row r="15" spans="1:5" ht="28" x14ac:dyDescent="0.3">
      <c r="A15" s="1383">
        <v>3.1</v>
      </c>
      <c r="B15" s="1384" t="s">
        <v>1357</v>
      </c>
      <c r="C15" s="1384" t="s">
        <v>1358</v>
      </c>
      <c r="D15" s="1385">
        <v>10000</v>
      </c>
      <c r="E15" s="1391"/>
    </row>
    <row r="16" spans="1:5" ht="28" x14ac:dyDescent="0.3">
      <c r="A16" s="1383">
        <v>3.2</v>
      </c>
      <c r="B16" s="1384" t="s">
        <v>1359</v>
      </c>
      <c r="C16" s="1384" t="s">
        <v>1360</v>
      </c>
      <c r="D16" s="1385">
        <v>10000</v>
      </c>
      <c r="E16" s="1391"/>
    </row>
    <row r="17" spans="1:5" ht="14" x14ac:dyDescent="0.3">
      <c r="A17" s="769" t="s">
        <v>1361</v>
      </c>
      <c r="B17" s="1392" t="s">
        <v>1362</v>
      </c>
      <c r="C17" s="1392" t="s">
        <v>1363</v>
      </c>
      <c r="D17" s="1393">
        <v>10000</v>
      </c>
      <c r="E17" s="1394"/>
    </row>
    <row r="18" spans="1:5" ht="14" x14ac:dyDescent="0.3">
      <c r="A18" s="769">
        <v>3.4</v>
      </c>
      <c r="B18" s="1392" t="s">
        <v>1364</v>
      </c>
      <c r="C18" s="1392" t="s">
        <v>1363</v>
      </c>
      <c r="D18" s="1393">
        <v>10000</v>
      </c>
      <c r="E18" s="1394"/>
    </row>
    <row r="19" spans="1:5" ht="14" x14ac:dyDescent="0.3">
      <c r="A19" s="769">
        <v>3.5</v>
      </c>
      <c r="B19" s="1392" t="s">
        <v>1365</v>
      </c>
      <c r="C19" s="1392" t="s">
        <v>1363</v>
      </c>
      <c r="D19" s="1393">
        <v>10000</v>
      </c>
      <c r="E19" s="1394"/>
    </row>
    <row r="20" spans="1:5" ht="28" x14ac:dyDescent="0.3">
      <c r="A20" s="769">
        <v>3.6</v>
      </c>
      <c r="B20" s="1392" t="s">
        <v>1366</v>
      </c>
      <c r="C20" s="1392" t="s">
        <v>1363</v>
      </c>
      <c r="D20" s="1393">
        <v>10000</v>
      </c>
      <c r="E20" s="1394"/>
    </row>
    <row r="21" spans="1:5" ht="25" customHeight="1" x14ac:dyDescent="0.3">
      <c r="A21" s="626" t="s">
        <v>36</v>
      </c>
      <c r="B21" s="627" t="s">
        <v>795</v>
      </c>
      <c r="C21" s="627"/>
      <c r="D21" s="773">
        <f>SUM(D22:D28)</f>
        <v>120000</v>
      </c>
      <c r="E21" s="775"/>
    </row>
    <row r="22" spans="1:5" ht="33" customHeight="1" x14ac:dyDescent="0.3">
      <c r="A22" s="631">
        <v>4.0999999999999996</v>
      </c>
      <c r="B22" s="632" t="s">
        <v>933</v>
      </c>
      <c r="C22" s="632" t="s">
        <v>744</v>
      </c>
      <c r="D22" s="656">
        <v>20000</v>
      </c>
      <c r="E22" s="646"/>
    </row>
    <row r="23" spans="1:5" ht="33" customHeight="1" x14ac:dyDescent="0.3">
      <c r="A23" s="628">
        <v>4.2</v>
      </c>
      <c r="B23" s="629" t="s">
        <v>1367</v>
      </c>
      <c r="C23" s="630" t="s">
        <v>743</v>
      </c>
      <c r="D23" s="653">
        <v>20000</v>
      </c>
      <c r="E23" s="646"/>
    </row>
    <row r="24" spans="1:5" ht="33" customHeight="1" x14ac:dyDescent="0.3">
      <c r="A24" s="628">
        <v>4.3</v>
      </c>
      <c r="B24" s="629" t="s">
        <v>1368</v>
      </c>
      <c r="C24" s="630" t="s">
        <v>1369</v>
      </c>
      <c r="D24" s="653">
        <v>20000</v>
      </c>
      <c r="E24" s="646"/>
    </row>
    <row r="25" spans="1:5" ht="33" customHeight="1" x14ac:dyDescent="0.3">
      <c r="A25" s="628">
        <v>4.4000000000000004</v>
      </c>
      <c r="B25" s="629" t="s">
        <v>1370</v>
      </c>
      <c r="C25" s="630" t="s">
        <v>1371</v>
      </c>
      <c r="D25" s="653">
        <v>20000</v>
      </c>
      <c r="E25" s="646"/>
    </row>
    <row r="26" spans="1:5" ht="33" customHeight="1" x14ac:dyDescent="0.3">
      <c r="A26" s="628">
        <v>4.5</v>
      </c>
      <c r="B26" s="629" t="s">
        <v>1372</v>
      </c>
      <c r="C26" s="630" t="s">
        <v>1373</v>
      </c>
      <c r="D26" s="653">
        <v>20000</v>
      </c>
      <c r="E26" s="646"/>
    </row>
    <row r="27" spans="1:5" ht="33" customHeight="1" x14ac:dyDescent="0.3">
      <c r="A27" s="631">
        <v>4.5999999999999996</v>
      </c>
      <c r="B27" s="632" t="s">
        <v>1374</v>
      </c>
      <c r="C27" s="632" t="s">
        <v>1347</v>
      </c>
      <c r="D27" s="656">
        <v>20000</v>
      </c>
      <c r="E27" s="647"/>
    </row>
    <row r="28" spans="1:5" ht="18.75" customHeight="1" x14ac:dyDescent="0.3">
      <c r="A28" s="626" t="s">
        <v>40</v>
      </c>
      <c r="B28" s="627" t="s">
        <v>487</v>
      </c>
      <c r="C28" s="627"/>
      <c r="D28" s="655"/>
      <c r="E28" s="646"/>
    </row>
    <row r="29" spans="1:5" ht="14.5" thickBot="1" x14ac:dyDescent="0.35">
      <c r="A29" s="648"/>
      <c r="B29" s="649" t="s">
        <v>24</v>
      </c>
      <c r="C29" s="649"/>
      <c r="D29" s="1395">
        <f>D7+D10+D14+D21</f>
        <v>1505000</v>
      </c>
      <c r="E29" s="650"/>
    </row>
    <row r="30" spans="1:5" ht="14.5" thickTop="1" x14ac:dyDescent="0.3">
      <c r="A30" s="154"/>
      <c r="B30" s="455"/>
      <c r="C30" s="1527" t="s">
        <v>919</v>
      </c>
      <c r="D30" s="1527"/>
      <c r="E30" s="1527"/>
    </row>
    <row r="31" spans="1:5" ht="23" customHeight="1" x14ac:dyDescent="0.3">
      <c r="B31" s="935" t="s">
        <v>1375</v>
      </c>
      <c r="C31" s="1528" t="s">
        <v>114</v>
      </c>
      <c r="D31" s="1528"/>
      <c r="E31" s="1528"/>
    </row>
    <row r="32" spans="1:5" ht="42.75" customHeight="1" x14ac:dyDescent="0.3"/>
    <row r="33" spans="1:5" x14ac:dyDescent="0.3">
      <c r="A33" s="5"/>
      <c r="B33" s="7"/>
      <c r="C33" s="7"/>
      <c r="D33" s="175"/>
    </row>
    <row r="34" spans="1:5" x14ac:dyDescent="0.3">
      <c r="A34" s="5"/>
      <c r="B34" s="7"/>
      <c r="C34" s="7"/>
      <c r="D34" s="175"/>
    </row>
    <row r="35" spans="1:5" x14ac:dyDescent="0.3">
      <c r="A35" s="5"/>
      <c r="B35" s="7"/>
      <c r="C35" s="1473" t="s">
        <v>871</v>
      </c>
      <c r="D35" s="1473"/>
      <c r="E35" s="1473"/>
    </row>
    <row r="36" spans="1:5" ht="15.5" x14ac:dyDescent="0.35">
      <c r="A36" s="1529"/>
      <c r="B36" s="1529"/>
      <c r="C36" s="1529"/>
      <c r="D36" s="1529"/>
      <c r="E36" s="1529"/>
    </row>
  </sheetData>
  <mergeCells count="5">
    <mergeCell ref="A3:E3"/>
    <mergeCell ref="C35:E35"/>
    <mergeCell ref="C30:E30"/>
    <mergeCell ref="C31:E31"/>
    <mergeCell ref="A36:E36"/>
  </mergeCells>
  <pageMargins left="0.35" right="0.4" top="0.47" bottom="0.75" header="0.47"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77"/>
  <sheetViews>
    <sheetView zoomScale="150" zoomScaleNormal="150" workbookViewId="0">
      <selection activeCell="H57" sqref="H57"/>
    </sheetView>
  </sheetViews>
  <sheetFormatPr defaultColWidth="8.81640625" defaultRowHeight="12.5" x14ac:dyDescent="0.25"/>
  <cols>
    <col min="1" max="1" width="5.453125" style="1" customWidth="1"/>
    <col min="2" max="2" width="31.453125" style="2" customWidth="1"/>
    <col min="3" max="3" width="8.453125" style="2" customWidth="1"/>
    <col min="4" max="6" width="9.36328125" style="2" customWidth="1"/>
    <col min="7" max="8" width="9.36328125" customWidth="1"/>
  </cols>
  <sheetData>
    <row r="1" spans="1:13" ht="14.25" customHeight="1" x14ac:dyDescent="0.3">
      <c r="A1" s="1438" t="s">
        <v>3</v>
      </c>
      <c r="B1" s="1438"/>
      <c r="C1" s="10"/>
      <c r="D1" s="10"/>
      <c r="E1" s="10"/>
      <c r="F1" s="10"/>
      <c r="G1" s="594" t="s">
        <v>243</v>
      </c>
      <c r="H1" s="594"/>
      <c r="J1" s="6"/>
      <c r="K1" s="6"/>
      <c r="L1" s="6"/>
      <c r="M1" s="6"/>
    </row>
    <row r="2" spans="1:13" ht="13" x14ac:dyDescent="0.3">
      <c r="A2" s="1439" t="s">
        <v>574</v>
      </c>
      <c r="B2" s="1439"/>
      <c r="C2" s="10"/>
      <c r="D2" s="10"/>
      <c r="E2" s="10"/>
      <c r="F2" s="10"/>
      <c r="G2" s="10"/>
      <c r="H2" s="11"/>
      <c r="I2" s="11"/>
      <c r="J2" s="6"/>
      <c r="K2" s="6"/>
      <c r="L2" s="6"/>
      <c r="M2" s="6"/>
    </row>
    <row r="3" spans="1:13" ht="13" x14ac:dyDescent="0.3">
      <c r="A3" s="1437" t="s">
        <v>902</v>
      </c>
      <c r="B3" s="1437"/>
      <c r="C3" s="1437"/>
      <c r="D3" s="1437"/>
      <c r="E3" s="1437"/>
      <c r="F3" s="1437"/>
      <c r="G3" s="1437"/>
      <c r="H3" s="1437"/>
      <c r="I3" s="1437"/>
      <c r="J3" s="6"/>
      <c r="K3" s="6"/>
      <c r="L3" s="6"/>
      <c r="M3" s="6"/>
    </row>
    <row r="4" spans="1:13" ht="13.5" thickBot="1" x14ac:dyDescent="0.35">
      <c r="A4" s="51"/>
      <c r="B4" s="51"/>
      <c r="C4" s="51"/>
      <c r="D4" s="51"/>
      <c r="E4" s="51"/>
      <c r="F4" s="1440" t="s">
        <v>573</v>
      </c>
      <c r="G4" s="1440"/>
      <c r="H4" s="1440"/>
      <c r="J4" s="6"/>
      <c r="K4" s="6"/>
      <c r="L4" s="6"/>
      <c r="M4" s="6"/>
    </row>
    <row r="5" spans="1:13" ht="37.5" customHeight="1" thickTop="1" x14ac:dyDescent="0.3">
      <c r="A5" s="52" t="s">
        <v>0</v>
      </c>
      <c r="B5" s="53" t="s">
        <v>41</v>
      </c>
      <c r="C5" s="53" t="s">
        <v>1</v>
      </c>
      <c r="D5" s="151" t="s">
        <v>246</v>
      </c>
      <c r="E5" s="151" t="s">
        <v>247</v>
      </c>
      <c r="F5" s="151" t="s">
        <v>248</v>
      </c>
      <c r="G5" s="53" t="s">
        <v>68</v>
      </c>
      <c r="H5" s="54" t="s">
        <v>2</v>
      </c>
      <c r="I5" s="11"/>
      <c r="J5" s="6"/>
      <c r="K5" s="6"/>
      <c r="L5" s="6"/>
      <c r="M5" s="6"/>
    </row>
    <row r="6" spans="1:13" s="1" customFormat="1" ht="13" x14ac:dyDescent="0.3">
      <c r="A6" s="55" t="s">
        <v>115</v>
      </c>
      <c r="B6" s="50" t="s">
        <v>116</v>
      </c>
      <c r="C6" s="50" t="s">
        <v>117</v>
      </c>
      <c r="D6" s="50" t="s">
        <v>118</v>
      </c>
      <c r="E6" s="50" t="s">
        <v>119</v>
      </c>
      <c r="F6" s="50" t="s">
        <v>120</v>
      </c>
      <c r="G6" s="50" t="s">
        <v>121</v>
      </c>
      <c r="H6" s="56" t="s">
        <v>122</v>
      </c>
      <c r="I6" s="14"/>
      <c r="J6" s="5"/>
      <c r="K6" s="5"/>
      <c r="L6" s="5"/>
      <c r="M6" s="5"/>
    </row>
    <row r="7" spans="1:13" s="1" customFormat="1" ht="13" x14ac:dyDescent="0.3">
      <c r="A7" s="145" t="s">
        <v>6</v>
      </c>
      <c r="B7" s="152" t="s">
        <v>213</v>
      </c>
      <c r="C7" s="148"/>
      <c r="D7" s="148">
        <f>D8+D16+D22</f>
        <v>855</v>
      </c>
      <c r="E7" s="148">
        <f>E8+E16+E22</f>
        <v>924</v>
      </c>
      <c r="F7" s="148">
        <f>F8+F16+F22</f>
        <v>665</v>
      </c>
      <c r="G7" s="148">
        <f>G8+G16+G22</f>
        <v>2444</v>
      </c>
      <c r="H7" s="149"/>
      <c r="I7" s="14"/>
      <c r="J7" s="5"/>
      <c r="K7" s="5"/>
      <c r="L7" s="5"/>
      <c r="M7" s="5"/>
    </row>
    <row r="8" spans="1:13" s="36" customFormat="1" ht="32.25" customHeight="1" x14ac:dyDescent="0.25">
      <c r="A8" s="57" t="s">
        <v>7</v>
      </c>
      <c r="B8" s="602" t="s">
        <v>4</v>
      </c>
      <c r="C8" s="66" t="s">
        <v>67</v>
      </c>
      <c r="D8" s="95">
        <f>D9+D15</f>
        <v>778</v>
      </c>
      <c r="E8" s="95">
        <f>E9+E15</f>
        <v>829</v>
      </c>
      <c r="F8" s="95">
        <f>F9+F15</f>
        <v>141</v>
      </c>
      <c r="G8" s="148">
        <f>SUM(D8:F8)</f>
        <v>1748</v>
      </c>
      <c r="H8" s="67"/>
      <c r="I8" s="13"/>
      <c r="J8" s="9"/>
      <c r="K8" s="9"/>
      <c r="L8" s="9"/>
      <c r="M8" s="9"/>
    </row>
    <row r="9" spans="1:13" s="36" customFormat="1" ht="13" x14ac:dyDescent="0.25">
      <c r="A9" s="64" t="s">
        <v>124</v>
      </c>
      <c r="B9" s="65" t="s">
        <v>903</v>
      </c>
      <c r="C9" s="66" t="s">
        <v>67</v>
      </c>
      <c r="D9" s="66">
        <f>SUM(D10:D14)</f>
        <v>598</v>
      </c>
      <c r="E9" s="66">
        <f>SUM(E10:E14)</f>
        <v>629</v>
      </c>
      <c r="F9" s="66">
        <f>SUM(F10:F14)</f>
        <v>91</v>
      </c>
      <c r="G9" s="66">
        <f>SUM(D9:F9)</f>
        <v>1318</v>
      </c>
      <c r="H9" s="67"/>
      <c r="I9" s="13"/>
      <c r="J9" s="9"/>
      <c r="K9" s="9"/>
      <c r="L9" s="9"/>
      <c r="M9" s="9"/>
    </row>
    <row r="10" spans="1:13" s="36" customFormat="1" ht="13" x14ac:dyDescent="0.25">
      <c r="A10" s="64"/>
      <c r="B10" s="65" t="s">
        <v>888</v>
      </c>
      <c r="C10" s="66" t="s">
        <v>67</v>
      </c>
      <c r="D10" s="331">
        <v>77</v>
      </c>
      <c r="E10" s="331">
        <v>82</v>
      </c>
      <c r="F10" s="331">
        <v>17</v>
      </c>
      <c r="G10" s="66">
        <f t="shared" ref="G10:G15" si="0">SUM(D10:F10)</f>
        <v>176</v>
      </c>
      <c r="H10" s="67"/>
      <c r="I10" s="13"/>
      <c r="J10" s="9"/>
      <c r="K10" s="9"/>
      <c r="L10" s="9"/>
      <c r="M10" s="9"/>
    </row>
    <row r="11" spans="1:13" s="36" customFormat="1" ht="13" x14ac:dyDescent="0.25">
      <c r="A11" s="64"/>
      <c r="B11" s="65" t="s">
        <v>760</v>
      </c>
      <c r="C11" s="66" t="s">
        <v>67</v>
      </c>
      <c r="D11" s="674">
        <v>0</v>
      </c>
      <c r="E11" s="674">
        <v>0</v>
      </c>
      <c r="F11" s="674">
        <v>0</v>
      </c>
      <c r="G11" s="66">
        <f t="shared" si="0"/>
        <v>0</v>
      </c>
      <c r="H11" s="67"/>
      <c r="I11" s="13"/>
      <c r="J11" s="9"/>
      <c r="K11" s="9"/>
      <c r="L11" s="9"/>
      <c r="M11" s="9"/>
    </row>
    <row r="12" spans="1:13" s="36" customFormat="1" ht="13" x14ac:dyDescent="0.25">
      <c r="A12" s="64"/>
      <c r="B12" s="65" t="s">
        <v>575</v>
      </c>
      <c r="C12" s="66" t="s">
        <v>67</v>
      </c>
      <c r="D12" s="674">
        <v>168</v>
      </c>
      <c r="E12" s="674">
        <v>122</v>
      </c>
      <c r="F12" s="674">
        <v>30</v>
      </c>
      <c r="G12" s="66">
        <f t="shared" si="0"/>
        <v>320</v>
      </c>
      <c r="H12" s="67"/>
      <c r="I12" s="13"/>
      <c r="J12" s="9"/>
      <c r="K12" s="9"/>
      <c r="L12" s="9"/>
      <c r="M12" s="9"/>
    </row>
    <row r="13" spans="1:13" s="36" customFormat="1" ht="13" x14ac:dyDescent="0.25">
      <c r="A13" s="64"/>
      <c r="B13" s="65" t="s">
        <v>759</v>
      </c>
      <c r="C13" s="66" t="s">
        <v>67</v>
      </c>
      <c r="D13" s="674">
        <v>192</v>
      </c>
      <c r="E13" s="674">
        <v>175</v>
      </c>
      <c r="F13" s="331">
        <v>19</v>
      </c>
      <c r="G13" s="66">
        <f t="shared" si="0"/>
        <v>386</v>
      </c>
      <c r="H13" s="67"/>
      <c r="I13" s="13"/>
      <c r="J13" s="9"/>
      <c r="K13" s="9"/>
      <c r="L13" s="9"/>
      <c r="M13" s="9"/>
    </row>
    <row r="14" spans="1:13" s="36" customFormat="1" ht="13" x14ac:dyDescent="0.25">
      <c r="A14" s="64"/>
      <c r="B14" s="65" t="s">
        <v>889</v>
      </c>
      <c r="C14" s="66" t="s">
        <v>67</v>
      </c>
      <c r="D14" s="491">
        <v>161</v>
      </c>
      <c r="E14" s="491">
        <v>250</v>
      </c>
      <c r="F14" s="491">
        <v>25</v>
      </c>
      <c r="G14" s="66">
        <f t="shared" si="0"/>
        <v>436</v>
      </c>
      <c r="H14" s="67"/>
      <c r="I14" s="13"/>
      <c r="J14" s="9"/>
      <c r="K14" s="9"/>
      <c r="L14" s="9"/>
      <c r="M14" s="9"/>
    </row>
    <row r="15" spans="1:13" s="36" customFormat="1" ht="26" x14ac:dyDescent="0.25">
      <c r="A15" s="64" t="s">
        <v>578</v>
      </c>
      <c r="B15" s="65" t="s">
        <v>914</v>
      </c>
      <c r="C15" s="66" t="s">
        <v>67</v>
      </c>
      <c r="D15" s="66">
        <v>180</v>
      </c>
      <c r="E15" s="66">
        <v>200</v>
      </c>
      <c r="F15" s="66">
        <v>50</v>
      </c>
      <c r="G15" s="66">
        <f t="shared" si="0"/>
        <v>430</v>
      </c>
      <c r="H15" s="67"/>
      <c r="I15" s="13"/>
      <c r="J15" s="9"/>
      <c r="K15" s="9"/>
      <c r="L15" s="9"/>
      <c r="M15" s="9"/>
    </row>
    <row r="16" spans="1:13" s="36" customFormat="1" ht="13" x14ac:dyDescent="0.25">
      <c r="A16" s="70" t="s">
        <v>8</v>
      </c>
      <c r="B16" s="603" t="s">
        <v>217</v>
      </c>
      <c r="C16" s="66" t="s">
        <v>65</v>
      </c>
      <c r="D16" s="608">
        <f>D17+D20</f>
        <v>77</v>
      </c>
      <c r="E16" s="608">
        <f>E17+E20</f>
        <v>95</v>
      </c>
      <c r="F16" s="608">
        <f>F17+F20</f>
        <v>492</v>
      </c>
      <c r="G16" s="95">
        <f>SUM(D16:F16)</f>
        <v>664</v>
      </c>
      <c r="H16" s="67"/>
      <c r="I16" s="13"/>
      <c r="J16" s="9"/>
      <c r="K16" s="9"/>
      <c r="L16" s="9"/>
      <c r="M16" s="9"/>
    </row>
    <row r="17" spans="1:13" s="36" customFormat="1" ht="13" x14ac:dyDescent="0.25">
      <c r="A17" s="64" t="s">
        <v>124</v>
      </c>
      <c r="B17" s="65" t="s">
        <v>893</v>
      </c>
      <c r="C17" s="66" t="s">
        <v>65</v>
      </c>
      <c r="D17" s="778">
        <f>SUM(D18:D19)</f>
        <v>57</v>
      </c>
      <c r="E17" s="778">
        <f>SUM(E18:E19)</f>
        <v>75</v>
      </c>
      <c r="F17" s="778">
        <f>SUM(F18:F19)</f>
        <v>442</v>
      </c>
      <c r="G17" s="66">
        <f>SUM(D17:F17)</f>
        <v>574</v>
      </c>
      <c r="H17" s="67"/>
      <c r="I17" s="13"/>
      <c r="J17" s="9"/>
      <c r="K17" s="9"/>
      <c r="L17" s="9"/>
      <c r="M17" s="9"/>
    </row>
    <row r="18" spans="1:13" s="36" customFormat="1" ht="26" x14ac:dyDescent="0.25">
      <c r="A18" s="64"/>
      <c r="B18" s="65" t="s">
        <v>894</v>
      </c>
      <c r="C18" s="66" t="s">
        <v>65</v>
      </c>
      <c r="D18" s="778">
        <v>43</v>
      </c>
      <c r="E18" s="491">
        <v>35</v>
      </c>
      <c r="F18" s="778">
        <v>302</v>
      </c>
      <c r="G18" s="66">
        <f>SUM(D18:F18)</f>
        <v>380</v>
      </c>
      <c r="H18" s="67"/>
      <c r="I18" s="13"/>
      <c r="J18" s="9"/>
      <c r="K18" s="9"/>
      <c r="L18" s="9"/>
      <c r="M18" s="9"/>
    </row>
    <row r="19" spans="1:13" s="36" customFormat="1" ht="13" x14ac:dyDescent="0.25">
      <c r="A19" s="64"/>
      <c r="B19" s="65" t="s">
        <v>895</v>
      </c>
      <c r="C19" s="66" t="s">
        <v>65</v>
      </c>
      <c r="D19" s="66">
        <v>14</v>
      </c>
      <c r="E19" s="66">
        <v>40</v>
      </c>
      <c r="F19" s="66">
        <v>140</v>
      </c>
      <c r="G19" s="66">
        <f>SUM(D19:F19)</f>
        <v>194</v>
      </c>
      <c r="H19" s="67"/>
      <c r="I19" s="13"/>
      <c r="J19" s="9"/>
      <c r="K19" s="9"/>
      <c r="L19" s="9"/>
      <c r="M19" s="9"/>
    </row>
    <row r="20" spans="1:13" s="36" customFormat="1" ht="13" x14ac:dyDescent="0.25">
      <c r="A20" s="64">
        <v>1.2</v>
      </c>
      <c r="B20" s="65" t="s">
        <v>896</v>
      </c>
      <c r="C20" s="66"/>
      <c r="D20" s="779">
        <v>20</v>
      </c>
      <c r="E20" s="779">
        <v>20</v>
      </c>
      <c r="F20" s="779">
        <v>50</v>
      </c>
      <c r="G20" s="66">
        <f>D20+E20+F20</f>
        <v>90</v>
      </c>
      <c r="H20" s="67"/>
      <c r="I20" s="13"/>
      <c r="J20" s="9"/>
      <c r="K20" s="9"/>
      <c r="L20" s="9"/>
      <c r="M20" s="9"/>
    </row>
    <row r="21" spans="1:13" s="36" customFormat="1" ht="26" x14ac:dyDescent="0.25">
      <c r="A21" s="64">
        <v>1.3</v>
      </c>
      <c r="B21" s="65" t="s">
        <v>897</v>
      </c>
      <c r="C21" s="66" t="s">
        <v>65</v>
      </c>
      <c r="D21" s="66">
        <v>0</v>
      </c>
      <c r="E21" s="213">
        <v>0</v>
      </c>
      <c r="F21" s="66">
        <v>0</v>
      </c>
      <c r="G21" s="66">
        <f>D21+E21+F21</f>
        <v>0</v>
      </c>
      <c r="H21" s="67"/>
      <c r="I21" s="13"/>
      <c r="J21" s="9"/>
      <c r="K21" s="9"/>
      <c r="L21" s="9"/>
      <c r="M21" s="9"/>
    </row>
    <row r="22" spans="1:13" s="36" customFormat="1" ht="13" x14ac:dyDescent="0.25">
      <c r="A22" s="70" t="s">
        <v>25</v>
      </c>
      <c r="B22" s="603" t="s">
        <v>66</v>
      </c>
      <c r="C22" s="66" t="s">
        <v>65</v>
      </c>
      <c r="D22" s="95">
        <f>D23+D28</f>
        <v>0</v>
      </c>
      <c r="E22" s="95">
        <f>E23+E28</f>
        <v>0</v>
      </c>
      <c r="F22" s="95">
        <f>F23+F28</f>
        <v>32</v>
      </c>
      <c r="G22" s="95">
        <f t="shared" ref="G22:G28" si="1">SUM(D22:F22)</f>
        <v>32</v>
      </c>
      <c r="H22" s="67"/>
      <c r="I22" s="13"/>
      <c r="J22" s="9"/>
      <c r="K22" s="9"/>
      <c r="L22" s="9"/>
      <c r="M22" s="9"/>
    </row>
    <row r="23" spans="1:13" s="36" customFormat="1" ht="13" x14ac:dyDescent="0.25">
      <c r="A23" s="64" t="s">
        <v>124</v>
      </c>
      <c r="B23" s="65" t="s">
        <v>898</v>
      </c>
      <c r="C23" s="66" t="s">
        <v>65</v>
      </c>
      <c r="D23" s="66">
        <f>SUM(D24:D27)</f>
        <v>0</v>
      </c>
      <c r="E23" s="66">
        <f>SUM(E24:E27)</f>
        <v>0</v>
      </c>
      <c r="F23" s="66">
        <f>SUM(F24:F27)</f>
        <v>29</v>
      </c>
      <c r="G23" s="66">
        <f t="shared" si="1"/>
        <v>29</v>
      </c>
      <c r="H23" s="67"/>
      <c r="I23" s="13"/>
      <c r="J23" s="9"/>
      <c r="K23" s="9"/>
      <c r="L23" s="9"/>
      <c r="M23" s="9"/>
    </row>
    <row r="24" spans="1:13" s="36" customFormat="1" ht="13" x14ac:dyDescent="0.25">
      <c r="A24" s="64"/>
      <c r="B24" s="65" t="s">
        <v>899</v>
      </c>
      <c r="C24" s="66" t="s">
        <v>65</v>
      </c>
      <c r="D24" s="66">
        <v>0</v>
      </c>
      <c r="E24" s="66">
        <v>0</v>
      </c>
      <c r="F24" s="66">
        <v>9</v>
      </c>
      <c r="G24" s="66">
        <f t="shared" si="1"/>
        <v>9</v>
      </c>
      <c r="H24" s="67"/>
      <c r="I24" s="13"/>
      <c r="J24" s="9"/>
      <c r="K24" s="9"/>
      <c r="L24" s="9"/>
      <c r="M24" s="9"/>
    </row>
    <row r="25" spans="1:13" s="36" customFormat="1" ht="13" x14ac:dyDescent="0.25">
      <c r="A25" s="64"/>
      <c r="B25" s="65" t="s">
        <v>576</v>
      </c>
      <c r="C25" s="66" t="s">
        <v>65</v>
      </c>
      <c r="D25" s="66">
        <v>0</v>
      </c>
      <c r="E25" s="66">
        <v>0</v>
      </c>
      <c r="F25" s="66">
        <v>10</v>
      </c>
      <c r="G25" s="66">
        <f t="shared" si="1"/>
        <v>10</v>
      </c>
      <c r="H25" s="67"/>
      <c r="I25" s="13"/>
      <c r="J25" s="9"/>
      <c r="K25" s="9"/>
      <c r="L25" s="9"/>
      <c r="M25" s="9"/>
    </row>
    <row r="26" spans="1:13" s="36" customFormat="1" ht="13" x14ac:dyDescent="0.25">
      <c r="A26" s="64"/>
      <c r="B26" s="65" t="s">
        <v>762</v>
      </c>
      <c r="C26" s="66" t="s">
        <v>65</v>
      </c>
      <c r="D26" s="66">
        <v>0</v>
      </c>
      <c r="E26" s="66">
        <v>0</v>
      </c>
      <c r="F26" s="66">
        <v>5</v>
      </c>
      <c r="G26" s="66">
        <f t="shared" si="1"/>
        <v>5</v>
      </c>
      <c r="H26" s="67"/>
      <c r="I26" s="13"/>
      <c r="J26" s="9"/>
      <c r="K26" s="9"/>
      <c r="L26" s="9"/>
      <c r="M26" s="9"/>
    </row>
    <row r="27" spans="1:13" s="36" customFormat="1" ht="13" x14ac:dyDescent="0.25">
      <c r="A27" s="64"/>
      <c r="B27" s="65" t="s">
        <v>900</v>
      </c>
      <c r="C27" s="66" t="s">
        <v>65</v>
      </c>
      <c r="D27" s="66">
        <v>0</v>
      </c>
      <c r="E27" s="66">
        <v>0</v>
      </c>
      <c r="F27" s="66">
        <v>5</v>
      </c>
      <c r="G27" s="66">
        <f t="shared" si="1"/>
        <v>5</v>
      </c>
      <c r="H27" s="67"/>
      <c r="I27" s="13"/>
      <c r="J27" s="9"/>
      <c r="K27" s="9"/>
      <c r="L27" s="9"/>
      <c r="M27" s="9"/>
    </row>
    <row r="28" spans="1:13" s="36" customFormat="1" ht="26" x14ac:dyDescent="0.25">
      <c r="A28" s="64" t="s">
        <v>578</v>
      </c>
      <c r="B28" s="65" t="s">
        <v>901</v>
      </c>
      <c r="C28" s="66" t="s">
        <v>218</v>
      </c>
      <c r="D28" s="66">
        <f>D29+D32</f>
        <v>0</v>
      </c>
      <c r="E28" s="66">
        <f>E29+E32</f>
        <v>0</v>
      </c>
      <c r="F28" s="66">
        <v>3</v>
      </c>
      <c r="G28" s="66">
        <f t="shared" si="1"/>
        <v>3</v>
      </c>
      <c r="H28" s="67"/>
      <c r="I28" s="13"/>
      <c r="J28" s="9"/>
      <c r="K28" s="9"/>
      <c r="L28" s="9"/>
      <c r="M28" s="9"/>
    </row>
    <row r="29" spans="1:13" s="36" customFormat="1" ht="13" x14ac:dyDescent="0.25">
      <c r="A29" s="70" t="s">
        <v>36</v>
      </c>
      <c r="B29" s="146" t="s">
        <v>214</v>
      </c>
      <c r="C29" s="66" t="s">
        <v>218</v>
      </c>
      <c r="D29" s="66">
        <f>D30+D31</f>
        <v>0</v>
      </c>
      <c r="E29" s="66">
        <f>E30+E31</f>
        <v>0</v>
      </c>
      <c r="F29" s="66">
        <f>F30+F31</f>
        <v>0</v>
      </c>
      <c r="G29" s="66">
        <f>G30+G31</f>
        <v>0</v>
      </c>
      <c r="H29" s="67"/>
      <c r="I29" s="13"/>
      <c r="J29" s="9"/>
      <c r="K29" s="9"/>
      <c r="L29" s="9"/>
      <c r="M29" s="9"/>
    </row>
    <row r="30" spans="1:13" s="36" customFormat="1" ht="26" x14ac:dyDescent="0.25">
      <c r="A30" s="64" t="s">
        <v>124</v>
      </c>
      <c r="B30" s="65" t="s">
        <v>904</v>
      </c>
      <c r="C30" s="66" t="s">
        <v>218</v>
      </c>
      <c r="D30" s="66">
        <v>0</v>
      </c>
      <c r="E30" s="66">
        <v>0</v>
      </c>
      <c r="F30" s="66">
        <v>0</v>
      </c>
      <c r="G30" s="66">
        <v>0</v>
      </c>
      <c r="H30" s="67"/>
      <c r="I30" s="13"/>
      <c r="J30" s="9"/>
      <c r="K30" s="9"/>
      <c r="L30" s="9"/>
      <c r="M30" s="9"/>
    </row>
    <row r="31" spans="1:13" s="36" customFormat="1" ht="13" x14ac:dyDescent="0.25">
      <c r="A31" s="64"/>
      <c r="B31" s="65" t="s">
        <v>905</v>
      </c>
      <c r="C31" s="66" t="s">
        <v>218</v>
      </c>
      <c r="D31" s="66">
        <v>0</v>
      </c>
      <c r="E31" s="66">
        <v>0</v>
      </c>
      <c r="F31" s="66">
        <v>0</v>
      </c>
      <c r="G31" s="66">
        <v>0</v>
      </c>
      <c r="H31" s="67"/>
      <c r="I31" s="13"/>
      <c r="J31" s="9"/>
      <c r="K31" s="9"/>
      <c r="L31" s="9"/>
      <c r="M31" s="9"/>
    </row>
    <row r="32" spans="1:13" s="36" customFormat="1" ht="13" x14ac:dyDescent="0.25">
      <c r="A32" s="64"/>
      <c r="B32" s="65" t="s">
        <v>906</v>
      </c>
      <c r="C32" s="66" t="s">
        <v>218</v>
      </c>
      <c r="D32" s="66">
        <v>0</v>
      </c>
      <c r="E32" s="66">
        <v>0</v>
      </c>
      <c r="F32" s="66">
        <v>0</v>
      </c>
      <c r="G32" s="66">
        <v>0</v>
      </c>
      <c r="H32" s="67"/>
      <c r="I32" s="13"/>
      <c r="J32" s="9"/>
      <c r="K32" s="9"/>
      <c r="L32" s="9"/>
      <c r="M32" s="9"/>
    </row>
    <row r="33" spans="1:13" s="36" customFormat="1" ht="26" x14ac:dyDescent="0.25">
      <c r="A33" s="64" t="s">
        <v>578</v>
      </c>
      <c r="B33" s="65" t="s">
        <v>907</v>
      </c>
      <c r="C33" s="66" t="s">
        <v>218</v>
      </c>
      <c r="D33" s="95">
        <f>D34+D37</f>
        <v>0</v>
      </c>
      <c r="E33" s="95">
        <f>E34+E37</f>
        <v>0</v>
      </c>
      <c r="F33" s="95">
        <f>F34+F37</f>
        <v>0</v>
      </c>
      <c r="G33" s="95">
        <f>G34+G37</f>
        <v>0</v>
      </c>
      <c r="H33" s="95"/>
      <c r="I33" s="13"/>
      <c r="J33" s="9"/>
      <c r="K33" s="9"/>
      <c r="L33" s="9"/>
      <c r="M33" s="9"/>
    </row>
    <row r="34" spans="1:13" s="36" customFormat="1" ht="13" x14ac:dyDescent="0.25">
      <c r="A34" s="70" t="s">
        <v>40</v>
      </c>
      <c r="B34" s="146" t="s">
        <v>577</v>
      </c>
      <c r="C34" s="66" t="s">
        <v>218</v>
      </c>
      <c r="D34" s="66">
        <f t="shared" ref="D34:G38" si="2">D35+D36</f>
        <v>0</v>
      </c>
      <c r="E34" s="66">
        <f t="shared" si="2"/>
        <v>0</v>
      </c>
      <c r="F34" s="66">
        <f t="shared" si="2"/>
        <v>0</v>
      </c>
      <c r="G34" s="66">
        <f t="shared" si="2"/>
        <v>0</v>
      </c>
      <c r="H34" s="66"/>
      <c r="I34" s="13"/>
      <c r="J34" s="9"/>
      <c r="K34" s="9"/>
      <c r="L34" s="9"/>
      <c r="M34" s="9"/>
    </row>
    <row r="35" spans="1:13" s="36" customFormat="1" ht="26" x14ac:dyDescent="0.25">
      <c r="A35" s="64" t="s">
        <v>124</v>
      </c>
      <c r="B35" s="65" t="s">
        <v>904</v>
      </c>
      <c r="C35" s="66" t="s">
        <v>218</v>
      </c>
      <c r="D35" s="66">
        <f t="shared" si="2"/>
        <v>0</v>
      </c>
      <c r="E35" s="66">
        <f t="shared" si="2"/>
        <v>0</v>
      </c>
      <c r="F35" s="66">
        <f t="shared" si="2"/>
        <v>0</v>
      </c>
      <c r="G35" s="66">
        <f t="shared" si="2"/>
        <v>0</v>
      </c>
      <c r="H35" s="66"/>
      <c r="I35" s="13"/>
      <c r="J35" s="9"/>
      <c r="K35" s="9"/>
      <c r="L35" s="9"/>
      <c r="M35" s="9"/>
    </row>
    <row r="36" spans="1:13" s="36" customFormat="1" ht="13" x14ac:dyDescent="0.25">
      <c r="A36" s="64"/>
      <c r="B36" s="65" t="s">
        <v>905</v>
      </c>
      <c r="C36" s="66" t="s">
        <v>218</v>
      </c>
      <c r="D36" s="66">
        <f t="shared" si="2"/>
        <v>0</v>
      </c>
      <c r="E36" s="66">
        <f t="shared" si="2"/>
        <v>0</v>
      </c>
      <c r="F36" s="66">
        <f t="shared" si="2"/>
        <v>0</v>
      </c>
      <c r="G36" s="66">
        <f t="shared" si="2"/>
        <v>0</v>
      </c>
      <c r="H36" s="66"/>
      <c r="I36" s="13"/>
      <c r="J36" s="9"/>
      <c r="K36" s="9"/>
      <c r="L36" s="9"/>
      <c r="M36" s="9"/>
    </row>
    <row r="37" spans="1:13" s="36" customFormat="1" ht="13" x14ac:dyDescent="0.25">
      <c r="A37" s="64"/>
      <c r="B37" s="65" t="s">
        <v>906</v>
      </c>
      <c r="C37" s="66" t="s">
        <v>218</v>
      </c>
      <c r="D37" s="66">
        <v>0</v>
      </c>
      <c r="E37" s="66">
        <v>0</v>
      </c>
      <c r="F37" s="66">
        <v>0</v>
      </c>
      <c r="G37" s="66">
        <v>0</v>
      </c>
      <c r="H37" s="66"/>
      <c r="I37" s="13"/>
      <c r="J37" s="9"/>
      <c r="K37" s="9"/>
      <c r="L37" s="9"/>
      <c r="M37" s="9"/>
    </row>
    <row r="38" spans="1:13" s="36" customFormat="1" ht="26" x14ac:dyDescent="0.25">
      <c r="A38" s="64" t="s">
        <v>578</v>
      </c>
      <c r="B38" s="65" t="s">
        <v>907</v>
      </c>
      <c r="C38" s="66" t="s">
        <v>219</v>
      </c>
      <c r="D38" s="66">
        <f t="shared" si="2"/>
        <v>0</v>
      </c>
      <c r="E38" s="66">
        <f t="shared" si="2"/>
        <v>0</v>
      </c>
      <c r="F38" s="66">
        <f t="shared" si="2"/>
        <v>0</v>
      </c>
      <c r="G38" s="66">
        <f t="shared" si="2"/>
        <v>0</v>
      </c>
      <c r="H38" s="67"/>
      <c r="I38" s="13"/>
      <c r="J38" s="9"/>
      <c r="K38" s="9"/>
      <c r="L38" s="9"/>
      <c r="M38" s="9"/>
    </row>
    <row r="39" spans="1:13" s="36" customFormat="1" ht="13" x14ac:dyDescent="0.25">
      <c r="A39" s="70" t="s">
        <v>579</v>
      </c>
      <c r="B39" s="146" t="s">
        <v>215</v>
      </c>
      <c r="C39" s="66"/>
      <c r="D39" s="71"/>
      <c r="E39" s="71"/>
      <c r="F39" s="71"/>
      <c r="G39" s="66"/>
      <c r="H39" s="67"/>
      <c r="I39" s="13"/>
      <c r="J39" s="9"/>
      <c r="K39" s="9"/>
      <c r="L39" s="9"/>
      <c r="M39" s="9"/>
    </row>
    <row r="40" spans="1:13" s="36" customFormat="1" ht="39" x14ac:dyDescent="0.25">
      <c r="A40" s="64"/>
      <c r="B40" s="65" t="s">
        <v>763</v>
      </c>
      <c r="C40" s="780"/>
      <c r="D40" s="796">
        <v>0</v>
      </c>
      <c r="E40" s="796">
        <v>0</v>
      </c>
      <c r="F40" s="796">
        <v>0</v>
      </c>
      <c r="G40" s="794">
        <v>0</v>
      </c>
      <c r="H40" s="67"/>
      <c r="I40" s="13"/>
      <c r="J40" s="9"/>
      <c r="K40" s="9"/>
      <c r="L40" s="9"/>
      <c r="M40" s="9"/>
    </row>
    <row r="41" spans="1:13" s="4" customFormat="1" ht="13" x14ac:dyDescent="0.25">
      <c r="A41" s="70" t="s">
        <v>19</v>
      </c>
      <c r="B41" s="146" t="s">
        <v>216</v>
      </c>
      <c r="C41" s="780"/>
      <c r="D41" s="797">
        <f>D42+D50+D57</f>
        <v>8200</v>
      </c>
      <c r="E41" s="797">
        <f>E42+E50+E57</f>
        <v>9178</v>
      </c>
      <c r="F41" s="797">
        <f>F42+F50+F57</f>
        <v>0</v>
      </c>
      <c r="G41" s="795">
        <f>G42+G50+G57</f>
        <v>17378</v>
      </c>
      <c r="H41" s="67"/>
      <c r="I41" s="13"/>
      <c r="J41" s="9"/>
      <c r="K41" s="9"/>
      <c r="L41" s="9"/>
      <c r="M41" s="9"/>
    </row>
    <row r="42" spans="1:13" s="4" customFormat="1" ht="27.75" customHeight="1" x14ac:dyDescent="0.25">
      <c r="A42" s="68" t="s">
        <v>7</v>
      </c>
      <c r="B42" s="604" t="s">
        <v>764</v>
      </c>
      <c r="C42" s="780" t="s">
        <v>67</v>
      </c>
      <c r="D42" s="795">
        <f>D43+D49</f>
        <v>8200</v>
      </c>
      <c r="E42" s="795">
        <f>E43+E49</f>
        <v>9178</v>
      </c>
      <c r="F42" s="795">
        <f>F43+F49</f>
        <v>0</v>
      </c>
      <c r="G42" s="795">
        <f>G43+G49</f>
        <v>17378</v>
      </c>
      <c r="H42" s="67"/>
      <c r="I42" s="13"/>
      <c r="J42" s="9"/>
      <c r="K42" s="9"/>
      <c r="L42" s="9"/>
      <c r="M42" s="9"/>
    </row>
    <row r="43" spans="1:13" s="4" customFormat="1" ht="13" x14ac:dyDescent="0.25">
      <c r="A43" s="69" t="s">
        <v>124</v>
      </c>
      <c r="B43" s="65" t="s">
        <v>903</v>
      </c>
      <c r="C43" s="780" t="s">
        <v>67</v>
      </c>
      <c r="D43" s="795">
        <f>SUM(D44:D48)</f>
        <v>7500</v>
      </c>
      <c r="E43" s="795">
        <f>SUM(E44:E48)</f>
        <v>8378</v>
      </c>
      <c r="F43" s="795">
        <f>SUM(F44:F48)</f>
        <v>0</v>
      </c>
      <c r="G43" s="795">
        <f>SUM(G44:G48)</f>
        <v>15878</v>
      </c>
      <c r="H43" s="67"/>
      <c r="I43" s="13"/>
      <c r="J43" s="9"/>
      <c r="K43" s="9"/>
      <c r="L43" s="9"/>
      <c r="M43" s="9"/>
    </row>
    <row r="44" spans="1:13" s="4" customFormat="1" ht="13" x14ac:dyDescent="0.25">
      <c r="A44" s="69"/>
      <c r="B44" s="65" t="s">
        <v>149</v>
      </c>
      <c r="C44" s="780" t="s">
        <v>67</v>
      </c>
      <c r="D44" s="796">
        <v>1584</v>
      </c>
      <c r="E44" s="796">
        <v>588</v>
      </c>
      <c r="F44" s="798">
        <v>0</v>
      </c>
      <c r="G44" s="794">
        <f>SUM(D44:F44)</f>
        <v>2172</v>
      </c>
      <c r="H44" s="67"/>
      <c r="I44" s="13"/>
      <c r="J44" s="9"/>
      <c r="K44" s="9"/>
      <c r="L44" s="9"/>
      <c r="M44" s="9"/>
    </row>
    <row r="45" spans="1:13" s="4" customFormat="1" ht="13" x14ac:dyDescent="0.25">
      <c r="A45" s="69"/>
      <c r="B45" s="65" t="s">
        <v>575</v>
      </c>
      <c r="C45" s="780" t="s">
        <v>67</v>
      </c>
      <c r="D45" s="796">
        <v>1475</v>
      </c>
      <c r="E45" s="796">
        <v>946</v>
      </c>
      <c r="F45" s="798">
        <v>0</v>
      </c>
      <c r="G45" s="794">
        <f>SUM(D45:F45)</f>
        <v>2421</v>
      </c>
      <c r="H45" s="67"/>
      <c r="I45" s="13"/>
      <c r="J45" s="9"/>
      <c r="K45" s="9"/>
      <c r="L45" s="9"/>
      <c r="M45" s="9"/>
    </row>
    <row r="46" spans="1:13" s="4" customFormat="1" ht="13" x14ac:dyDescent="0.25">
      <c r="A46" s="69"/>
      <c r="B46" s="65" t="s">
        <v>759</v>
      </c>
      <c r="C46" s="780" t="s">
        <v>67</v>
      </c>
      <c r="D46" s="796">
        <v>1812</v>
      </c>
      <c r="E46" s="796">
        <v>1725</v>
      </c>
      <c r="F46" s="798">
        <v>0</v>
      </c>
      <c r="G46" s="794">
        <f>SUM(D46:F46)</f>
        <v>3537</v>
      </c>
      <c r="H46" s="67"/>
      <c r="I46" s="13"/>
      <c r="J46" s="9"/>
      <c r="K46" s="9"/>
      <c r="L46" s="9"/>
      <c r="M46" s="9"/>
    </row>
    <row r="47" spans="1:13" s="4" customFormat="1" ht="27" customHeight="1" x14ac:dyDescent="0.25">
      <c r="A47" s="69"/>
      <c r="B47" s="65" t="s">
        <v>889</v>
      </c>
      <c r="C47" s="780" t="s">
        <v>67</v>
      </c>
      <c r="D47" s="799">
        <v>1130</v>
      </c>
      <c r="E47" s="799">
        <v>3157</v>
      </c>
      <c r="F47" s="799">
        <v>0</v>
      </c>
      <c r="G47" s="794">
        <f>SUM(D47:F47)</f>
        <v>4287</v>
      </c>
      <c r="H47" s="67"/>
      <c r="I47" s="13"/>
      <c r="J47" s="9"/>
      <c r="K47" s="9"/>
      <c r="L47" s="9"/>
      <c r="M47" s="9"/>
    </row>
    <row r="48" spans="1:13" s="4" customFormat="1" ht="27" customHeight="1" x14ac:dyDescent="0.25">
      <c r="A48" s="69"/>
      <c r="B48" s="65" t="s">
        <v>909</v>
      </c>
      <c r="C48" s="780" t="s">
        <v>67</v>
      </c>
      <c r="D48" s="799">
        <v>1499</v>
      </c>
      <c r="E48" s="799">
        <v>1962</v>
      </c>
      <c r="F48" s="799">
        <v>0</v>
      </c>
      <c r="G48" s="794">
        <f>SUM(D48:F48)</f>
        <v>3461</v>
      </c>
      <c r="H48" s="67"/>
      <c r="I48" s="13"/>
      <c r="J48" s="9"/>
      <c r="K48" s="9"/>
      <c r="L48" s="9"/>
      <c r="M48" s="9"/>
    </row>
    <row r="49" spans="1:13" s="4" customFormat="1" ht="12.75" customHeight="1" x14ac:dyDescent="0.25">
      <c r="A49" s="64" t="s">
        <v>578</v>
      </c>
      <c r="B49" s="65" t="s">
        <v>892</v>
      </c>
      <c r="C49" s="780"/>
      <c r="D49" s="797">
        <v>700</v>
      </c>
      <c r="E49" s="797">
        <v>800</v>
      </c>
      <c r="F49" s="797">
        <v>0</v>
      </c>
      <c r="G49" s="795">
        <f>D49+E49+F49</f>
        <v>1500</v>
      </c>
      <c r="H49" s="67"/>
      <c r="I49" s="13"/>
      <c r="J49" s="9"/>
      <c r="K49" s="9"/>
      <c r="L49" s="9"/>
      <c r="M49" s="9"/>
    </row>
    <row r="50" spans="1:13" s="4" customFormat="1" ht="13" x14ac:dyDescent="0.25">
      <c r="A50" s="70" t="s">
        <v>8</v>
      </c>
      <c r="B50" s="603" t="s">
        <v>85</v>
      </c>
      <c r="C50" s="66" t="s">
        <v>67</v>
      </c>
      <c r="D50" s="82">
        <f>D51+D56</f>
        <v>0</v>
      </c>
      <c r="E50" s="82">
        <f>SUM(E51:E55)</f>
        <v>0</v>
      </c>
      <c r="F50" s="82">
        <f t="shared" ref="F50:G50" si="3">SUM(F51:F55)</f>
        <v>0</v>
      </c>
      <c r="G50" s="82">
        <f t="shared" si="3"/>
        <v>0</v>
      </c>
      <c r="H50" s="67"/>
      <c r="I50" s="13"/>
      <c r="J50" s="9"/>
      <c r="K50" s="9"/>
      <c r="L50" s="9"/>
      <c r="M50" s="9"/>
    </row>
    <row r="51" spans="1:13" s="4" customFormat="1" ht="13" x14ac:dyDescent="0.25">
      <c r="A51" s="64" t="s">
        <v>124</v>
      </c>
      <c r="B51" s="65" t="s">
        <v>903</v>
      </c>
      <c r="C51" s="66" t="s">
        <v>67</v>
      </c>
      <c r="D51" s="95">
        <f>SUM(D52:D55)</f>
        <v>0</v>
      </c>
      <c r="E51" s="95">
        <f>SUM(E52:E55)</f>
        <v>0</v>
      </c>
      <c r="F51" s="95">
        <f>SUM(F52:F55)</f>
        <v>0</v>
      </c>
      <c r="G51" s="95">
        <f>D51+E51+F51</f>
        <v>0</v>
      </c>
      <c r="H51" s="67"/>
      <c r="I51" s="13"/>
      <c r="J51" s="9"/>
      <c r="K51" s="9"/>
      <c r="L51" s="9"/>
      <c r="M51" s="9"/>
    </row>
    <row r="52" spans="1:13" s="4" customFormat="1" ht="13" x14ac:dyDescent="0.25">
      <c r="A52" s="64"/>
      <c r="B52" s="65" t="s">
        <v>765</v>
      </c>
      <c r="C52" s="66" t="s">
        <v>67</v>
      </c>
      <c r="D52" s="71">
        <v>0</v>
      </c>
      <c r="E52" s="71">
        <v>0</v>
      </c>
      <c r="F52" s="71">
        <v>0</v>
      </c>
      <c r="G52" s="788">
        <f>D52+E52+F52</f>
        <v>0</v>
      </c>
      <c r="H52" s="67"/>
      <c r="I52" s="13"/>
      <c r="J52" s="9"/>
      <c r="K52" s="9"/>
      <c r="L52" s="9"/>
      <c r="M52" s="9"/>
    </row>
    <row r="53" spans="1:13" s="4" customFormat="1" ht="13" x14ac:dyDescent="0.25">
      <c r="A53" s="64"/>
      <c r="B53" s="65" t="s">
        <v>149</v>
      </c>
      <c r="C53" s="780" t="s">
        <v>67</v>
      </c>
      <c r="D53" s="789">
        <v>0</v>
      </c>
      <c r="E53" s="789">
        <v>0</v>
      </c>
      <c r="F53" s="674">
        <v>0</v>
      </c>
      <c r="G53" s="675">
        <v>0</v>
      </c>
      <c r="H53" s="784"/>
      <c r="I53" s="13"/>
      <c r="J53" s="9"/>
      <c r="K53" s="9"/>
      <c r="L53" s="9"/>
      <c r="M53" s="9"/>
    </row>
    <row r="54" spans="1:13" s="4" customFormat="1" ht="13" x14ac:dyDescent="0.25">
      <c r="A54" s="64"/>
      <c r="B54" s="65" t="s">
        <v>575</v>
      </c>
      <c r="C54" s="780" t="s">
        <v>67</v>
      </c>
      <c r="D54" s="789">
        <v>0</v>
      </c>
      <c r="E54" s="789">
        <v>0</v>
      </c>
      <c r="F54" s="674">
        <v>0</v>
      </c>
      <c r="G54" s="675">
        <v>0</v>
      </c>
      <c r="H54" s="784"/>
      <c r="I54" s="13"/>
      <c r="J54" s="9"/>
      <c r="K54" s="9"/>
      <c r="L54" s="9"/>
      <c r="M54" s="9"/>
    </row>
    <row r="55" spans="1:13" s="4" customFormat="1" ht="13" x14ac:dyDescent="0.25">
      <c r="A55" s="64"/>
      <c r="B55" s="65" t="s">
        <v>759</v>
      </c>
      <c r="C55" s="780" t="s">
        <v>67</v>
      </c>
      <c r="D55" s="789">
        <v>0</v>
      </c>
      <c r="E55" s="789">
        <v>0</v>
      </c>
      <c r="F55" s="674">
        <v>0</v>
      </c>
      <c r="G55" s="790">
        <v>0</v>
      </c>
      <c r="H55" s="784"/>
      <c r="I55" s="13"/>
      <c r="J55" s="9"/>
      <c r="K55" s="9"/>
      <c r="L55" s="9"/>
      <c r="M55" s="9"/>
    </row>
    <row r="56" spans="1:13" s="4" customFormat="1" ht="13" x14ac:dyDescent="0.25">
      <c r="A56" s="64" t="s">
        <v>578</v>
      </c>
      <c r="B56" s="65" t="s">
        <v>761</v>
      </c>
      <c r="C56" s="781" t="s">
        <v>220</v>
      </c>
      <c r="D56" s="674">
        <v>0</v>
      </c>
      <c r="E56" s="674">
        <f>SUM(E57:E57)</f>
        <v>0</v>
      </c>
      <c r="F56" s="674">
        <f>SUM(F57:F57)</f>
        <v>0</v>
      </c>
      <c r="G56" s="674">
        <f>D56+E56+F56</f>
        <v>0</v>
      </c>
      <c r="H56" s="785"/>
      <c r="I56" s="13"/>
      <c r="J56" s="9"/>
      <c r="K56" s="9"/>
      <c r="L56" s="9"/>
      <c r="M56" s="9"/>
    </row>
    <row r="57" spans="1:13" s="4" customFormat="1" ht="13" x14ac:dyDescent="0.25">
      <c r="A57" s="147" t="s">
        <v>25</v>
      </c>
      <c r="B57" s="605" t="s">
        <v>53</v>
      </c>
      <c r="C57" s="782"/>
      <c r="D57" s="675">
        <v>0</v>
      </c>
      <c r="E57" s="675">
        <v>0</v>
      </c>
      <c r="F57" s="675">
        <v>0</v>
      </c>
      <c r="G57" s="675">
        <v>0</v>
      </c>
      <c r="H57" s="786"/>
      <c r="I57" s="13"/>
      <c r="J57" s="9"/>
      <c r="K57" s="9"/>
      <c r="L57" s="9"/>
      <c r="M57" s="9"/>
    </row>
    <row r="58" spans="1:13" ht="39.5" thickBot="1" x14ac:dyDescent="0.35">
      <c r="A58" s="689"/>
      <c r="B58" s="72" t="s">
        <v>908</v>
      </c>
      <c r="C58" s="783"/>
      <c r="D58" s="791">
        <f>D41+D7</f>
        <v>9055</v>
      </c>
      <c r="E58" s="791">
        <f>E41+E7</f>
        <v>10102</v>
      </c>
      <c r="F58" s="791">
        <f>F41+F7</f>
        <v>665</v>
      </c>
      <c r="G58" s="791">
        <f>G41+G7</f>
        <v>19822</v>
      </c>
      <c r="H58" s="787"/>
      <c r="I58" s="11"/>
      <c r="J58" s="6"/>
      <c r="K58" s="6"/>
      <c r="L58" s="6"/>
      <c r="M58" s="6"/>
    </row>
    <row r="59" spans="1:13" ht="13.5" thickTop="1" x14ac:dyDescent="0.3">
      <c r="A59" s="14"/>
      <c r="B59" s="10"/>
      <c r="C59" s="10"/>
      <c r="D59" s="10"/>
      <c r="E59" s="10"/>
      <c r="F59" s="10"/>
      <c r="G59" s="11"/>
      <c r="H59" s="11"/>
      <c r="I59" s="11"/>
      <c r="J59" s="6"/>
      <c r="K59" s="6"/>
      <c r="L59" s="6"/>
      <c r="M59" s="6"/>
    </row>
    <row r="60" spans="1:13" ht="13" x14ac:dyDescent="0.3">
      <c r="A60" s="14"/>
      <c r="B60" s="10"/>
      <c r="C60" s="10"/>
      <c r="D60" s="10"/>
      <c r="E60" s="10"/>
      <c r="F60" s="10"/>
      <c r="G60" s="11"/>
      <c r="H60" s="11"/>
      <c r="I60" s="11"/>
      <c r="J60" s="6"/>
      <c r="K60" s="6"/>
      <c r="L60" s="6"/>
      <c r="M60" s="6"/>
    </row>
    <row r="61" spans="1:13" ht="13" x14ac:dyDescent="0.3">
      <c r="A61" s="14"/>
      <c r="B61" s="10"/>
      <c r="C61" s="10"/>
      <c r="D61" s="10"/>
      <c r="E61" s="10"/>
      <c r="F61" s="10"/>
      <c r="G61" s="11"/>
      <c r="H61" s="11"/>
      <c r="I61" s="11"/>
      <c r="J61" s="6"/>
      <c r="K61" s="6"/>
      <c r="L61" s="6"/>
      <c r="M61" s="6"/>
    </row>
    <row r="62" spans="1:13" ht="13" x14ac:dyDescent="0.3">
      <c r="A62" s="14"/>
      <c r="B62" s="10"/>
      <c r="C62" s="10"/>
      <c r="D62" s="10"/>
      <c r="E62" s="10"/>
      <c r="F62" s="10"/>
      <c r="G62" s="11"/>
      <c r="H62" s="11"/>
      <c r="I62" s="11"/>
      <c r="J62" s="6"/>
      <c r="K62" s="6"/>
      <c r="L62" s="6"/>
      <c r="M62" s="6"/>
    </row>
    <row r="63" spans="1:13" ht="13" x14ac:dyDescent="0.3">
      <c r="A63" s="14"/>
      <c r="B63" s="10"/>
      <c r="C63" s="10"/>
      <c r="D63" s="10"/>
      <c r="E63" s="10"/>
      <c r="F63" s="10"/>
      <c r="G63" s="11"/>
      <c r="H63" s="11"/>
      <c r="I63" s="11"/>
      <c r="J63" s="6"/>
      <c r="K63" s="6"/>
      <c r="L63" s="6"/>
      <c r="M63" s="6"/>
    </row>
    <row r="64" spans="1:13" ht="13" x14ac:dyDescent="0.3">
      <c r="A64" s="14"/>
      <c r="B64" s="10"/>
      <c r="C64" s="10"/>
      <c r="D64" s="10"/>
      <c r="E64" s="10"/>
      <c r="F64" s="10"/>
      <c r="G64" s="11"/>
      <c r="H64" s="11"/>
      <c r="I64" s="11"/>
      <c r="J64" s="6"/>
      <c r="K64" s="6"/>
      <c r="L64" s="6"/>
      <c r="M64" s="6"/>
    </row>
    <row r="65" spans="1:13" ht="13" x14ac:dyDescent="0.3">
      <c r="A65" s="14"/>
      <c r="B65" s="10"/>
      <c r="C65" s="10"/>
      <c r="D65" s="10"/>
      <c r="E65" s="10"/>
      <c r="F65" s="10"/>
      <c r="G65" s="11"/>
      <c r="H65" s="11"/>
      <c r="I65" s="11"/>
      <c r="J65" s="6"/>
      <c r="K65" s="6"/>
      <c r="L65" s="6"/>
      <c r="M65" s="6"/>
    </row>
    <row r="66" spans="1:13" ht="13" x14ac:dyDescent="0.3">
      <c r="A66" s="14"/>
      <c r="B66" s="10"/>
      <c r="C66" s="10"/>
      <c r="D66" s="10"/>
      <c r="E66" s="10"/>
      <c r="F66" s="10"/>
      <c r="G66" s="11"/>
      <c r="H66" s="11"/>
      <c r="I66" s="11"/>
      <c r="J66" s="6"/>
      <c r="K66" s="6"/>
      <c r="L66" s="6"/>
      <c r="M66" s="6"/>
    </row>
    <row r="67" spans="1:13" ht="13" x14ac:dyDescent="0.3">
      <c r="A67" s="14"/>
      <c r="B67" s="10"/>
      <c r="C67" s="10"/>
      <c r="D67" s="10"/>
      <c r="E67" s="10"/>
      <c r="F67" s="10"/>
      <c r="G67" s="11"/>
      <c r="H67" s="11"/>
      <c r="I67" s="11"/>
      <c r="J67" s="6"/>
      <c r="K67" s="6"/>
      <c r="L67" s="6"/>
      <c r="M67" s="6"/>
    </row>
    <row r="68" spans="1:13" ht="13" x14ac:dyDescent="0.3">
      <c r="A68" s="14"/>
      <c r="B68" s="10"/>
      <c r="C68" s="10"/>
      <c r="D68" s="10"/>
      <c r="E68" s="10"/>
      <c r="F68" s="10"/>
      <c r="G68" s="11"/>
      <c r="H68" s="11"/>
      <c r="I68" s="11"/>
      <c r="J68" s="6"/>
      <c r="K68" s="6"/>
      <c r="L68" s="6"/>
      <c r="M68" s="6"/>
    </row>
    <row r="69" spans="1:13" ht="13" x14ac:dyDescent="0.3">
      <c r="A69" s="14"/>
      <c r="B69" s="10"/>
      <c r="C69" s="10"/>
      <c r="D69" s="10"/>
      <c r="E69" s="10"/>
      <c r="F69" s="10"/>
      <c r="G69" s="11"/>
      <c r="H69" s="11"/>
      <c r="I69" s="11"/>
      <c r="J69" s="6"/>
      <c r="K69" s="6"/>
      <c r="L69" s="6"/>
      <c r="M69" s="6"/>
    </row>
    <row r="70" spans="1:13" ht="13" x14ac:dyDescent="0.3">
      <c r="A70" s="14"/>
      <c r="B70" s="10"/>
      <c r="C70" s="10"/>
      <c r="D70" s="10"/>
      <c r="E70" s="10"/>
      <c r="F70" s="10"/>
      <c r="G70" s="11"/>
      <c r="H70" s="11"/>
      <c r="I70" s="11"/>
      <c r="J70" s="6"/>
      <c r="K70" s="6"/>
      <c r="L70" s="6"/>
      <c r="M70" s="6"/>
    </row>
    <row r="71" spans="1:13" ht="13" x14ac:dyDescent="0.3">
      <c r="A71" s="14"/>
      <c r="B71" s="10"/>
      <c r="C71" s="10"/>
      <c r="D71" s="10"/>
      <c r="E71" s="10"/>
      <c r="F71" s="10"/>
      <c r="G71" s="11"/>
      <c r="H71" s="11"/>
      <c r="I71" s="11"/>
      <c r="J71" s="6"/>
      <c r="K71" s="6"/>
      <c r="L71" s="6"/>
      <c r="M71" s="6"/>
    </row>
    <row r="72" spans="1:13" ht="13" x14ac:dyDescent="0.3">
      <c r="A72" s="14"/>
      <c r="B72" s="10"/>
      <c r="C72" s="10"/>
      <c r="D72" s="10"/>
      <c r="E72" s="10"/>
      <c r="F72" s="10"/>
      <c r="G72" s="11"/>
      <c r="H72" s="11"/>
      <c r="I72" s="11"/>
      <c r="J72" s="6"/>
      <c r="K72" s="6"/>
      <c r="L72" s="6"/>
      <c r="M72" s="6"/>
    </row>
    <row r="73" spans="1:13" ht="13" x14ac:dyDescent="0.3">
      <c r="A73" s="14"/>
      <c r="B73" s="10"/>
      <c r="C73" s="10"/>
      <c r="D73" s="10"/>
      <c r="E73" s="10"/>
      <c r="F73" s="10"/>
      <c r="G73" s="11"/>
      <c r="H73" s="11"/>
      <c r="I73" s="11"/>
      <c r="J73" s="6"/>
      <c r="K73" s="6"/>
      <c r="L73" s="6"/>
      <c r="M73" s="6"/>
    </row>
    <row r="74" spans="1:13" ht="13" x14ac:dyDescent="0.3">
      <c r="A74" s="14"/>
      <c r="B74" s="10"/>
      <c r="C74" s="10"/>
      <c r="D74" s="10"/>
      <c r="E74" s="10"/>
      <c r="F74" s="10"/>
      <c r="G74" s="11"/>
      <c r="H74" s="11"/>
      <c r="I74" s="11"/>
      <c r="J74" s="6"/>
      <c r="K74" s="6"/>
      <c r="L74" s="6"/>
      <c r="M74" s="6"/>
    </row>
    <row r="75" spans="1:13" ht="13" x14ac:dyDescent="0.3">
      <c r="A75" s="14"/>
      <c r="B75" s="10"/>
      <c r="C75" s="10"/>
      <c r="D75" s="10"/>
      <c r="E75" s="10"/>
      <c r="F75" s="10"/>
      <c r="G75" s="11"/>
      <c r="H75" s="11"/>
      <c r="I75" s="11"/>
      <c r="J75" s="6"/>
      <c r="K75" s="6"/>
      <c r="L75" s="6"/>
      <c r="M75" s="6"/>
    </row>
    <row r="76" spans="1:13" ht="13" x14ac:dyDescent="0.3">
      <c r="A76" s="14"/>
      <c r="B76" s="10"/>
      <c r="C76" s="10"/>
      <c r="D76" s="10"/>
      <c r="E76" s="10"/>
      <c r="F76" s="10"/>
      <c r="G76" s="11"/>
      <c r="H76" s="11"/>
      <c r="I76" s="11"/>
      <c r="J76" s="6"/>
      <c r="K76" s="6"/>
      <c r="L76" s="6"/>
      <c r="M76" s="6"/>
    </row>
    <row r="77" spans="1:13" ht="13" x14ac:dyDescent="0.3">
      <c r="A77" s="5"/>
      <c r="B77" s="7"/>
      <c r="C77" s="7"/>
      <c r="D77" s="7"/>
      <c r="E77" s="7"/>
      <c r="F77" s="7"/>
      <c r="G77" s="6"/>
      <c r="H77" s="6"/>
      <c r="I77" s="6"/>
      <c r="J77" s="6"/>
      <c r="K77" s="6"/>
      <c r="L77" s="6"/>
      <c r="M77" s="6"/>
    </row>
  </sheetData>
  <mergeCells count="4">
    <mergeCell ref="A1:B1"/>
    <mergeCell ref="A2:B2"/>
    <mergeCell ref="A3:I3"/>
    <mergeCell ref="F4:H4"/>
  </mergeCells>
  <pageMargins left="0.64" right="0.27" top="0.42" bottom="0.53" header="0.42"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37BD9-6DF3-1C40-B4E6-82571B027C69}">
  <dimension ref="A1:J17"/>
  <sheetViews>
    <sheetView workbookViewId="0">
      <selection activeCell="C12" sqref="C12:J12"/>
    </sheetView>
  </sheetViews>
  <sheetFormatPr defaultColWidth="9.1796875" defaultRowHeight="12.5" x14ac:dyDescent="0.25"/>
  <cols>
    <col min="1" max="1" width="6.1796875" style="1361" customWidth="1"/>
    <col min="2" max="2" width="33.36328125" style="1361" customWidth="1"/>
    <col min="3" max="3" width="18.6328125" style="1361" customWidth="1"/>
    <col min="4" max="4" width="10.1796875" style="1361" customWidth="1"/>
    <col min="5" max="5" width="10.6328125" style="1361" customWidth="1"/>
    <col min="6" max="7" width="9.1796875" style="1361"/>
    <col min="8" max="8" width="18.36328125" style="1361" customWidth="1"/>
    <col min="9" max="9" width="19.81640625" style="1361" customWidth="1"/>
    <col min="10" max="10" width="25" style="1361" customWidth="1"/>
    <col min="11" max="256" width="9.1796875" style="1361"/>
    <col min="257" max="257" width="6.1796875" style="1361" customWidth="1"/>
    <col min="258" max="258" width="33.36328125" style="1361" customWidth="1"/>
    <col min="259" max="259" width="18.6328125" style="1361" customWidth="1"/>
    <col min="260" max="260" width="10.1796875" style="1361" customWidth="1"/>
    <col min="261" max="261" width="10.6328125" style="1361" customWidth="1"/>
    <col min="262" max="263" width="9.1796875" style="1361"/>
    <col min="264" max="264" width="18.36328125" style="1361" customWidth="1"/>
    <col min="265" max="265" width="19.81640625" style="1361" customWidth="1"/>
    <col min="266" max="266" width="25" style="1361" customWidth="1"/>
    <col min="267" max="512" width="9.1796875" style="1361"/>
    <col min="513" max="513" width="6.1796875" style="1361" customWidth="1"/>
    <col min="514" max="514" width="33.36328125" style="1361" customWidth="1"/>
    <col min="515" max="515" width="18.6328125" style="1361" customWidth="1"/>
    <col min="516" max="516" width="10.1796875" style="1361" customWidth="1"/>
    <col min="517" max="517" width="10.6328125" style="1361" customWidth="1"/>
    <col min="518" max="519" width="9.1796875" style="1361"/>
    <col min="520" max="520" width="18.36328125" style="1361" customWidth="1"/>
    <col min="521" max="521" width="19.81640625" style="1361" customWidth="1"/>
    <col min="522" max="522" width="25" style="1361" customWidth="1"/>
    <col min="523" max="768" width="9.1796875" style="1361"/>
    <col min="769" max="769" width="6.1796875" style="1361" customWidth="1"/>
    <col min="770" max="770" width="33.36328125" style="1361" customWidth="1"/>
    <col min="771" max="771" width="18.6328125" style="1361" customWidth="1"/>
    <col min="772" max="772" width="10.1796875" style="1361" customWidth="1"/>
    <col min="773" max="773" width="10.6328125" style="1361" customWidth="1"/>
    <col min="774" max="775" width="9.1796875" style="1361"/>
    <col min="776" max="776" width="18.36328125" style="1361" customWidth="1"/>
    <col min="777" max="777" width="19.81640625" style="1361" customWidth="1"/>
    <col min="778" max="778" width="25" style="1361" customWidth="1"/>
    <col min="779" max="1024" width="9.1796875" style="1361"/>
    <col min="1025" max="1025" width="6.1796875" style="1361" customWidth="1"/>
    <col min="1026" max="1026" width="33.36328125" style="1361" customWidth="1"/>
    <col min="1027" max="1027" width="18.6328125" style="1361" customWidth="1"/>
    <col min="1028" max="1028" width="10.1796875" style="1361" customWidth="1"/>
    <col min="1029" max="1029" width="10.6328125" style="1361" customWidth="1"/>
    <col min="1030" max="1031" width="9.1796875" style="1361"/>
    <col min="1032" max="1032" width="18.36328125" style="1361" customWidth="1"/>
    <col min="1033" max="1033" width="19.81640625" style="1361" customWidth="1"/>
    <col min="1034" max="1034" width="25" style="1361" customWidth="1"/>
    <col min="1035" max="1280" width="9.1796875" style="1361"/>
    <col min="1281" max="1281" width="6.1796875" style="1361" customWidth="1"/>
    <col min="1282" max="1282" width="33.36328125" style="1361" customWidth="1"/>
    <col min="1283" max="1283" width="18.6328125" style="1361" customWidth="1"/>
    <col min="1284" max="1284" width="10.1796875" style="1361" customWidth="1"/>
    <col min="1285" max="1285" width="10.6328125" style="1361" customWidth="1"/>
    <col min="1286" max="1287" width="9.1796875" style="1361"/>
    <col min="1288" max="1288" width="18.36328125" style="1361" customWidth="1"/>
    <col min="1289" max="1289" width="19.81640625" style="1361" customWidth="1"/>
    <col min="1290" max="1290" width="25" style="1361" customWidth="1"/>
    <col min="1291" max="1536" width="9.1796875" style="1361"/>
    <col min="1537" max="1537" width="6.1796875" style="1361" customWidth="1"/>
    <col min="1538" max="1538" width="33.36328125" style="1361" customWidth="1"/>
    <col min="1539" max="1539" width="18.6328125" style="1361" customWidth="1"/>
    <col min="1540" max="1540" width="10.1796875" style="1361" customWidth="1"/>
    <col min="1541" max="1541" width="10.6328125" style="1361" customWidth="1"/>
    <col min="1542" max="1543" width="9.1796875" style="1361"/>
    <col min="1544" max="1544" width="18.36328125" style="1361" customWidth="1"/>
    <col min="1545" max="1545" width="19.81640625" style="1361" customWidth="1"/>
    <col min="1546" max="1546" width="25" style="1361" customWidth="1"/>
    <col min="1547" max="1792" width="9.1796875" style="1361"/>
    <col min="1793" max="1793" width="6.1796875" style="1361" customWidth="1"/>
    <col min="1794" max="1794" width="33.36328125" style="1361" customWidth="1"/>
    <col min="1795" max="1795" width="18.6328125" style="1361" customWidth="1"/>
    <col min="1796" max="1796" width="10.1796875" style="1361" customWidth="1"/>
    <col min="1797" max="1797" width="10.6328125" style="1361" customWidth="1"/>
    <col min="1798" max="1799" width="9.1796875" style="1361"/>
    <col min="1800" max="1800" width="18.36328125" style="1361" customWidth="1"/>
    <col min="1801" max="1801" width="19.81640625" style="1361" customWidth="1"/>
    <col min="1802" max="1802" width="25" style="1361" customWidth="1"/>
    <col min="1803" max="2048" width="9.1796875" style="1361"/>
    <col min="2049" max="2049" width="6.1796875" style="1361" customWidth="1"/>
    <col min="2050" max="2050" width="33.36328125" style="1361" customWidth="1"/>
    <col min="2051" max="2051" width="18.6328125" style="1361" customWidth="1"/>
    <col min="2052" max="2052" width="10.1796875" style="1361" customWidth="1"/>
    <col min="2053" max="2053" width="10.6328125" style="1361" customWidth="1"/>
    <col min="2054" max="2055" width="9.1796875" style="1361"/>
    <col min="2056" max="2056" width="18.36328125" style="1361" customWidth="1"/>
    <col min="2057" max="2057" width="19.81640625" style="1361" customWidth="1"/>
    <col min="2058" max="2058" width="25" style="1361" customWidth="1"/>
    <col min="2059" max="2304" width="9.1796875" style="1361"/>
    <col min="2305" max="2305" width="6.1796875" style="1361" customWidth="1"/>
    <col min="2306" max="2306" width="33.36328125" style="1361" customWidth="1"/>
    <col min="2307" max="2307" width="18.6328125" style="1361" customWidth="1"/>
    <col min="2308" max="2308" width="10.1796875" style="1361" customWidth="1"/>
    <col min="2309" max="2309" width="10.6328125" style="1361" customWidth="1"/>
    <col min="2310" max="2311" width="9.1796875" style="1361"/>
    <col min="2312" max="2312" width="18.36328125" style="1361" customWidth="1"/>
    <col min="2313" max="2313" width="19.81640625" style="1361" customWidth="1"/>
    <col min="2314" max="2314" width="25" style="1361" customWidth="1"/>
    <col min="2315" max="2560" width="9.1796875" style="1361"/>
    <col min="2561" max="2561" width="6.1796875" style="1361" customWidth="1"/>
    <col min="2562" max="2562" width="33.36328125" style="1361" customWidth="1"/>
    <col min="2563" max="2563" width="18.6328125" style="1361" customWidth="1"/>
    <col min="2564" max="2564" width="10.1796875" style="1361" customWidth="1"/>
    <col min="2565" max="2565" width="10.6328125" style="1361" customWidth="1"/>
    <col min="2566" max="2567" width="9.1796875" style="1361"/>
    <col min="2568" max="2568" width="18.36328125" style="1361" customWidth="1"/>
    <col min="2569" max="2569" width="19.81640625" style="1361" customWidth="1"/>
    <col min="2570" max="2570" width="25" style="1361" customWidth="1"/>
    <col min="2571" max="2816" width="9.1796875" style="1361"/>
    <col min="2817" max="2817" width="6.1796875" style="1361" customWidth="1"/>
    <col min="2818" max="2818" width="33.36328125" style="1361" customWidth="1"/>
    <col min="2819" max="2819" width="18.6328125" style="1361" customWidth="1"/>
    <col min="2820" max="2820" width="10.1796875" style="1361" customWidth="1"/>
    <col min="2821" max="2821" width="10.6328125" style="1361" customWidth="1"/>
    <col min="2822" max="2823" width="9.1796875" style="1361"/>
    <col min="2824" max="2824" width="18.36328125" style="1361" customWidth="1"/>
    <col min="2825" max="2825" width="19.81640625" style="1361" customWidth="1"/>
    <col min="2826" max="2826" width="25" style="1361" customWidth="1"/>
    <col min="2827" max="3072" width="9.1796875" style="1361"/>
    <col min="3073" max="3073" width="6.1796875" style="1361" customWidth="1"/>
    <col min="3074" max="3074" width="33.36328125" style="1361" customWidth="1"/>
    <col min="3075" max="3075" width="18.6328125" style="1361" customWidth="1"/>
    <col min="3076" max="3076" width="10.1796875" style="1361" customWidth="1"/>
    <col min="3077" max="3077" width="10.6328125" style="1361" customWidth="1"/>
    <col min="3078" max="3079" width="9.1796875" style="1361"/>
    <col min="3080" max="3080" width="18.36328125" style="1361" customWidth="1"/>
    <col min="3081" max="3081" width="19.81640625" style="1361" customWidth="1"/>
    <col min="3082" max="3082" width="25" style="1361" customWidth="1"/>
    <col min="3083" max="3328" width="9.1796875" style="1361"/>
    <col min="3329" max="3329" width="6.1796875" style="1361" customWidth="1"/>
    <col min="3330" max="3330" width="33.36328125" style="1361" customWidth="1"/>
    <col min="3331" max="3331" width="18.6328125" style="1361" customWidth="1"/>
    <col min="3332" max="3332" width="10.1796875" style="1361" customWidth="1"/>
    <col min="3333" max="3333" width="10.6328125" style="1361" customWidth="1"/>
    <col min="3334" max="3335" width="9.1796875" style="1361"/>
    <col min="3336" max="3336" width="18.36328125" style="1361" customWidth="1"/>
    <col min="3337" max="3337" width="19.81640625" style="1361" customWidth="1"/>
    <col min="3338" max="3338" width="25" style="1361" customWidth="1"/>
    <col min="3339" max="3584" width="9.1796875" style="1361"/>
    <col min="3585" max="3585" width="6.1796875" style="1361" customWidth="1"/>
    <col min="3586" max="3586" width="33.36328125" style="1361" customWidth="1"/>
    <col min="3587" max="3587" width="18.6328125" style="1361" customWidth="1"/>
    <col min="3588" max="3588" width="10.1796875" style="1361" customWidth="1"/>
    <col min="3589" max="3589" width="10.6328125" style="1361" customWidth="1"/>
    <col min="3590" max="3591" width="9.1796875" style="1361"/>
    <col min="3592" max="3592" width="18.36328125" style="1361" customWidth="1"/>
    <col min="3593" max="3593" width="19.81640625" style="1361" customWidth="1"/>
    <col min="3594" max="3594" width="25" style="1361" customWidth="1"/>
    <col min="3595" max="3840" width="9.1796875" style="1361"/>
    <col min="3841" max="3841" width="6.1796875" style="1361" customWidth="1"/>
    <col min="3842" max="3842" width="33.36328125" style="1361" customWidth="1"/>
    <col min="3843" max="3843" width="18.6328125" style="1361" customWidth="1"/>
    <col min="3844" max="3844" width="10.1796875" style="1361" customWidth="1"/>
    <col min="3845" max="3845" width="10.6328125" style="1361" customWidth="1"/>
    <col min="3846" max="3847" width="9.1796875" style="1361"/>
    <col min="3848" max="3848" width="18.36328125" style="1361" customWidth="1"/>
    <col min="3849" max="3849" width="19.81640625" style="1361" customWidth="1"/>
    <col min="3850" max="3850" width="25" style="1361" customWidth="1"/>
    <col min="3851" max="4096" width="9.1796875" style="1361"/>
    <col min="4097" max="4097" width="6.1796875" style="1361" customWidth="1"/>
    <col min="4098" max="4098" width="33.36328125" style="1361" customWidth="1"/>
    <col min="4099" max="4099" width="18.6328125" style="1361" customWidth="1"/>
    <col min="4100" max="4100" width="10.1796875" style="1361" customWidth="1"/>
    <col min="4101" max="4101" width="10.6328125" style="1361" customWidth="1"/>
    <col min="4102" max="4103" width="9.1796875" style="1361"/>
    <col min="4104" max="4104" width="18.36328125" style="1361" customWidth="1"/>
    <col min="4105" max="4105" width="19.81640625" style="1361" customWidth="1"/>
    <col min="4106" max="4106" width="25" style="1361" customWidth="1"/>
    <col min="4107" max="4352" width="9.1796875" style="1361"/>
    <col min="4353" max="4353" width="6.1796875" style="1361" customWidth="1"/>
    <col min="4354" max="4354" width="33.36328125" style="1361" customWidth="1"/>
    <col min="4355" max="4355" width="18.6328125" style="1361" customWidth="1"/>
    <col min="4356" max="4356" width="10.1796875" style="1361" customWidth="1"/>
    <col min="4357" max="4357" width="10.6328125" style="1361" customWidth="1"/>
    <col min="4358" max="4359" width="9.1796875" style="1361"/>
    <col min="4360" max="4360" width="18.36328125" style="1361" customWidth="1"/>
    <col min="4361" max="4361" width="19.81640625" style="1361" customWidth="1"/>
    <col min="4362" max="4362" width="25" style="1361" customWidth="1"/>
    <col min="4363" max="4608" width="9.1796875" style="1361"/>
    <col min="4609" max="4609" width="6.1796875" style="1361" customWidth="1"/>
    <col min="4610" max="4610" width="33.36328125" style="1361" customWidth="1"/>
    <col min="4611" max="4611" width="18.6328125" style="1361" customWidth="1"/>
    <col min="4612" max="4612" width="10.1796875" style="1361" customWidth="1"/>
    <col min="4613" max="4613" width="10.6328125" style="1361" customWidth="1"/>
    <col min="4614" max="4615" width="9.1796875" style="1361"/>
    <col min="4616" max="4616" width="18.36328125" style="1361" customWidth="1"/>
    <col min="4617" max="4617" width="19.81640625" style="1361" customWidth="1"/>
    <col min="4618" max="4618" width="25" style="1361" customWidth="1"/>
    <col min="4619" max="4864" width="9.1796875" style="1361"/>
    <col min="4865" max="4865" width="6.1796875" style="1361" customWidth="1"/>
    <col min="4866" max="4866" width="33.36328125" style="1361" customWidth="1"/>
    <col min="4867" max="4867" width="18.6328125" style="1361" customWidth="1"/>
    <col min="4868" max="4868" width="10.1796875" style="1361" customWidth="1"/>
    <col min="4869" max="4869" width="10.6328125" style="1361" customWidth="1"/>
    <col min="4870" max="4871" width="9.1796875" style="1361"/>
    <col min="4872" max="4872" width="18.36328125" style="1361" customWidth="1"/>
    <col min="4873" max="4873" width="19.81640625" style="1361" customWidth="1"/>
    <col min="4874" max="4874" width="25" style="1361" customWidth="1"/>
    <col min="4875" max="5120" width="9.1796875" style="1361"/>
    <col min="5121" max="5121" width="6.1796875" style="1361" customWidth="1"/>
    <col min="5122" max="5122" width="33.36328125" style="1361" customWidth="1"/>
    <col min="5123" max="5123" width="18.6328125" style="1361" customWidth="1"/>
    <col min="5124" max="5124" width="10.1796875" style="1361" customWidth="1"/>
    <col min="5125" max="5125" width="10.6328125" style="1361" customWidth="1"/>
    <col min="5126" max="5127" width="9.1796875" style="1361"/>
    <col min="5128" max="5128" width="18.36328125" style="1361" customWidth="1"/>
    <col min="5129" max="5129" width="19.81640625" style="1361" customWidth="1"/>
    <col min="5130" max="5130" width="25" style="1361" customWidth="1"/>
    <col min="5131" max="5376" width="9.1796875" style="1361"/>
    <col min="5377" max="5377" width="6.1796875" style="1361" customWidth="1"/>
    <col min="5378" max="5378" width="33.36328125" style="1361" customWidth="1"/>
    <col min="5379" max="5379" width="18.6328125" style="1361" customWidth="1"/>
    <col min="5380" max="5380" width="10.1796875" style="1361" customWidth="1"/>
    <col min="5381" max="5381" width="10.6328125" style="1361" customWidth="1"/>
    <col min="5382" max="5383" width="9.1796875" style="1361"/>
    <col min="5384" max="5384" width="18.36328125" style="1361" customWidth="1"/>
    <col min="5385" max="5385" width="19.81640625" style="1361" customWidth="1"/>
    <col min="5386" max="5386" width="25" style="1361" customWidth="1"/>
    <col min="5387" max="5632" width="9.1796875" style="1361"/>
    <col min="5633" max="5633" width="6.1796875" style="1361" customWidth="1"/>
    <col min="5634" max="5634" width="33.36328125" style="1361" customWidth="1"/>
    <col min="5635" max="5635" width="18.6328125" style="1361" customWidth="1"/>
    <col min="5636" max="5636" width="10.1796875" style="1361" customWidth="1"/>
    <col min="5637" max="5637" width="10.6328125" style="1361" customWidth="1"/>
    <col min="5638" max="5639" width="9.1796875" style="1361"/>
    <col min="5640" max="5640" width="18.36328125" style="1361" customWidth="1"/>
    <col min="5641" max="5641" width="19.81640625" style="1361" customWidth="1"/>
    <col min="5642" max="5642" width="25" style="1361" customWidth="1"/>
    <col min="5643" max="5888" width="9.1796875" style="1361"/>
    <col min="5889" max="5889" width="6.1796875" style="1361" customWidth="1"/>
    <col min="5890" max="5890" width="33.36328125" style="1361" customWidth="1"/>
    <col min="5891" max="5891" width="18.6328125" style="1361" customWidth="1"/>
    <col min="5892" max="5892" width="10.1796875" style="1361" customWidth="1"/>
    <col min="5893" max="5893" width="10.6328125" style="1361" customWidth="1"/>
    <col min="5894" max="5895" width="9.1796875" style="1361"/>
    <col min="5896" max="5896" width="18.36328125" style="1361" customWidth="1"/>
    <col min="5897" max="5897" width="19.81640625" style="1361" customWidth="1"/>
    <col min="5898" max="5898" width="25" style="1361" customWidth="1"/>
    <col min="5899" max="6144" width="9.1796875" style="1361"/>
    <col min="6145" max="6145" width="6.1796875" style="1361" customWidth="1"/>
    <col min="6146" max="6146" width="33.36328125" style="1361" customWidth="1"/>
    <col min="6147" max="6147" width="18.6328125" style="1361" customWidth="1"/>
    <col min="6148" max="6148" width="10.1796875" style="1361" customWidth="1"/>
    <col min="6149" max="6149" width="10.6328125" style="1361" customWidth="1"/>
    <col min="6150" max="6151" width="9.1796875" style="1361"/>
    <col min="6152" max="6152" width="18.36328125" style="1361" customWidth="1"/>
    <col min="6153" max="6153" width="19.81640625" style="1361" customWidth="1"/>
    <col min="6154" max="6154" width="25" style="1361" customWidth="1"/>
    <col min="6155" max="6400" width="9.1796875" style="1361"/>
    <col min="6401" max="6401" width="6.1796875" style="1361" customWidth="1"/>
    <col min="6402" max="6402" width="33.36328125" style="1361" customWidth="1"/>
    <col min="6403" max="6403" width="18.6328125" style="1361" customWidth="1"/>
    <col min="6404" max="6404" width="10.1796875" style="1361" customWidth="1"/>
    <col min="6405" max="6405" width="10.6328125" style="1361" customWidth="1"/>
    <col min="6406" max="6407" width="9.1796875" style="1361"/>
    <col min="6408" max="6408" width="18.36328125" style="1361" customWidth="1"/>
    <col min="6409" max="6409" width="19.81640625" style="1361" customWidth="1"/>
    <col min="6410" max="6410" width="25" style="1361" customWidth="1"/>
    <col min="6411" max="6656" width="9.1796875" style="1361"/>
    <col min="6657" max="6657" width="6.1796875" style="1361" customWidth="1"/>
    <col min="6658" max="6658" width="33.36328125" style="1361" customWidth="1"/>
    <col min="6659" max="6659" width="18.6328125" style="1361" customWidth="1"/>
    <col min="6660" max="6660" width="10.1796875" style="1361" customWidth="1"/>
    <col min="6661" max="6661" width="10.6328125" style="1361" customWidth="1"/>
    <col min="6662" max="6663" width="9.1796875" style="1361"/>
    <col min="6664" max="6664" width="18.36328125" style="1361" customWidth="1"/>
    <col min="6665" max="6665" width="19.81640625" style="1361" customWidth="1"/>
    <col min="6666" max="6666" width="25" style="1361" customWidth="1"/>
    <col min="6667" max="6912" width="9.1796875" style="1361"/>
    <col min="6913" max="6913" width="6.1796875" style="1361" customWidth="1"/>
    <col min="6914" max="6914" width="33.36328125" style="1361" customWidth="1"/>
    <col min="6915" max="6915" width="18.6328125" style="1361" customWidth="1"/>
    <col min="6916" max="6916" width="10.1796875" style="1361" customWidth="1"/>
    <col min="6917" max="6917" width="10.6328125" style="1361" customWidth="1"/>
    <col min="6918" max="6919" width="9.1796875" style="1361"/>
    <col min="6920" max="6920" width="18.36328125" style="1361" customWidth="1"/>
    <col min="6921" max="6921" width="19.81640625" style="1361" customWidth="1"/>
    <col min="6922" max="6922" width="25" style="1361" customWidth="1"/>
    <col min="6923" max="7168" width="9.1796875" style="1361"/>
    <col min="7169" max="7169" width="6.1796875" style="1361" customWidth="1"/>
    <col min="7170" max="7170" width="33.36328125" style="1361" customWidth="1"/>
    <col min="7171" max="7171" width="18.6328125" style="1361" customWidth="1"/>
    <col min="7172" max="7172" width="10.1796875" style="1361" customWidth="1"/>
    <col min="7173" max="7173" width="10.6328125" style="1361" customWidth="1"/>
    <col min="7174" max="7175" width="9.1796875" style="1361"/>
    <col min="7176" max="7176" width="18.36328125" style="1361" customWidth="1"/>
    <col min="7177" max="7177" width="19.81640625" style="1361" customWidth="1"/>
    <col min="7178" max="7178" width="25" style="1361" customWidth="1"/>
    <col min="7179" max="7424" width="9.1796875" style="1361"/>
    <col min="7425" max="7425" width="6.1796875" style="1361" customWidth="1"/>
    <col min="7426" max="7426" width="33.36328125" style="1361" customWidth="1"/>
    <col min="7427" max="7427" width="18.6328125" style="1361" customWidth="1"/>
    <col min="7428" max="7428" width="10.1796875" style="1361" customWidth="1"/>
    <col min="7429" max="7429" width="10.6328125" style="1361" customWidth="1"/>
    <col min="7430" max="7431" width="9.1796875" style="1361"/>
    <col min="7432" max="7432" width="18.36328125" style="1361" customWidth="1"/>
    <col min="7433" max="7433" width="19.81640625" style="1361" customWidth="1"/>
    <col min="7434" max="7434" width="25" style="1361" customWidth="1"/>
    <col min="7435" max="7680" width="9.1796875" style="1361"/>
    <col min="7681" max="7681" width="6.1796875" style="1361" customWidth="1"/>
    <col min="7682" max="7682" width="33.36328125" style="1361" customWidth="1"/>
    <col min="7683" max="7683" width="18.6328125" style="1361" customWidth="1"/>
    <col min="7684" max="7684" width="10.1796875" style="1361" customWidth="1"/>
    <col min="7685" max="7685" width="10.6328125" style="1361" customWidth="1"/>
    <col min="7686" max="7687" width="9.1796875" style="1361"/>
    <col min="7688" max="7688" width="18.36328125" style="1361" customWidth="1"/>
    <col min="7689" max="7689" width="19.81640625" style="1361" customWidth="1"/>
    <col min="7690" max="7690" width="25" style="1361" customWidth="1"/>
    <col min="7691" max="7936" width="9.1796875" style="1361"/>
    <col min="7937" max="7937" width="6.1796875" style="1361" customWidth="1"/>
    <col min="7938" max="7938" width="33.36328125" style="1361" customWidth="1"/>
    <col min="7939" max="7939" width="18.6328125" style="1361" customWidth="1"/>
    <col min="7940" max="7940" width="10.1796875" style="1361" customWidth="1"/>
    <col min="7941" max="7941" width="10.6328125" style="1361" customWidth="1"/>
    <col min="7942" max="7943" width="9.1796875" style="1361"/>
    <col min="7944" max="7944" width="18.36328125" style="1361" customWidth="1"/>
    <col min="7945" max="7945" width="19.81640625" style="1361" customWidth="1"/>
    <col min="7946" max="7946" width="25" style="1361" customWidth="1"/>
    <col min="7947" max="8192" width="9.1796875" style="1361"/>
    <col min="8193" max="8193" width="6.1796875" style="1361" customWidth="1"/>
    <col min="8194" max="8194" width="33.36328125" style="1361" customWidth="1"/>
    <col min="8195" max="8195" width="18.6328125" style="1361" customWidth="1"/>
    <col min="8196" max="8196" width="10.1796875" style="1361" customWidth="1"/>
    <col min="8197" max="8197" width="10.6328125" style="1361" customWidth="1"/>
    <col min="8198" max="8199" width="9.1796875" style="1361"/>
    <col min="8200" max="8200" width="18.36328125" style="1361" customWidth="1"/>
    <col min="8201" max="8201" width="19.81640625" style="1361" customWidth="1"/>
    <col min="8202" max="8202" width="25" style="1361" customWidth="1"/>
    <col min="8203" max="8448" width="9.1796875" style="1361"/>
    <col min="8449" max="8449" width="6.1796875" style="1361" customWidth="1"/>
    <col min="8450" max="8450" width="33.36328125" style="1361" customWidth="1"/>
    <col min="8451" max="8451" width="18.6328125" style="1361" customWidth="1"/>
    <col min="8452" max="8452" width="10.1796875" style="1361" customWidth="1"/>
    <col min="8453" max="8453" width="10.6328125" style="1361" customWidth="1"/>
    <col min="8454" max="8455" width="9.1796875" style="1361"/>
    <col min="8456" max="8456" width="18.36328125" style="1361" customWidth="1"/>
    <col min="8457" max="8457" width="19.81640625" style="1361" customWidth="1"/>
    <col min="8458" max="8458" width="25" style="1361" customWidth="1"/>
    <col min="8459" max="8704" width="9.1796875" style="1361"/>
    <col min="8705" max="8705" width="6.1796875" style="1361" customWidth="1"/>
    <col min="8706" max="8706" width="33.36328125" style="1361" customWidth="1"/>
    <col min="8707" max="8707" width="18.6328125" style="1361" customWidth="1"/>
    <col min="8708" max="8708" width="10.1796875" style="1361" customWidth="1"/>
    <col min="8709" max="8709" width="10.6328125" style="1361" customWidth="1"/>
    <col min="8710" max="8711" width="9.1796875" style="1361"/>
    <col min="8712" max="8712" width="18.36328125" style="1361" customWidth="1"/>
    <col min="8713" max="8713" width="19.81640625" style="1361" customWidth="1"/>
    <col min="8714" max="8714" width="25" style="1361" customWidth="1"/>
    <col min="8715" max="8960" width="9.1796875" style="1361"/>
    <col min="8961" max="8961" width="6.1796875" style="1361" customWidth="1"/>
    <col min="8962" max="8962" width="33.36328125" style="1361" customWidth="1"/>
    <col min="8963" max="8963" width="18.6328125" style="1361" customWidth="1"/>
    <col min="8964" max="8964" width="10.1796875" style="1361" customWidth="1"/>
    <col min="8965" max="8965" width="10.6328125" style="1361" customWidth="1"/>
    <col min="8966" max="8967" width="9.1796875" style="1361"/>
    <col min="8968" max="8968" width="18.36328125" style="1361" customWidth="1"/>
    <col min="8969" max="8969" width="19.81640625" style="1361" customWidth="1"/>
    <col min="8970" max="8970" width="25" style="1361" customWidth="1"/>
    <col min="8971" max="9216" width="9.1796875" style="1361"/>
    <col min="9217" max="9217" width="6.1796875" style="1361" customWidth="1"/>
    <col min="9218" max="9218" width="33.36328125" style="1361" customWidth="1"/>
    <col min="9219" max="9219" width="18.6328125" style="1361" customWidth="1"/>
    <col min="9220" max="9220" width="10.1796875" style="1361" customWidth="1"/>
    <col min="9221" max="9221" width="10.6328125" style="1361" customWidth="1"/>
    <col min="9222" max="9223" width="9.1796875" style="1361"/>
    <col min="9224" max="9224" width="18.36328125" style="1361" customWidth="1"/>
    <col min="9225" max="9225" width="19.81640625" style="1361" customWidth="1"/>
    <col min="9226" max="9226" width="25" style="1361" customWidth="1"/>
    <col min="9227" max="9472" width="9.1796875" style="1361"/>
    <col min="9473" max="9473" width="6.1796875" style="1361" customWidth="1"/>
    <col min="9474" max="9474" width="33.36328125" style="1361" customWidth="1"/>
    <col min="9475" max="9475" width="18.6328125" style="1361" customWidth="1"/>
    <col min="9476" max="9476" width="10.1796875" style="1361" customWidth="1"/>
    <col min="9477" max="9477" width="10.6328125" style="1361" customWidth="1"/>
    <col min="9478" max="9479" width="9.1796875" style="1361"/>
    <col min="9480" max="9480" width="18.36328125" style="1361" customWidth="1"/>
    <col min="9481" max="9481" width="19.81640625" style="1361" customWidth="1"/>
    <col min="9482" max="9482" width="25" style="1361" customWidth="1"/>
    <col min="9483" max="9728" width="9.1796875" style="1361"/>
    <col min="9729" max="9729" width="6.1796875" style="1361" customWidth="1"/>
    <col min="9730" max="9730" width="33.36328125" style="1361" customWidth="1"/>
    <col min="9731" max="9731" width="18.6328125" style="1361" customWidth="1"/>
    <col min="9732" max="9732" width="10.1796875" style="1361" customWidth="1"/>
    <col min="9733" max="9733" width="10.6328125" style="1361" customWidth="1"/>
    <col min="9734" max="9735" width="9.1796875" style="1361"/>
    <col min="9736" max="9736" width="18.36328125" style="1361" customWidth="1"/>
    <col min="9737" max="9737" width="19.81640625" style="1361" customWidth="1"/>
    <col min="9738" max="9738" width="25" style="1361" customWidth="1"/>
    <col min="9739" max="9984" width="9.1796875" style="1361"/>
    <col min="9985" max="9985" width="6.1796875" style="1361" customWidth="1"/>
    <col min="9986" max="9986" width="33.36328125" style="1361" customWidth="1"/>
    <col min="9987" max="9987" width="18.6328125" style="1361" customWidth="1"/>
    <col min="9988" max="9988" width="10.1796875" style="1361" customWidth="1"/>
    <col min="9989" max="9989" width="10.6328125" style="1361" customWidth="1"/>
    <col min="9990" max="9991" width="9.1796875" style="1361"/>
    <col min="9992" max="9992" width="18.36328125" style="1361" customWidth="1"/>
    <col min="9993" max="9993" width="19.81640625" style="1361" customWidth="1"/>
    <col min="9994" max="9994" width="25" style="1361" customWidth="1"/>
    <col min="9995" max="10240" width="9.1796875" style="1361"/>
    <col min="10241" max="10241" width="6.1796875" style="1361" customWidth="1"/>
    <col min="10242" max="10242" width="33.36328125" style="1361" customWidth="1"/>
    <col min="10243" max="10243" width="18.6328125" style="1361" customWidth="1"/>
    <col min="10244" max="10244" width="10.1796875" style="1361" customWidth="1"/>
    <col min="10245" max="10245" width="10.6328125" style="1361" customWidth="1"/>
    <col min="10246" max="10247" width="9.1796875" style="1361"/>
    <col min="10248" max="10248" width="18.36328125" style="1361" customWidth="1"/>
    <col min="10249" max="10249" width="19.81640625" style="1361" customWidth="1"/>
    <col min="10250" max="10250" width="25" style="1361" customWidth="1"/>
    <col min="10251" max="10496" width="9.1796875" style="1361"/>
    <col min="10497" max="10497" width="6.1796875" style="1361" customWidth="1"/>
    <col min="10498" max="10498" width="33.36328125" style="1361" customWidth="1"/>
    <col min="10499" max="10499" width="18.6328125" style="1361" customWidth="1"/>
    <col min="10500" max="10500" width="10.1796875" style="1361" customWidth="1"/>
    <col min="10501" max="10501" width="10.6328125" style="1361" customWidth="1"/>
    <col min="10502" max="10503" width="9.1796875" style="1361"/>
    <col min="10504" max="10504" width="18.36328125" style="1361" customWidth="1"/>
    <col min="10505" max="10505" width="19.81640625" style="1361" customWidth="1"/>
    <col min="10506" max="10506" width="25" style="1361" customWidth="1"/>
    <col min="10507" max="10752" width="9.1796875" style="1361"/>
    <col min="10753" max="10753" width="6.1796875" style="1361" customWidth="1"/>
    <col min="10754" max="10754" width="33.36328125" style="1361" customWidth="1"/>
    <col min="10755" max="10755" width="18.6328125" style="1361" customWidth="1"/>
    <col min="10756" max="10756" width="10.1796875" style="1361" customWidth="1"/>
    <col min="10757" max="10757" width="10.6328125" style="1361" customWidth="1"/>
    <col min="10758" max="10759" width="9.1796875" style="1361"/>
    <col min="10760" max="10760" width="18.36328125" style="1361" customWidth="1"/>
    <col min="10761" max="10761" width="19.81640625" style="1361" customWidth="1"/>
    <col min="10762" max="10762" width="25" style="1361" customWidth="1"/>
    <col min="10763" max="11008" width="9.1796875" style="1361"/>
    <col min="11009" max="11009" width="6.1796875" style="1361" customWidth="1"/>
    <col min="11010" max="11010" width="33.36328125" style="1361" customWidth="1"/>
    <col min="11011" max="11011" width="18.6328125" style="1361" customWidth="1"/>
    <col min="11012" max="11012" width="10.1796875" style="1361" customWidth="1"/>
    <col min="11013" max="11013" width="10.6328125" style="1361" customWidth="1"/>
    <col min="11014" max="11015" width="9.1796875" style="1361"/>
    <col min="11016" max="11016" width="18.36328125" style="1361" customWidth="1"/>
    <col min="11017" max="11017" width="19.81640625" style="1361" customWidth="1"/>
    <col min="11018" max="11018" width="25" style="1361" customWidth="1"/>
    <col min="11019" max="11264" width="9.1796875" style="1361"/>
    <col min="11265" max="11265" width="6.1796875" style="1361" customWidth="1"/>
    <col min="11266" max="11266" width="33.36328125" style="1361" customWidth="1"/>
    <col min="11267" max="11267" width="18.6328125" style="1361" customWidth="1"/>
    <col min="11268" max="11268" width="10.1796875" style="1361" customWidth="1"/>
    <col min="11269" max="11269" width="10.6328125" style="1361" customWidth="1"/>
    <col min="11270" max="11271" width="9.1796875" style="1361"/>
    <col min="11272" max="11272" width="18.36328125" style="1361" customWidth="1"/>
    <col min="11273" max="11273" width="19.81640625" style="1361" customWidth="1"/>
    <col min="11274" max="11274" width="25" style="1361" customWidth="1"/>
    <col min="11275" max="11520" width="9.1796875" style="1361"/>
    <col min="11521" max="11521" width="6.1796875" style="1361" customWidth="1"/>
    <col min="11522" max="11522" width="33.36328125" style="1361" customWidth="1"/>
    <col min="11523" max="11523" width="18.6328125" style="1361" customWidth="1"/>
    <col min="11524" max="11524" width="10.1796875" style="1361" customWidth="1"/>
    <col min="11525" max="11525" width="10.6328125" style="1361" customWidth="1"/>
    <col min="11526" max="11527" width="9.1796875" style="1361"/>
    <col min="11528" max="11528" width="18.36328125" style="1361" customWidth="1"/>
    <col min="11529" max="11529" width="19.81640625" style="1361" customWidth="1"/>
    <col min="11530" max="11530" width="25" style="1361" customWidth="1"/>
    <col min="11531" max="11776" width="9.1796875" style="1361"/>
    <col min="11777" max="11777" width="6.1796875" style="1361" customWidth="1"/>
    <col min="11778" max="11778" width="33.36328125" style="1361" customWidth="1"/>
    <col min="11779" max="11779" width="18.6328125" style="1361" customWidth="1"/>
    <col min="11780" max="11780" width="10.1796875" style="1361" customWidth="1"/>
    <col min="11781" max="11781" width="10.6328125" style="1361" customWidth="1"/>
    <col min="11782" max="11783" width="9.1796875" style="1361"/>
    <col min="11784" max="11784" width="18.36328125" style="1361" customWidth="1"/>
    <col min="11785" max="11785" width="19.81640625" style="1361" customWidth="1"/>
    <col min="11786" max="11786" width="25" style="1361" customWidth="1"/>
    <col min="11787" max="12032" width="9.1796875" style="1361"/>
    <col min="12033" max="12033" width="6.1796875" style="1361" customWidth="1"/>
    <col min="12034" max="12034" width="33.36328125" style="1361" customWidth="1"/>
    <col min="12035" max="12035" width="18.6328125" style="1361" customWidth="1"/>
    <col min="12036" max="12036" width="10.1796875" style="1361" customWidth="1"/>
    <col min="12037" max="12037" width="10.6328125" style="1361" customWidth="1"/>
    <col min="12038" max="12039" width="9.1796875" style="1361"/>
    <col min="12040" max="12040" width="18.36328125" style="1361" customWidth="1"/>
    <col min="12041" max="12041" width="19.81640625" style="1361" customWidth="1"/>
    <col min="12042" max="12042" width="25" style="1361" customWidth="1"/>
    <col min="12043" max="12288" width="9.1796875" style="1361"/>
    <col min="12289" max="12289" width="6.1796875" style="1361" customWidth="1"/>
    <col min="12290" max="12290" width="33.36328125" style="1361" customWidth="1"/>
    <col min="12291" max="12291" width="18.6328125" style="1361" customWidth="1"/>
    <col min="12292" max="12292" width="10.1796875" style="1361" customWidth="1"/>
    <col min="12293" max="12293" width="10.6328125" style="1361" customWidth="1"/>
    <col min="12294" max="12295" width="9.1796875" style="1361"/>
    <col min="12296" max="12296" width="18.36328125" style="1361" customWidth="1"/>
    <col min="12297" max="12297" width="19.81640625" style="1361" customWidth="1"/>
    <col min="12298" max="12298" width="25" style="1361" customWidth="1"/>
    <col min="12299" max="12544" width="9.1796875" style="1361"/>
    <col min="12545" max="12545" width="6.1796875" style="1361" customWidth="1"/>
    <col min="12546" max="12546" width="33.36328125" style="1361" customWidth="1"/>
    <col min="12547" max="12547" width="18.6328125" style="1361" customWidth="1"/>
    <col min="12548" max="12548" width="10.1796875" style="1361" customWidth="1"/>
    <col min="12549" max="12549" width="10.6328125" style="1361" customWidth="1"/>
    <col min="12550" max="12551" width="9.1796875" style="1361"/>
    <col min="12552" max="12552" width="18.36328125" style="1361" customWidth="1"/>
    <col min="12553" max="12553" width="19.81640625" style="1361" customWidth="1"/>
    <col min="12554" max="12554" width="25" style="1361" customWidth="1"/>
    <col min="12555" max="12800" width="9.1796875" style="1361"/>
    <col min="12801" max="12801" width="6.1796875" style="1361" customWidth="1"/>
    <col min="12802" max="12802" width="33.36328125" style="1361" customWidth="1"/>
    <col min="12803" max="12803" width="18.6328125" style="1361" customWidth="1"/>
    <col min="12804" max="12804" width="10.1796875" style="1361" customWidth="1"/>
    <col min="12805" max="12805" width="10.6328125" style="1361" customWidth="1"/>
    <col min="12806" max="12807" width="9.1796875" style="1361"/>
    <col min="12808" max="12808" width="18.36328125" style="1361" customWidth="1"/>
    <col min="12809" max="12809" width="19.81640625" style="1361" customWidth="1"/>
    <col min="12810" max="12810" width="25" style="1361" customWidth="1"/>
    <col min="12811" max="13056" width="9.1796875" style="1361"/>
    <col min="13057" max="13057" width="6.1796875" style="1361" customWidth="1"/>
    <col min="13058" max="13058" width="33.36328125" style="1361" customWidth="1"/>
    <col min="13059" max="13059" width="18.6328125" style="1361" customWidth="1"/>
    <col min="13060" max="13060" width="10.1796875" style="1361" customWidth="1"/>
    <col min="13061" max="13061" width="10.6328125" style="1361" customWidth="1"/>
    <col min="13062" max="13063" width="9.1796875" style="1361"/>
    <col min="13064" max="13064" width="18.36328125" style="1361" customWidth="1"/>
    <col min="13065" max="13065" width="19.81640625" style="1361" customWidth="1"/>
    <col min="13066" max="13066" width="25" style="1361" customWidth="1"/>
    <col min="13067" max="13312" width="9.1796875" style="1361"/>
    <col min="13313" max="13313" width="6.1796875" style="1361" customWidth="1"/>
    <col min="13314" max="13314" width="33.36328125" style="1361" customWidth="1"/>
    <col min="13315" max="13315" width="18.6328125" style="1361" customWidth="1"/>
    <col min="13316" max="13316" width="10.1796875" style="1361" customWidth="1"/>
    <col min="13317" max="13317" width="10.6328125" style="1361" customWidth="1"/>
    <col min="13318" max="13319" width="9.1796875" style="1361"/>
    <col min="13320" max="13320" width="18.36328125" style="1361" customWidth="1"/>
    <col min="13321" max="13321" width="19.81640625" style="1361" customWidth="1"/>
    <col min="13322" max="13322" width="25" style="1361" customWidth="1"/>
    <col min="13323" max="13568" width="9.1796875" style="1361"/>
    <col min="13569" max="13569" width="6.1796875" style="1361" customWidth="1"/>
    <col min="13570" max="13570" width="33.36328125" style="1361" customWidth="1"/>
    <col min="13571" max="13571" width="18.6328125" style="1361" customWidth="1"/>
    <col min="13572" max="13572" width="10.1796875" style="1361" customWidth="1"/>
    <col min="13573" max="13573" width="10.6328125" style="1361" customWidth="1"/>
    <col min="13574" max="13575" width="9.1796875" style="1361"/>
    <col min="13576" max="13576" width="18.36328125" style="1361" customWidth="1"/>
    <col min="13577" max="13577" width="19.81640625" style="1361" customWidth="1"/>
    <col min="13578" max="13578" width="25" style="1361" customWidth="1"/>
    <col min="13579" max="13824" width="9.1796875" style="1361"/>
    <col min="13825" max="13825" width="6.1796875" style="1361" customWidth="1"/>
    <col min="13826" max="13826" width="33.36328125" style="1361" customWidth="1"/>
    <col min="13827" max="13827" width="18.6328125" style="1361" customWidth="1"/>
    <col min="13828" max="13828" width="10.1796875" style="1361" customWidth="1"/>
    <col min="13829" max="13829" width="10.6328125" style="1361" customWidth="1"/>
    <col min="13830" max="13831" width="9.1796875" style="1361"/>
    <col min="13832" max="13832" width="18.36328125" style="1361" customWidth="1"/>
    <col min="13833" max="13833" width="19.81640625" style="1361" customWidth="1"/>
    <col min="13834" max="13834" width="25" style="1361" customWidth="1"/>
    <col min="13835" max="14080" width="9.1796875" style="1361"/>
    <col min="14081" max="14081" width="6.1796875" style="1361" customWidth="1"/>
    <col min="14082" max="14082" width="33.36328125" style="1361" customWidth="1"/>
    <col min="14083" max="14083" width="18.6328125" style="1361" customWidth="1"/>
    <col min="14084" max="14084" width="10.1796875" style="1361" customWidth="1"/>
    <col min="14085" max="14085" width="10.6328125" style="1361" customWidth="1"/>
    <col min="14086" max="14087" width="9.1796875" style="1361"/>
    <col min="14088" max="14088" width="18.36328125" style="1361" customWidth="1"/>
    <col min="14089" max="14089" width="19.81640625" style="1361" customWidth="1"/>
    <col min="14090" max="14090" width="25" style="1361" customWidth="1"/>
    <col min="14091" max="14336" width="9.1796875" style="1361"/>
    <col min="14337" max="14337" width="6.1796875" style="1361" customWidth="1"/>
    <col min="14338" max="14338" width="33.36328125" style="1361" customWidth="1"/>
    <col min="14339" max="14339" width="18.6328125" style="1361" customWidth="1"/>
    <col min="14340" max="14340" width="10.1796875" style="1361" customWidth="1"/>
    <col min="14341" max="14341" width="10.6328125" style="1361" customWidth="1"/>
    <col min="14342" max="14343" width="9.1796875" style="1361"/>
    <col min="14344" max="14344" width="18.36328125" style="1361" customWidth="1"/>
    <col min="14345" max="14345" width="19.81640625" style="1361" customWidth="1"/>
    <col min="14346" max="14346" width="25" style="1361" customWidth="1"/>
    <col min="14347" max="14592" width="9.1796875" style="1361"/>
    <col min="14593" max="14593" width="6.1796875" style="1361" customWidth="1"/>
    <col min="14594" max="14594" width="33.36328125" style="1361" customWidth="1"/>
    <col min="14595" max="14595" width="18.6328125" style="1361" customWidth="1"/>
    <col min="14596" max="14596" width="10.1796875" style="1361" customWidth="1"/>
    <col min="14597" max="14597" width="10.6328125" style="1361" customWidth="1"/>
    <col min="14598" max="14599" width="9.1796875" style="1361"/>
    <col min="14600" max="14600" width="18.36328125" style="1361" customWidth="1"/>
    <col min="14601" max="14601" width="19.81640625" style="1361" customWidth="1"/>
    <col min="14602" max="14602" width="25" style="1361" customWidth="1"/>
    <col min="14603" max="14848" width="9.1796875" style="1361"/>
    <col min="14849" max="14849" width="6.1796875" style="1361" customWidth="1"/>
    <col min="14850" max="14850" width="33.36328125" style="1361" customWidth="1"/>
    <col min="14851" max="14851" width="18.6328125" style="1361" customWidth="1"/>
    <col min="14852" max="14852" width="10.1796875" style="1361" customWidth="1"/>
    <col min="14853" max="14853" width="10.6328125" style="1361" customWidth="1"/>
    <col min="14854" max="14855" width="9.1796875" style="1361"/>
    <col min="14856" max="14856" width="18.36328125" style="1361" customWidth="1"/>
    <col min="14857" max="14857" width="19.81640625" style="1361" customWidth="1"/>
    <col min="14858" max="14858" width="25" style="1361" customWidth="1"/>
    <col min="14859" max="15104" width="9.1796875" style="1361"/>
    <col min="15105" max="15105" width="6.1796875" style="1361" customWidth="1"/>
    <col min="15106" max="15106" width="33.36328125" style="1361" customWidth="1"/>
    <col min="15107" max="15107" width="18.6328125" style="1361" customWidth="1"/>
    <col min="15108" max="15108" width="10.1796875" style="1361" customWidth="1"/>
    <col min="15109" max="15109" width="10.6328125" style="1361" customWidth="1"/>
    <col min="15110" max="15111" width="9.1796875" style="1361"/>
    <col min="15112" max="15112" width="18.36328125" style="1361" customWidth="1"/>
    <col min="15113" max="15113" width="19.81640625" style="1361" customWidth="1"/>
    <col min="15114" max="15114" width="25" style="1361" customWidth="1"/>
    <col min="15115" max="15360" width="9.1796875" style="1361"/>
    <col min="15361" max="15361" width="6.1796875" style="1361" customWidth="1"/>
    <col min="15362" max="15362" width="33.36328125" style="1361" customWidth="1"/>
    <col min="15363" max="15363" width="18.6328125" style="1361" customWidth="1"/>
    <col min="15364" max="15364" width="10.1796875" style="1361" customWidth="1"/>
    <col min="15365" max="15365" width="10.6328125" style="1361" customWidth="1"/>
    <col min="15366" max="15367" width="9.1796875" style="1361"/>
    <col min="15368" max="15368" width="18.36328125" style="1361" customWidth="1"/>
    <col min="15369" max="15369" width="19.81640625" style="1361" customWidth="1"/>
    <col min="15370" max="15370" width="25" style="1361" customWidth="1"/>
    <col min="15371" max="15616" width="9.1796875" style="1361"/>
    <col min="15617" max="15617" width="6.1796875" style="1361" customWidth="1"/>
    <col min="15618" max="15618" width="33.36328125" style="1361" customWidth="1"/>
    <col min="15619" max="15619" width="18.6328125" style="1361" customWidth="1"/>
    <col min="15620" max="15620" width="10.1796875" style="1361" customWidth="1"/>
    <col min="15621" max="15621" width="10.6328125" style="1361" customWidth="1"/>
    <col min="15622" max="15623" width="9.1796875" style="1361"/>
    <col min="15624" max="15624" width="18.36328125" style="1361" customWidth="1"/>
    <col min="15625" max="15625" width="19.81640625" style="1361" customWidth="1"/>
    <col min="15626" max="15626" width="25" style="1361" customWidth="1"/>
    <col min="15627" max="15872" width="9.1796875" style="1361"/>
    <col min="15873" max="15873" width="6.1796875" style="1361" customWidth="1"/>
    <col min="15874" max="15874" width="33.36328125" style="1361" customWidth="1"/>
    <col min="15875" max="15875" width="18.6328125" style="1361" customWidth="1"/>
    <col min="15876" max="15876" width="10.1796875" style="1361" customWidth="1"/>
    <col min="15877" max="15877" width="10.6328125" style="1361" customWidth="1"/>
    <col min="15878" max="15879" width="9.1796875" style="1361"/>
    <col min="15880" max="15880" width="18.36328125" style="1361" customWidth="1"/>
    <col min="15881" max="15881" width="19.81640625" style="1361" customWidth="1"/>
    <col min="15882" max="15882" width="25" style="1361" customWidth="1"/>
    <col min="15883" max="16128" width="9.1796875" style="1361"/>
    <col min="16129" max="16129" width="6.1796875" style="1361" customWidth="1"/>
    <col min="16130" max="16130" width="33.36328125" style="1361" customWidth="1"/>
    <col min="16131" max="16131" width="18.6328125" style="1361" customWidth="1"/>
    <col min="16132" max="16132" width="10.1796875" style="1361" customWidth="1"/>
    <col min="16133" max="16133" width="10.6328125" style="1361" customWidth="1"/>
    <col min="16134" max="16135" width="9.1796875" style="1361"/>
    <col min="16136" max="16136" width="18.36328125" style="1361" customWidth="1"/>
    <col min="16137" max="16137" width="19.81640625" style="1361" customWidth="1"/>
    <col min="16138" max="16138" width="25" style="1361" customWidth="1"/>
    <col min="16139" max="16384" width="9.1796875" style="1361"/>
  </cols>
  <sheetData>
    <row r="1" spans="1:10" ht="15.5" x14ac:dyDescent="0.25">
      <c r="A1" s="1358"/>
      <c r="B1" s="1358"/>
      <c r="C1" s="1359"/>
      <c r="D1" s="1358"/>
      <c r="E1" s="1360"/>
      <c r="F1" s="1358"/>
      <c r="G1" s="1358"/>
      <c r="H1" s="1358"/>
      <c r="I1" s="1358"/>
      <c r="J1" s="1358"/>
    </row>
    <row r="2" spans="1:10" ht="15.5" x14ac:dyDescent="0.25">
      <c r="A2" s="1531" t="s">
        <v>136</v>
      </c>
      <c r="B2" s="1531"/>
      <c r="C2" s="1532" t="s">
        <v>1329</v>
      </c>
      <c r="D2" s="1532"/>
      <c r="E2" s="1532"/>
      <c r="F2" s="1532"/>
      <c r="G2" s="1532"/>
      <c r="H2" s="1532"/>
      <c r="I2" s="1532"/>
      <c r="J2" s="1362" t="s">
        <v>371</v>
      </c>
    </row>
    <row r="3" spans="1:10" ht="18" x14ac:dyDescent="0.25">
      <c r="A3" s="1533" t="s">
        <v>1330</v>
      </c>
      <c r="B3" s="1533"/>
      <c r="C3" s="1532"/>
      <c r="D3" s="1532"/>
      <c r="E3" s="1532"/>
      <c r="F3" s="1532"/>
      <c r="G3" s="1532"/>
      <c r="H3" s="1532"/>
      <c r="I3" s="1532"/>
      <c r="J3" s="1363"/>
    </row>
    <row r="4" spans="1:10" ht="18.5" thickBot="1" x14ac:dyDescent="0.3">
      <c r="A4" s="1363"/>
      <c r="B4" s="1363"/>
      <c r="C4" s="1363"/>
      <c r="D4" s="1363"/>
      <c r="E4" s="1363"/>
      <c r="F4" s="1363"/>
      <c r="G4" s="1363"/>
      <c r="H4" s="1363"/>
      <c r="I4" s="1363"/>
      <c r="J4" s="1363"/>
    </row>
    <row r="5" spans="1:10" ht="45" x14ac:dyDescent="0.25">
      <c r="A5" s="1364" t="s">
        <v>51</v>
      </c>
      <c r="B5" s="1365" t="s">
        <v>796</v>
      </c>
      <c r="C5" s="1365" t="s">
        <v>749</v>
      </c>
      <c r="D5" s="1366" t="s">
        <v>797</v>
      </c>
      <c r="E5" s="1366" t="s">
        <v>750</v>
      </c>
      <c r="F5" s="1366" t="s">
        <v>751</v>
      </c>
      <c r="G5" s="1366" t="s">
        <v>1331</v>
      </c>
      <c r="H5" s="1366" t="s">
        <v>1332</v>
      </c>
      <c r="I5" s="1366" t="s">
        <v>1333</v>
      </c>
      <c r="J5" s="1367" t="s">
        <v>1334</v>
      </c>
    </row>
    <row r="6" spans="1:10" s="1374" customFormat="1" ht="31" x14ac:dyDescent="0.25">
      <c r="A6" s="1368">
        <v>1</v>
      </c>
      <c r="B6" s="1369" t="s">
        <v>1335</v>
      </c>
      <c r="C6" s="1369" t="s">
        <v>1335</v>
      </c>
      <c r="D6" s="1370" t="s">
        <v>1336</v>
      </c>
      <c r="E6" s="1369" t="s">
        <v>1337</v>
      </c>
      <c r="F6" s="1371">
        <v>3</v>
      </c>
      <c r="G6" s="1369" t="s">
        <v>1338</v>
      </c>
      <c r="H6" s="1372" t="s">
        <v>1339</v>
      </c>
      <c r="I6" s="1372" t="s">
        <v>595</v>
      </c>
      <c r="J6" s="1373" t="s">
        <v>1340</v>
      </c>
    </row>
    <row r="7" spans="1:10" s="1374" customFormat="1" ht="46.5" x14ac:dyDescent="0.25">
      <c r="A7" s="1368">
        <v>2</v>
      </c>
      <c r="B7" s="1369" t="s">
        <v>1341</v>
      </c>
      <c r="C7" s="1369" t="s">
        <v>1341</v>
      </c>
      <c r="D7" s="1370" t="s">
        <v>798</v>
      </c>
      <c r="E7" s="1369" t="s">
        <v>1342</v>
      </c>
      <c r="F7" s="1371">
        <v>5</v>
      </c>
      <c r="G7" s="1369" t="s">
        <v>1343</v>
      </c>
      <c r="H7" s="1372" t="s">
        <v>722</v>
      </c>
      <c r="I7" s="1372" t="s">
        <v>1344</v>
      </c>
      <c r="J7" s="1373" t="s">
        <v>1340</v>
      </c>
    </row>
    <row r="8" spans="1:10" s="1374" customFormat="1" ht="46.5" x14ac:dyDescent="0.25">
      <c r="A8" s="1375">
        <v>3</v>
      </c>
      <c r="B8" s="1369" t="s">
        <v>1345</v>
      </c>
      <c r="C8" s="1369" t="s">
        <v>1345</v>
      </c>
      <c r="D8" s="1371" t="s">
        <v>798</v>
      </c>
      <c r="E8" s="1369" t="s">
        <v>1346</v>
      </c>
      <c r="F8" s="1371">
        <v>5</v>
      </c>
      <c r="G8" s="1369" t="s">
        <v>1343</v>
      </c>
      <c r="H8" s="1372" t="s">
        <v>1347</v>
      </c>
      <c r="I8" s="1372" t="s">
        <v>1348</v>
      </c>
      <c r="J8" s="1373" t="s">
        <v>1340</v>
      </c>
    </row>
    <row r="9" spans="1:10" s="1374" customFormat="1" ht="31" x14ac:dyDescent="0.25">
      <c r="A9" s="1375">
        <v>4</v>
      </c>
      <c r="B9" s="1369" t="s">
        <v>1349</v>
      </c>
      <c r="C9" s="1369" t="s">
        <v>1349</v>
      </c>
      <c r="D9" s="1371" t="s">
        <v>798</v>
      </c>
      <c r="E9" s="1369" t="s">
        <v>1350</v>
      </c>
      <c r="F9" s="1371">
        <v>5</v>
      </c>
      <c r="G9" s="1369" t="s">
        <v>1351</v>
      </c>
      <c r="H9" s="1372" t="s">
        <v>1352</v>
      </c>
      <c r="I9" s="1372" t="s">
        <v>1353</v>
      </c>
      <c r="J9" s="1373" t="s">
        <v>1340</v>
      </c>
    </row>
    <row r="10" spans="1:10" s="1374" customFormat="1" ht="31" x14ac:dyDescent="0.25">
      <c r="A10" s="1375">
        <v>5</v>
      </c>
      <c r="B10" s="1369" t="s">
        <v>644</v>
      </c>
      <c r="C10" s="1376" t="s">
        <v>644</v>
      </c>
      <c r="D10" s="1371" t="s">
        <v>798</v>
      </c>
      <c r="E10" s="1369" t="s">
        <v>875</v>
      </c>
      <c r="F10" s="1371">
        <v>4</v>
      </c>
      <c r="G10" s="1369" t="s">
        <v>1351</v>
      </c>
      <c r="H10" s="1372" t="s">
        <v>293</v>
      </c>
      <c r="I10" s="1372" t="s">
        <v>662</v>
      </c>
      <c r="J10" s="1377" t="s">
        <v>1340</v>
      </c>
    </row>
    <row r="11" spans="1:10" s="1374" customFormat="1" ht="15.5" x14ac:dyDescent="0.25">
      <c r="A11" s="1426"/>
      <c r="B11" s="1427" t="s">
        <v>353</v>
      </c>
      <c r="C11" s="1428"/>
      <c r="D11" s="1429"/>
      <c r="E11" s="1430"/>
      <c r="F11" s="1429">
        <f>SUM(F6:F10)</f>
        <v>22</v>
      </c>
      <c r="G11" s="1430"/>
      <c r="H11" s="1431"/>
      <c r="I11" s="1431"/>
      <c r="J11" s="1432"/>
    </row>
    <row r="12" spans="1:10" ht="16" thickBot="1" x14ac:dyDescent="0.3">
      <c r="A12" s="1378"/>
      <c r="B12" s="1379"/>
      <c r="C12" s="1534" t="s">
        <v>1354</v>
      </c>
      <c r="D12" s="1535"/>
      <c r="E12" s="1535"/>
      <c r="F12" s="1535"/>
      <c r="G12" s="1535"/>
      <c r="H12" s="1535"/>
      <c r="I12" s="1535"/>
      <c r="J12" s="1536"/>
    </row>
    <row r="13" spans="1:10" ht="18" x14ac:dyDescent="0.35">
      <c r="A13" s="1363"/>
      <c r="B13" s="1363"/>
      <c r="C13" s="1359"/>
      <c r="D13" s="1380"/>
      <c r="E13" s="1380"/>
      <c r="F13" s="1537" t="s">
        <v>972</v>
      </c>
      <c r="G13" s="1537"/>
      <c r="H13" s="1537"/>
      <c r="I13" s="1537"/>
      <c r="J13" s="1537"/>
    </row>
    <row r="14" spans="1:10" ht="18" x14ac:dyDescent="0.3">
      <c r="A14" s="1363"/>
      <c r="B14" s="1363"/>
      <c r="C14" s="1359"/>
      <c r="D14" s="1381"/>
      <c r="E14" s="1381"/>
      <c r="F14" s="1538" t="s">
        <v>799</v>
      </c>
      <c r="G14" s="1538"/>
      <c r="H14" s="1538"/>
      <c r="I14" s="1538"/>
      <c r="J14" s="1538"/>
    </row>
    <row r="15" spans="1:10" ht="15.5" x14ac:dyDescent="0.25">
      <c r="A15" s="1359"/>
      <c r="B15" s="1359"/>
      <c r="C15" s="1358"/>
      <c r="D15" s="1360"/>
      <c r="E15" s="1358"/>
      <c r="F15" s="1358"/>
      <c r="G15" s="1358"/>
      <c r="H15" s="1358"/>
      <c r="I15" s="1358"/>
      <c r="J15" s="1359"/>
    </row>
    <row r="16" spans="1:10" ht="15.5" x14ac:dyDescent="0.25">
      <c r="A16" s="1359"/>
      <c r="B16" s="1359"/>
      <c r="C16" s="1358"/>
      <c r="D16" s="1360"/>
      <c r="E16" s="1358"/>
      <c r="F16" s="1530" t="s">
        <v>1355</v>
      </c>
      <c r="G16" s="1530"/>
      <c r="H16" s="1530"/>
      <c r="I16" s="1530"/>
      <c r="J16" s="1530"/>
    </row>
    <row r="17" spans="1:10" ht="15.5" x14ac:dyDescent="0.25">
      <c r="A17" s="1359"/>
      <c r="B17" s="1359"/>
      <c r="C17" s="1358"/>
      <c r="D17" s="1360"/>
      <c r="E17" s="1358"/>
      <c r="F17" s="1358"/>
      <c r="G17" s="1358"/>
      <c r="H17" s="1358"/>
      <c r="I17" s="1358"/>
      <c r="J17" s="1359"/>
    </row>
  </sheetData>
  <mergeCells count="7">
    <mergeCell ref="F16:J16"/>
    <mergeCell ref="A2:B2"/>
    <mergeCell ref="C2:I3"/>
    <mergeCell ref="A3:B3"/>
    <mergeCell ref="C12:J12"/>
    <mergeCell ref="F13:J13"/>
    <mergeCell ref="F14:J1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3"/>
  <sheetViews>
    <sheetView workbookViewId="0">
      <selection activeCell="D31" sqref="D31"/>
    </sheetView>
  </sheetViews>
  <sheetFormatPr defaultColWidth="9.1796875" defaultRowHeight="15.5" x14ac:dyDescent="0.25"/>
  <cols>
    <col min="1" max="1" width="5.81640625" style="28" customWidth="1"/>
    <col min="2" max="2" width="39.36328125" style="28" customWidth="1"/>
    <col min="3" max="3" width="10.6328125" style="28" customWidth="1"/>
    <col min="4" max="5" width="12.453125" style="28" customWidth="1"/>
    <col min="6" max="6" width="13.1796875" style="28" customWidth="1"/>
    <col min="7" max="7" width="16" style="28" customWidth="1"/>
    <col min="8" max="16384" width="9.1796875" style="28"/>
  </cols>
  <sheetData>
    <row r="1" spans="1:7" ht="17" customHeight="1" x14ac:dyDescent="0.25">
      <c r="A1" s="1541" t="s">
        <v>3</v>
      </c>
      <c r="B1" s="1541"/>
      <c r="C1" s="1346"/>
      <c r="G1" s="38" t="s">
        <v>240</v>
      </c>
    </row>
    <row r="2" spans="1:7" ht="17" customHeight="1" x14ac:dyDescent="0.25">
      <c r="A2" s="1460" t="s">
        <v>498</v>
      </c>
      <c r="B2" s="1460"/>
      <c r="C2" s="32"/>
    </row>
    <row r="3" spans="1:7" ht="23.25" customHeight="1" x14ac:dyDescent="0.25">
      <c r="A3" s="1460" t="s">
        <v>178</v>
      </c>
      <c r="B3" s="1460"/>
      <c r="C3" s="1460"/>
      <c r="D3" s="1460"/>
      <c r="E3" s="1460"/>
      <c r="F3" s="1460"/>
      <c r="G3" s="1460"/>
    </row>
    <row r="4" spans="1:7" x14ac:dyDescent="0.25">
      <c r="F4" s="1542" t="s">
        <v>84</v>
      </c>
      <c r="G4" s="1542"/>
    </row>
    <row r="5" spans="1:7" s="32" customFormat="1" ht="60" x14ac:dyDescent="0.25">
      <c r="A5" s="1396" t="s">
        <v>51</v>
      </c>
      <c r="B5" s="1396" t="s">
        <v>179</v>
      </c>
      <c r="C5" s="1397" t="s">
        <v>184</v>
      </c>
      <c r="D5" s="1397" t="s">
        <v>183</v>
      </c>
      <c r="E5" s="1397" t="s">
        <v>185</v>
      </c>
      <c r="F5" s="1397" t="s">
        <v>29</v>
      </c>
      <c r="G5" s="1396" t="s">
        <v>2</v>
      </c>
    </row>
    <row r="6" spans="1:7" s="30" customFormat="1" ht="30" x14ac:dyDescent="0.25">
      <c r="A6" s="1398" t="s">
        <v>7</v>
      </c>
      <c r="B6" s="338" t="s">
        <v>180</v>
      </c>
      <c r="C6" s="1399"/>
      <c r="D6" s="768"/>
      <c r="E6" s="768"/>
      <c r="F6" s="1399"/>
      <c r="G6" s="1399"/>
    </row>
    <row r="7" spans="1:7" ht="31" customHeight="1" x14ac:dyDescent="0.25">
      <c r="A7" s="1398" t="s">
        <v>8</v>
      </c>
      <c r="B7" s="1400" t="s">
        <v>181</v>
      </c>
      <c r="C7" s="1400"/>
      <c r="D7" s="1401"/>
      <c r="E7" s="1401"/>
      <c r="F7" s="1402"/>
      <c r="G7" s="1402"/>
    </row>
    <row r="8" spans="1:7" ht="26" customHeight="1" x14ac:dyDescent="0.25">
      <c r="A8" s="1398" t="s">
        <v>25</v>
      </c>
      <c r="B8" s="1399" t="s">
        <v>182</v>
      </c>
      <c r="C8" s="30"/>
      <c r="F8" s="1402"/>
      <c r="G8" s="1402"/>
    </row>
    <row r="9" spans="1:7" ht="30.75" customHeight="1" x14ac:dyDescent="0.25">
      <c r="A9" s="768"/>
      <c r="B9" s="760" t="s">
        <v>876</v>
      </c>
      <c r="C9" s="761">
        <v>500</v>
      </c>
      <c r="D9" s="761">
        <v>3500</v>
      </c>
      <c r="E9" s="1403">
        <v>200</v>
      </c>
      <c r="F9" s="761">
        <f>C9*(D9+E9)*0.65</f>
        <v>1202500</v>
      </c>
      <c r="G9" s="1404"/>
    </row>
    <row r="10" spans="1:7" ht="30.75" customHeight="1" x14ac:dyDescent="0.25">
      <c r="A10" s="768"/>
      <c r="B10" s="234" t="s">
        <v>1376</v>
      </c>
      <c r="C10" s="1405">
        <v>5000</v>
      </c>
      <c r="D10" s="1406">
        <v>2600</v>
      </c>
      <c r="E10" s="1403">
        <v>200</v>
      </c>
      <c r="F10" s="761">
        <f t="shared" ref="F10:F17" si="0">C10*(D10+E10)*0.65</f>
        <v>9100000</v>
      </c>
      <c r="G10" s="1402" t="s">
        <v>1377</v>
      </c>
    </row>
    <row r="11" spans="1:7" ht="37.5" customHeight="1" x14ac:dyDescent="0.25">
      <c r="A11" s="768"/>
      <c r="B11" s="234" t="s">
        <v>1376</v>
      </c>
      <c r="C11" s="761">
        <v>2000</v>
      </c>
      <c r="D11" s="762">
        <v>2600</v>
      </c>
      <c r="E11" s="1403">
        <v>200</v>
      </c>
      <c r="F11" s="761">
        <f>C11*(D11+E11)*0.3</f>
        <v>1680000</v>
      </c>
      <c r="G11" s="1402" t="s">
        <v>877</v>
      </c>
    </row>
    <row r="12" spans="1:7" ht="37.5" customHeight="1" x14ac:dyDescent="0.25">
      <c r="A12" s="1347"/>
      <c r="B12" s="234" t="s">
        <v>1378</v>
      </c>
      <c r="C12" s="762">
        <v>2500</v>
      </c>
      <c r="D12" s="762">
        <v>2600</v>
      </c>
      <c r="E12" s="1403">
        <v>200</v>
      </c>
      <c r="F12" s="761">
        <f t="shared" si="0"/>
        <v>4550000</v>
      </c>
      <c r="G12" s="23"/>
    </row>
    <row r="13" spans="1:7" ht="37.5" customHeight="1" x14ac:dyDescent="0.25">
      <c r="A13" s="1347"/>
      <c r="B13" s="234" t="s">
        <v>1379</v>
      </c>
      <c r="C13" s="762">
        <v>500</v>
      </c>
      <c r="D13" s="762">
        <v>3000</v>
      </c>
      <c r="E13" s="1403">
        <v>200</v>
      </c>
      <c r="F13" s="761">
        <f t="shared" si="0"/>
        <v>1040000</v>
      </c>
      <c r="G13" s="23"/>
    </row>
    <row r="14" spans="1:7" ht="37.5" customHeight="1" x14ac:dyDescent="0.25">
      <c r="A14" s="1347"/>
      <c r="B14" s="234" t="s">
        <v>1380</v>
      </c>
      <c r="C14" s="762">
        <v>1400</v>
      </c>
      <c r="D14" s="762">
        <v>3000</v>
      </c>
      <c r="E14" s="1403">
        <v>200</v>
      </c>
      <c r="F14" s="761">
        <f t="shared" si="0"/>
        <v>2912000</v>
      </c>
      <c r="G14" s="23"/>
    </row>
    <row r="15" spans="1:7" x14ac:dyDescent="0.25">
      <c r="A15" s="1347"/>
      <c r="B15" s="234" t="s">
        <v>1381</v>
      </c>
      <c r="C15" s="762">
        <v>500</v>
      </c>
      <c r="D15" s="762">
        <v>2600</v>
      </c>
      <c r="E15" s="1403">
        <v>200</v>
      </c>
      <c r="F15" s="761">
        <f t="shared" si="0"/>
        <v>910000</v>
      </c>
      <c r="G15" s="23"/>
    </row>
    <row r="16" spans="1:7" ht="15.75" customHeight="1" x14ac:dyDescent="0.25">
      <c r="A16" s="1347"/>
      <c r="B16" s="234" t="s">
        <v>1382</v>
      </c>
      <c r="C16" s="762">
        <v>500</v>
      </c>
      <c r="D16" s="762">
        <v>2600</v>
      </c>
      <c r="E16" s="1403">
        <v>200</v>
      </c>
      <c r="F16" s="761">
        <f t="shared" si="0"/>
        <v>910000</v>
      </c>
      <c r="G16" s="23"/>
    </row>
    <row r="17" spans="1:8" ht="16" customHeight="1" x14ac:dyDescent="0.25">
      <c r="A17" s="1347"/>
      <c r="B17" s="234" t="s">
        <v>878</v>
      </c>
      <c r="C17" s="762">
        <v>1000</v>
      </c>
      <c r="D17" s="762">
        <v>3000</v>
      </c>
      <c r="E17" s="1403">
        <v>200</v>
      </c>
      <c r="F17" s="761">
        <f t="shared" si="0"/>
        <v>2080000</v>
      </c>
      <c r="G17" s="23"/>
    </row>
    <row r="18" spans="1:8" ht="85.5" customHeight="1" x14ac:dyDescent="0.25">
      <c r="A18" s="335"/>
      <c r="B18" s="336" t="s">
        <v>353</v>
      </c>
      <c r="C18" s="1407">
        <f>SUM(C9:C17)</f>
        <v>13900</v>
      </c>
      <c r="D18" s="1407">
        <f>SUM(D9:D17)</f>
        <v>25500</v>
      </c>
      <c r="E18" s="1407">
        <f>SUM(E9:E17)</f>
        <v>1800</v>
      </c>
      <c r="F18" s="1407">
        <f>SUM(F9:F17)</f>
        <v>24384500</v>
      </c>
      <c r="G18" s="337"/>
    </row>
    <row r="19" spans="1:8" s="110" customFormat="1" ht="15.75" customHeight="1" x14ac:dyDescent="0.25">
      <c r="D19" s="1539" t="s">
        <v>1009</v>
      </c>
      <c r="E19" s="1539"/>
      <c r="F19" s="1539"/>
      <c r="G19" s="1539"/>
    </row>
    <row r="20" spans="1:8" x14ac:dyDescent="0.3">
      <c r="B20" s="1540" t="s">
        <v>1383</v>
      </c>
      <c r="C20" s="1540"/>
      <c r="D20" s="1540"/>
      <c r="F20" s="1497" t="s">
        <v>114</v>
      </c>
      <c r="G20" s="1497"/>
      <c r="H20" s="742"/>
    </row>
    <row r="21" spans="1:8" x14ac:dyDescent="0.25">
      <c r="A21" s="30" t="s">
        <v>146</v>
      </c>
      <c r="F21" s="1541" t="s">
        <v>766</v>
      </c>
      <c r="G21" s="1541"/>
    </row>
    <row r="22" spans="1:8" x14ac:dyDescent="0.25">
      <c r="A22" s="28" t="s">
        <v>865</v>
      </c>
    </row>
    <row r="23" spans="1:8" x14ac:dyDescent="0.25">
      <c r="A23" s="28" t="s">
        <v>866</v>
      </c>
    </row>
  </sheetData>
  <mergeCells count="8">
    <mergeCell ref="D19:G19"/>
    <mergeCell ref="B20:D20"/>
    <mergeCell ref="F20:G20"/>
    <mergeCell ref="F21:G21"/>
    <mergeCell ref="A1:B1"/>
    <mergeCell ref="A2:B2"/>
    <mergeCell ref="A3:G3"/>
    <mergeCell ref="F4:G4"/>
  </mergeCells>
  <pageMargins left="0.54" right="0.27" top="0.55000000000000004" bottom="0.27" header="0.55000000000000004" footer="0.22"/>
  <pageSetup scale="9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44"/>
  <sheetViews>
    <sheetView topLeftCell="A13" zoomScale="95" zoomScaleNormal="95" zoomScalePageLayoutView="95" workbookViewId="0">
      <selection activeCell="F22" sqref="F22"/>
    </sheetView>
  </sheetViews>
  <sheetFormatPr defaultColWidth="9.1796875" defaultRowHeight="15.5" x14ac:dyDescent="0.25"/>
  <cols>
    <col min="1" max="1" width="5.81640625" style="28" customWidth="1"/>
    <col min="2" max="2" width="42.453125" style="28" customWidth="1"/>
    <col min="3" max="3" width="10.6328125" style="28" customWidth="1"/>
    <col min="4" max="4" width="12.453125" style="28" customWidth="1"/>
    <col min="5" max="5" width="16.36328125" style="184" customWidth="1"/>
    <col min="6" max="6" width="13.1796875" style="28" customWidth="1"/>
    <col min="7" max="16384" width="9.1796875" style="28"/>
  </cols>
  <sheetData>
    <row r="1" spans="1:6" ht="17" customHeight="1" x14ac:dyDescent="0.25">
      <c r="A1" s="1541" t="s">
        <v>3</v>
      </c>
      <c r="B1" s="1541"/>
      <c r="C1" s="32"/>
      <c r="F1" s="38" t="s">
        <v>241</v>
      </c>
    </row>
    <row r="2" spans="1:6" ht="17" customHeight="1" x14ac:dyDescent="0.25">
      <c r="A2" s="1460" t="s">
        <v>498</v>
      </c>
      <c r="B2" s="1460"/>
      <c r="C2" s="32"/>
    </row>
    <row r="3" spans="1:6" ht="23.25" customHeight="1" x14ac:dyDescent="0.25">
      <c r="A3" s="1460" t="s">
        <v>1384</v>
      </c>
      <c r="B3" s="1460"/>
      <c r="C3" s="1460"/>
      <c r="D3" s="1460"/>
      <c r="E3" s="1460"/>
      <c r="F3" s="1460"/>
    </row>
    <row r="4" spans="1:6" x14ac:dyDescent="0.25">
      <c r="E4" s="1542" t="s">
        <v>84</v>
      </c>
      <c r="F4" s="1542"/>
    </row>
    <row r="5" spans="1:6" s="32" customFormat="1" ht="67.5" customHeight="1" x14ac:dyDescent="0.25">
      <c r="A5" s="333" t="s">
        <v>51</v>
      </c>
      <c r="B5" s="333" t="s">
        <v>41</v>
      </c>
      <c r="C5" s="334" t="s">
        <v>221</v>
      </c>
      <c r="D5" s="334" t="s">
        <v>222</v>
      </c>
      <c r="E5" s="339" t="s">
        <v>29</v>
      </c>
      <c r="F5" s="333" t="s">
        <v>2</v>
      </c>
    </row>
    <row r="6" spans="1:6" s="30" customFormat="1" x14ac:dyDescent="0.25">
      <c r="A6" s="31"/>
      <c r="B6" s="31" t="s">
        <v>50</v>
      </c>
      <c r="C6" s="31"/>
      <c r="D6" s="22"/>
      <c r="E6" s="185"/>
      <c r="F6" s="31"/>
    </row>
    <row r="7" spans="1:6" s="30" customFormat="1" x14ac:dyDescent="0.25">
      <c r="A7" s="26" t="s">
        <v>7</v>
      </c>
      <c r="B7" s="33" t="s">
        <v>49</v>
      </c>
      <c r="C7" s="33"/>
      <c r="D7" s="24"/>
      <c r="E7" s="191">
        <f>SUM(E9:E29)</f>
        <v>47893166</v>
      </c>
      <c r="F7" s="33"/>
    </row>
    <row r="8" spans="1:6" x14ac:dyDescent="0.25">
      <c r="A8" s="26">
        <v>1</v>
      </c>
      <c r="B8" s="138" t="s">
        <v>96</v>
      </c>
      <c r="C8" s="25"/>
      <c r="D8" s="37"/>
      <c r="F8" s="25"/>
    </row>
    <row r="9" spans="1:6" ht="77.5" x14ac:dyDescent="0.25">
      <c r="A9" s="24"/>
      <c r="B9" s="35" t="s">
        <v>176</v>
      </c>
      <c r="C9" s="25">
        <f>Bieu2!H293</f>
        <v>49463</v>
      </c>
      <c r="D9" s="37">
        <v>370</v>
      </c>
      <c r="E9" s="192">
        <f>C9*D9</f>
        <v>18301310</v>
      </c>
      <c r="F9" s="763" t="s">
        <v>1424</v>
      </c>
    </row>
    <row r="10" spans="1:6" x14ac:dyDescent="0.25">
      <c r="A10" s="26">
        <v>2</v>
      </c>
      <c r="B10" s="138" t="s">
        <v>97</v>
      </c>
      <c r="C10" s="25"/>
      <c r="D10" s="37"/>
      <c r="E10" s="192">
        <f t="shared" ref="E10:E22" si="0">C10*D10</f>
        <v>0</v>
      </c>
      <c r="F10" s="25"/>
    </row>
    <row r="11" spans="1:6" ht="30.75" customHeight="1" x14ac:dyDescent="0.25">
      <c r="A11" s="24"/>
      <c r="B11" s="35" t="s">
        <v>174</v>
      </c>
      <c r="C11" s="137"/>
      <c r="D11" s="1401">
        <v>450</v>
      </c>
      <c r="E11" s="192">
        <f t="shared" si="0"/>
        <v>0</v>
      </c>
      <c r="F11" s="25"/>
    </row>
    <row r="12" spans="1:6" ht="77.5" x14ac:dyDescent="0.25">
      <c r="A12" s="24"/>
      <c r="B12" s="35" t="s">
        <v>175</v>
      </c>
      <c r="C12" s="137">
        <f>Bieu2!H296</f>
        <v>58940</v>
      </c>
      <c r="D12" s="1401">
        <v>370</v>
      </c>
      <c r="E12" s="192">
        <f t="shared" si="0"/>
        <v>21807800</v>
      </c>
      <c r="F12" s="763" t="s">
        <v>1424</v>
      </c>
    </row>
    <row r="13" spans="1:6" x14ac:dyDescent="0.25">
      <c r="A13" s="26">
        <v>3</v>
      </c>
      <c r="B13" s="138" t="s">
        <v>98</v>
      </c>
      <c r="C13" s="137"/>
      <c r="D13" s="1401"/>
      <c r="E13" s="192">
        <f t="shared" si="0"/>
        <v>0</v>
      </c>
      <c r="F13" s="25"/>
    </row>
    <row r="14" spans="1:6" ht="31" x14ac:dyDescent="0.25">
      <c r="A14" s="24"/>
      <c r="B14" s="35" t="s">
        <v>174</v>
      </c>
      <c r="C14" s="137"/>
      <c r="D14" s="1401">
        <v>315</v>
      </c>
      <c r="E14" s="192">
        <f t="shared" si="0"/>
        <v>0</v>
      </c>
      <c r="F14" s="25"/>
    </row>
    <row r="15" spans="1:6" x14ac:dyDescent="0.25">
      <c r="A15" s="24"/>
      <c r="B15" s="35" t="s">
        <v>175</v>
      </c>
      <c r="C15" s="137">
        <v>0</v>
      </c>
      <c r="D15" s="1401">
        <v>259</v>
      </c>
      <c r="E15" s="192">
        <f t="shared" si="0"/>
        <v>0</v>
      </c>
      <c r="F15" s="25"/>
    </row>
    <row r="16" spans="1:6" x14ac:dyDescent="0.25">
      <c r="A16" s="26">
        <v>4</v>
      </c>
      <c r="B16" s="138" t="s">
        <v>99</v>
      </c>
      <c r="C16" s="137"/>
      <c r="D16" s="1401"/>
      <c r="E16" s="192">
        <f t="shared" si="0"/>
        <v>0</v>
      </c>
      <c r="F16" s="25"/>
    </row>
    <row r="17" spans="1:6" ht="31" x14ac:dyDescent="0.25">
      <c r="A17" s="24"/>
      <c r="B17" s="35" t="s">
        <v>174</v>
      </c>
      <c r="C17" s="137"/>
      <c r="D17" s="1401">
        <v>752</v>
      </c>
      <c r="E17" s="192">
        <f t="shared" si="0"/>
        <v>0</v>
      </c>
      <c r="F17" s="25"/>
    </row>
    <row r="18" spans="1:6" ht="77.5" x14ac:dyDescent="0.25">
      <c r="A18" s="24"/>
      <c r="B18" s="35" t="s">
        <v>175</v>
      </c>
      <c r="C18" s="25">
        <f>Bieu2!H294</f>
        <v>10836</v>
      </c>
      <c r="D18" s="1401">
        <v>646</v>
      </c>
      <c r="E18" s="192">
        <f t="shared" si="0"/>
        <v>7000056</v>
      </c>
      <c r="F18" s="35" t="s">
        <v>1424</v>
      </c>
    </row>
    <row r="19" spans="1:6" x14ac:dyDescent="0.25">
      <c r="A19" s="26">
        <v>5</v>
      </c>
      <c r="B19" s="138" t="s">
        <v>100</v>
      </c>
      <c r="C19" s="25"/>
      <c r="D19" s="37"/>
      <c r="E19" s="192">
        <f t="shared" si="0"/>
        <v>0</v>
      </c>
      <c r="F19" s="25"/>
    </row>
    <row r="20" spans="1:6" ht="31" x14ac:dyDescent="0.25">
      <c r="A20" s="24"/>
      <c r="B20" s="35" t="s">
        <v>174</v>
      </c>
      <c r="C20" s="25"/>
      <c r="D20" s="761">
        <v>29250</v>
      </c>
      <c r="E20" s="192">
        <f t="shared" si="0"/>
        <v>0</v>
      </c>
      <c r="F20" s="25"/>
    </row>
    <row r="21" spans="1:6" ht="77.5" x14ac:dyDescent="0.25">
      <c r="A21" s="24"/>
      <c r="B21" s="35" t="s">
        <v>175</v>
      </c>
      <c r="C21" s="25">
        <f>Bieu1!G22</f>
        <v>32</v>
      </c>
      <c r="D21" s="761">
        <v>24500</v>
      </c>
      <c r="E21" s="192">
        <f t="shared" si="0"/>
        <v>784000</v>
      </c>
      <c r="F21" s="35" t="s">
        <v>1425</v>
      </c>
    </row>
    <row r="22" spans="1:6" x14ac:dyDescent="0.25">
      <c r="A22" s="24">
        <v>6</v>
      </c>
      <c r="B22" s="35" t="s">
        <v>90</v>
      </c>
      <c r="C22" s="25"/>
      <c r="D22" s="24"/>
      <c r="E22" s="192">
        <f t="shared" si="0"/>
        <v>0</v>
      </c>
      <c r="F22" s="25"/>
    </row>
    <row r="23" spans="1:6" x14ac:dyDescent="0.25">
      <c r="A23" s="104">
        <v>7</v>
      </c>
      <c r="B23" s="25" t="s">
        <v>177</v>
      </c>
      <c r="C23" s="25"/>
      <c r="D23" s="24"/>
      <c r="E23" s="192"/>
      <c r="F23" s="25"/>
    </row>
    <row r="24" spans="1:6" x14ac:dyDescent="0.25">
      <c r="A24" s="104">
        <v>8</v>
      </c>
      <c r="B24" s="25" t="s">
        <v>91</v>
      </c>
      <c r="C24" s="25"/>
      <c r="E24" s="192"/>
      <c r="F24" s="25"/>
    </row>
    <row r="25" spans="1:6" x14ac:dyDescent="0.25">
      <c r="A25" s="104"/>
      <c r="B25" s="25" t="s">
        <v>92</v>
      </c>
      <c r="C25" s="25"/>
      <c r="D25" s="24"/>
      <c r="E25" s="192"/>
      <c r="F25" s="25"/>
    </row>
    <row r="26" spans="1:6" x14ac:dyDescent="0.25">
      <c r="A26" s="104"/>
      <c r="B26" s="25" t="s">
        <v>93</v>
      </c>
      <c r="C26" s="25"/>
      <c r="D26" s="24"/>
      <c r="E26" s="192"/>
      <c r="F26" s="25"/>
    </row>
    <row r="27" spans="1:6" x14ac:dyDescent="0.25">
      <c r="A27" s="104"/>
      <c r="B27" s="25" t="s">
        <v>94</v>
      </c>
      <c r="C27" s="25"/>
      <c r="D27" s="24"/>
      <c r="E27" s="192"/>
      <c r="F27" s="25"/>
    </row>
    <row r="28" spans="1:6" x14ac:dyDescent="0.25">
      <c r="A28" s="104"/>
      <c r="B28" s="25" t="s">
        <v>95</v>
      </c>
      <c r="C28" s="25"/>
      <c r="D28" s="24"/>
      <c r="E28" s="192"/>
      <c r="F28" s="25"/>
    </row>
    <row r="29" spans="1:6" x14ac:dyDescent="0.25">
      <c r="A29" s="104">
        <v>9</v>
      </c>
      <c r="B29" s="25" t="s">
        <v>53</v>
      </c>
      <c r="C29" s="25"/>
      <c r="D29" s="24"/>
      <c r="E29" s="192"/>
      <c r="F29" s="25"/>
    </row>
    <row r="30" spans="1:6" x14ac:dyDescent="0.25">
      <c r="A30" s="26" t="s">
        <v>8</v>
      </c>
      <c r="B30" s="33" t="s">
        <v>48</v>
      </c>
      <c r="C30" s="33"/>
      <c r="D30" s="24"/>
      <c r="E30" s="191"/>
      <c r="F30" s="25"/>
    </row>
    <row r="31" spans="1:6" x14ac:dyDescent="0.25">
      <c r="A31" s="24"/>
      <c r="B31" s="25" t="s">
        <v>52</v>
      </c>
      <c r="C31" s="25"/>
      <c r="D31" s="24"/>
      <c r="E31" s="192"/>
      <c r="F31" s="25"/>
    </row>
    <row r="32" spans="1:6" x14ac:dyDescent="0.25">
      <c r="A32" s="24"/>
      <c r="B32" s="25" t="s">
        <v>111</v>
      </c>
      <c r="C32" s="25"/>
      <c r="D32" s="24"/>
      <c r="E32" s="192"/>
      <c r="F32" s="25"/>
    </row>
    <row r="33" spans="1:7" s="30" customFormat="1" ht="15" x14ac:dyDescent="0.25">
      <c r="A33" s="26" t="s">
        <v>25</v>
      </c>
      <c r="B33" s="33" t="s">
        <v>46</v>
      </c>
      <c r="C33" s="194">
        <f>SUM(C34:C34)</f>
        <v>0</v>
      </c>
      <c r="D33" s="194">
        <f>SUM(D34:D34)</f>
        <v>0</v>
      </c>
      <c r="E33" s="194">
        <f>SUM(E34:E35)</f>
        <v>25709500</v>
      </c>
    </row>
    <row r="34" spans="1:7" s="30" customFormat="1" x14ac:dyDescent="0.25">
      <c r="A34" s="24">
        <v>1</v>
      </c>
      <c r="B34" s="25" t="s">
        <v>1385</v>
      </c>
      <c r="C34" s="25"/>
      <c r="D34" s="26"/>
      <c r="E34" s="192">
        <f>'Bieu 8'!F18</f>
        <v>24384500</v>
      </c>
      <c r="F34" s="25" t="s">
        <v>240</v>
      </c>
    </row>
    <row r="35" spans="1:7" s="30" customFormat="1" ht="46.5" x14ac:dyDescent="0.25">
      <c r="A35" s="768">
        <v>2</v>
      </c>
      <c r="B35" s="340" t="s">
        <v>1386</v>
      </c>
      <c r="C35" s="136">
        <v>0</v>
      </c>
      <c r="D35" s="237"/>
      <c r="E35" s="193">
        <f>'Bieu 7 NCKH'!D7+'Bieu 7 NCKH'!D10</f>
        <v>1325000</v>
      </c>
      <c r="F35" s="23" t="s">
        <v>564</v>
      </c>
    </row>
    <row r="36" spans="1:7" s="30" customFormat="1" x14ac:dyDescent="0.25">
      <c r="A36" s="24"/>
      <c r="B36" s="341" t="s">
        <v>488</v>
      </c>
      <c r="C36" s="336"/>
      <c r="D36" s="342"/>
      <c r="E36" s="343">
        <f>E7+E30+E33</f>
        <v>73602666</v>
      </c>
      <c r="F36" s="337"/>
    </row>
    <row r="37" spans="1:7" s="30" customFormat="1" x14ac:dyDescent="0.25">
      <c r="A37" s="110"/>
      <c r="B37" s="110"/>
      <c r="C37" s="1539" t="s">
        <v>1009</v>
      </c>
      <c r="D37" s="1539"/>
      <c r="E37" s="1539"/>
    </row>
    <row r="38" spans="1:7" s="30" customFormat="1" ht="16" customHeight="1" x14ac:dyDescent="0.3">
      <c r="A38" s="1543" t="s">
        <v>1387</v>
      </c>
      <c r="B38" s="1543"/>
      <c r="C38" s="1543"/>
      <c r="D38" s="1543"/>
      <c r="E38" s="233" t="s">
        <v>114</v>
      </c>
    </row>
    <row r="39" spans="1:7" x14ac:dyDescent="0.25">
      <c r="D39" s="184"/>
      <c r="E39" s="28"/>
    </row>
    <row r="40" spans="1:7" x14ac:dyDescent="0.25">
      <c r="D40" s="184"/>
      <c r="E40" s="28"/>
    </row>
    <row r="41" spans="1:7" x14ac:dyDescent="0.25">
      <c r="D41" s="184"/>
      <c r="E41" s="28"/>
    </row>
    <row r="42" spans="1:7" s="110" customFormat="1" ht="15.75" customHeight="1" x14ac:dyDescent="0.25">
      <c r="B42" s="28"/>
      <c r="C42" s="28"/>
      <c r="D42" s="1442" t="s">
        <v>766</v>
      </c>
      <c r="E42" s="1442"/>
      <c r="F42" s="1442"/>
    </row>
    <row r="43" spans="1:7" x14ac:dyDescent="0.3">
      <c r="G43" s="233"/>
    </row>
    <row r="44" spans="1:7" ht="15" customHeight="1" x14ac:dyDescent="0.25"/>
  </sheetData>
  <mergeCells count="7">
    <mergeCell ref="D42:F42"/>
    <mergeCell ref="A38:D38"/>
    <mergeCell ref="C37:E37"/>
    <mergeCell ref="A1:B1"/>
    <mergeCell ref="A2:B2"/>
    <mergeCell ref="A3:F3"/>
    <mergeCell ref="E4:F4"/>
  </mergeCells>
  <pageMargins left="0.49" right="0.35" top="0.36" bottom="0.32" header="0.19" footer="0.22"/>
  <pageSetup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47"/>
  <sheetViews>
    <sheetView topLeftCell="A19" zoomScale="96" zoomScaleNormal="96" zoomScalePageLayoutView="96" workbookViewId="0">
      <selection activeCell="D52" sqref="D52"/>
    </sheetView>
  </sheetViews>
  <sheetFormatPr defaultColWidth="9.1796875" defaultRowHeight="18" x14ac:dyDescent="0.25"/>
  <cols>
    <col min="1" max="1" width="5.81640625" style="27" customWidth="1"/>
    <col min="2" max="2" width="61" style="27" customWidth="1"/>
    <col min="3" max="3" width="16" style="183" customWidth="1"/>
    <col min="4" max="4" width="21.453125" style="27" customWidth="1"/>
    <col min="5" max="5" width="14.6328125" style="27" hidden="1" customWidth="1"/>
    <col min="6" max="7" width="0" style="27" hidden="1" customWidth="1"/>
    <col min="8" max="16384" width="9.1796875" style="27"/>
  </cols>
  <sheetData>
    <row r="1" spans="1:7" x14ac:dyDescent="0.25">
      <c r="A1" s="1546" t="s">
        <v>138</v>
      </c>
      <c r="B1" s="1546"/>
      <c r="C1" s="1548" t="s">
        <v>242</v>
      </c>
      <c r="D1" s="1548"/>
      <c r="E1" s="39"/>
      <c r="F1" s="39"/>
      <c r="G1" s="39"/>
    </row>
    <row r="2" spans="1:7" x14ac:dyDescent="0.25">
      <c r="A2" s="1547" t="s">
        <v>522</v>
      </c>
      <c r="B2" s="1547"/>
      <c r="C2" s="177"/>
      <c r="D2" s="39"/>
      <c r="E2" s="39"/>
      <c r="F2" s="39"/>
      <c r="G2" s="39"/>
    </row>
    <row r="3" spans="1:7" ht="8.25" customHeight="1" x14ac:dyDescent="0.25">
      <c r="A3" s="39"/>
      <c r="B3" s="39"/>
      <c r="C3" s="177"/>
      <c r="D3" s="39"/>
      <c r="E3" s="39"/>
      <c r="F3" s="39"/>
      <c r="G3" s="39"/>
    </row>
    <row r="4" spans="1:7" ht="30" customHeight="1" x14ac:dyDescent="0.25">
      <c r="A4" s="1549" t="s">
        <v>1388</v>
      </c>
      <c r="B4" s="1549"/>
      <c r="C4" s="1549"/>
      <c r="D4" s="1549"/>
      <c r="E4" s="39"/>
      <c r="F4" s="39"/>
      <c r="G4" s="39"/>
    </row>
    <row r="5" spans="1:7" ht="18.5" thickBot="1" x14ac:dyDescent="0.3">
      <c r="A5" s="39"/>
      <c r="B5" s="39"/>
      <c r="C5" s="1550" t="s">
        <v>71</v>
      </c>
      <c r="D5" s="1550"/>
      <c r="E5" s="39"/>
      <c r="F5" s="39"/>
      <c r="G5" s="39"/>
    </row>
    <row r="6" spans="1:7" s="32" customFormat="1" ht="15.5" thickTop="1" x14ac:dyDescent="0.25">
      <c r="A6" s="111" t="s">
        <v>51</v>
      </c>
      <c r="B6" s="112" t="s">
        <v>41</v>
      </c>
      <c r="C6" s="178" t="s">
        <v>29</v>
      </c>
      <c r="D6" s="113" t="s">
        <v>2</v>
      </c>
      <c r="E6" s="40"/>
      <c r="F6" s="40"/>
      <c r="G6" s="40"/>
    </row>
    <row r="7" spans="1:7" s="30" customFormat="1" ht="15" x14ac:dyDescent="0.25">
      <c r="A7" s="114"/>
      <c r="B7" s="41" t="s">
        <v>144</v>
      </c>
      <c r="C7" s="179"/>
      <c r="D7" s="115"/>
      <c r="E7" s="42"/>
      <c r="F7" s="42"/>
      <c r="G7" s="42"/>
    </row>
    <row r="8" spans="1:7" s="30" customFormat="1" ht="17" customHeight="1" x14ac:dyDescent="0.25">
      <c r="A8" s="126">
        <v>1</v>
      </c>
      <c r="B8" s="139" t="s">
        <v>45</v>
      </c>
      <c r="C8" s="180">
        <f>SUM(C9:C19)</f>
        <v>18787289.100000001</v>
      </c>
      <c r="D8" s="127"/>
      <c r="E8" s="42"/>
      <c r="F8" s="42"/>
      <c r="G8" s="42"/>
    </row>
    <row r="9" spans="1:7" s="28" customFormat="1" ht="34.5" customHeight="1" x14ac:dyDescent="0.25">
      <c r="A9" s="104">
        <v>1.1000000000000001</v>
      </c>
      <c r="B9" s="141" t="s">
        <v>199</v>
      </c>
      <c r="C9" s="181">
        <v>11074800</v>
      </c>
      <c r="D9" s="128" t="s">
        <v>489</v>
      </c>
      <c r="E9" s="181"/>
    </row>
    <row r="10" spans="1:7" s="28" customFormat="1" ht="17" customHeight="1" x14ac:dyDescent="0.25">
      <c r="A10" s="104">
        <v>1.2</v>
      </c>
      <c r="B10" s="140" t="s">
        <v>64</v>
      </c>
      <c r="C10" s="181">
        <f>80*Bieu2!N298</f>
        <v>3710764</v>
      </c>
      <c r="D10" s="128" t="s">
        <v>1412</v>
      </c>
    </row>
    <row r="11" spans="1:7" s="28" customFormat="1" ht="28.5" customHeight="1" x14ac:dyDescent="0.25">
      <c r="A11" s="104">
        <v>1.3</v>
      </c>
      <c r="B11" s="25" t="s">
        <v>202</v>
      </c>
      <c r="C11" s="181">
        <f>0.21*'Bieu 9'!E9</f>
        <v>3843275.0999999996</v>
      </c>
      <c r="D11" s="207" t="s">
        <v>1413</v>
      </c>
    </row>
    <row r="12" spans="1:7" s="28" customFormat="1" ht="19.5" customHeight="1" x14ac:dyDescent="0.25">
      <c r="A12" s="104">
        <v>1.4</v>
      </c>
      <c r="B12" s="25" t="s">
        <v>63</v>
      </c>
      <c r="C12" s="181"/>
      <c r="D12" s="128"/>
    </row>
    <row r="13" spans="1:7" s="28" customFormat="1" ht="17" customHeight="1" x14ac:dyDescent="0.25">
      <c r="A13" s="104">
        <v>1.5</v>
      </c>
      <c r="B13" s="25" t="s">
        <v>62</v>
      </c>
      <c r="C13" s="181">
        <f>1000*10</f>
        <v>10000</v>
      </c>
      <c r="D13" s="128"/>
    </row>
    <row r="14" spans="1:7" s="28" customFormat="1" ht="47" customHeight="1" x14ac:dyDescent="0.25">
      <c r="A14" s="104">
        <v>1.6</v>
      </c>
      <c r="B14" s="25" t="s">
        <v>874</v>
      </c>
      <c r="C14" s="181">
        <f>(400*10+1000)*1</f>
        <v>5000</v>
      </c>
      <c r="D14" s="1424" t="s">
        <v>1414</v>
      </c>
    </row>
    <row r="15" spans="1:7" s="28" customFormat="1" ht="17" customHeight="1" x14ac:dyDescent="0.25">
      <c r="A15" s="104">
        <v>1.7</v>
      </c>
      <c r="B15" s="25" t="s">
        <v>490</v>
      </c>
    </row>
    <row r="16" spans="1:7" s="28" customFormat="1" ht="17" customHeight="1" x14ac:dyDescent="0.25">
      <c r="A16" s="104"/>
      <c r="B16" s="25" t="s">
        <v>491</v>
      </c>
      <c r="C16" s="181">
        <v>30000</v>
      </c>
      <c r="D16" s="128" t="s">
        <v>565</v>
      </c>
    </row>
    <row r="17" spans="1:4" s="28" customFormat="1" ht="27.75" customHeight="1" x14ac:dyDescent="0.25">
      <c r="A17" s="104"/>
      <c r="B17" s="35" t="s">
        <v>1415</v>
      </c>
      <c r="C17" s="181">
        <f>12.5*2*(Bieu1!G10+Bieu1!G14+Bieu1!G12 +Bieu1!G13)</f>
        <v>32950</v>
      </c>
      <c r="D17" s="128" t="s">
        <v>565</v>
      </c>
    </row>
    <row r="18" spans="1:4" s="28" customFormat="1" ht="31.5" customHeight="1" x14ac:dyDescent="0.25">
      <c r="A18" s="104"/>
      <c r="B18" s="25" t="s">
        <v>492</v>
      </c>
      <c r="C18" s="181">
        <v>25000</v>
      </c>
      <c r="D18" s="207" t="s">
        <v>711</v>
      </c>
    </row>
    <row r="19" spans="1:4" s="28" customFormat="1" ht="20.25" customHeight="1" x14ac:dyDescent="0.25">
      <c r="A19" s="104"/>
      <c r="B19" s="25" t="s">
        <v>571</v>
      </c>
      <c r="C19" s="181">
        <f>1500*37</f>
        <v>55500</v>
      </c>
      <c r="D19" s="128" t="s">
        <v>569</v>
      </c>
    </row>
    <row r="20" spans="1:4" s="28" customFormat="1" ht="17" customHeight="1" x14ac:dyDescent="0.25">
      <c r="A20" s="105">
        <v>2</v>
      </c>
      <c r="B20" s="33" t="s">
        <v>200</v>
      </c>
      <c r="C20" s="180">
        <f>SUM(C21:C34)</f>
        <v>11605198.6</v>
      </c>
      <c r="D20" s="128"/>
    </row>
    <row r="21" spans="1:4" s="28" customFormat="1" ht="17" customHeight="1" x14ac:dyDescent="0.25">
      <c r="A21" s="135">
        <v>2.1</v>
      </c>
      <c r="B21" s="35" t="s">
        <v>61</v>
      </c>
      <c r="C21" s="181">
        <f>6*300</f>
        <v>1800</v>
      </c>
      <c r="D21" s="128"/>
    </row>
    <row r="22" spans="1:4" s="28" customFormat="1" ht="17" customHeight="1" x14ac:dyDescent="0.25">
      <c r="A22" s="104" t="s">
        <v>131</v>
      </c>
      <c r="B22" s="35" t="s">
        <v>60</v>
      </c>
      <c r="C22" s="181">
        <f>500*35+2*(Bieu1!G7)</f>
        <v>22388</v>
      </c>
      <c r="D22" s="128" t="s">
        <v>1416</v>
      </c>
    </row>
    <row r="23" spans="1:4" s="28" customFormat="1" ht="17" customHeight="1" x14ac:dyDescent="0.25">
      <c r="A23" s="129" t="s">
        <v>132</v>
      </c>
      <c r="B23" s="35" t="s">
        <v>59</v>
      </c>
      <c r="C23" s="182">
        <f>(300+200*11)*10</f>
        <v>25000</v>
      </c>
      <c r="D23" s="130" t="s">
        <v>493</v>
      </c>
    </row>
    <row r="24" spans="1:4" s="28" customFormat="1" ht="17" customHeight="1" x14ac:dyDescent="0.25">
      <c r="A24" s="104" t="s">
        <v>133</v>
      </c>
      <c r="B24" s="35" t="s">
        <v>58</v>
      </c>
      <c r="C24" s="182">
        <v>42580</v>
      </c>
      <c r="D24" s="130" t="s">
        <v>494</v>
      </c>
    </row>
    <row r="25" spans="1:4" s="28" customFormat="1" ht="17" customHeight="1" x14ac:dyDescent="0.25">
      <c r="A25" s="129" t="s">
        <v>139</v>
      </c>
      <c r="B25" s="35" t="s">
        <v>57</v>
      </c>
      <c r="C25" s="182">
        <f>10*4000</f>
        <v>40000</v>
      </c>
      <c r="D25" s="130"/>
    </row>
    <row r="26" spans="1:4" s="28" customFormat="1" ht="21" customHeight="1" x14ac:dyDescent="0.25">
      <c r="A26" s="104" t="s">
        <v>140</v>
      </c>
      <c r="B26" s="35" t="s">
        <v>56</v>
      </c>
      <c r="C26" s="182">
        <f>115*Bieu2!K298</f>
        <v>357374</v>
      </c>
      <c r="D26" s="130" t="s">
        <v>712</v>
      </c>
    </row>
    <row r="27" spans="1:4" s="28" customFormat="1" ht="17" customHeight="1" x14ac:dyDescent="0.25">
      <c r="A27" s="129" t="s">
        <v>141</v>
      </c>
      <c r="B27" s="35" t="s">
        <v>55</v>
      </c>
      <c r="C27" s="182">
        <v>30000</v>
      </c>
      <c r="D27" s="130"/>
    </row>
    <row r="28" spans="1:4" s="28" customFormat="1" ht="17" customHeight="1" x14ac:dyDescent="0.25">
      <c r="A28" s="104" t="s">
        <v>142</v>
      </c>
      <c r="B28" s="23" t="s">
        <v>54</v>
      </c>
      <c r="C28" s="182">
        <f>Bieu5!F6</f>
        <v>30200</v>
      </c>
      <c r="D28" s="130" t="s">
        <v>495</v>
      </c>
    </row>
    <row r="29" spans="1:4" s="28" customFormat="1" ht="64.5" customHeight="1" x14ac:dyDescent="0.25">
      <c r="A29" s="129" t="s">
        <v>143</v>
      </c>
      <c r="B29" s="29" t="s">
        <v>203</v>
      </c>
      <c r="C29" s="182">
        <v>766970</v>
      </c>
      <c r="D29" s="130" t="s">
        <v>494</v>
      </c>
    </row>
    <row r="30" spans="1:4" s="28" customFormat="1" ht="17" customHeight="1" x14ac:dyDescent="0.25">
      <c r="A30" s="129">
        <v>2.9</v>
      </c>
      <c r="B30" s="29" t="s">
        <v>105</v>
      </c>
      <c r="C30" s="182">
        <v>10000</v>
      </c>
      <c r="D30" s="130"/>
    </row>
    <row r="31" spans="1:4" s="28" customFormat="1" ht="17" customHeight="1" x14ac:dyDescent="0.25">
      <c r="A31" s="129"/>
      <c r="B31" s="29" t="s">
        <v>713</v>
      </c>
      <c r="C31" s="182">
        <f>'Bieu 7 NCKH'!D14+'Bieu 7 NCKH'!D21</f>
        <v>180000</v>
      </c>
      <c r="D31" s="130" t="s">
        <v>496</v>
      </c>
    </row>
    <row r="32" spans="1:4" s="28" customFormat="1" ht="17" customHeight="1" x14ac:dyDescent="0.25">
      <c r="A32" s="240"/>
      <c r="B32" s="29" t="s">
        <v>1421</v>
      </c>
      <c r="C32" s="182">
        <f>'Bieu 7 NCKH'!D11</f>
        <v>175000</v>
      </c>
      <c r="D32" s="130" t="s">
        <v>572</v>
      </c>
    </row>
    <row r="33" spans="1:5" s="28" customFormat="1" ht="33.75" customHeight="1" x14ac:dyDescent="0.25">
      <c r="A33" s="240"/>
      <c r="B33" s="29" t="s">
        <v>884</v>
      </c>
      <c r="C33" s="182">
        <f>0.3*'Bieu 8'!F18</f>
        <v>7315350</v>
      </c>
      <c r="D33" s="600" t="s">
        <v>883</v>
      </c>
    </row>
    <row r="34" spans="1:5" s="28" customFormat="1" ht="31" x14ac:dyDescent="0.25">
      <c r="A34" s="132"/>
      <c r="B34" s="29" t="s">
        <v>567</v>
      </c>
      <c r="C34" s="182">
        <f>0.1*('Bieu 9'!E9+'Bieu 9'!E21+'Bieu 9'!E18)</f>
        <v>2608536.6</v>
      </c>
      <c r="D34" s="600" t="s">
        <v>1417</v>
      </c>
    </row>
    <row r="35" spans="1:5" s="28" customFormat="1" ht="15.5" x14ac:dyDescent="0.25">
      <c r="A35" s="105">
        <v>3</v>
      </c>
      <c r="B35" s="34" t="s">
        <v>43</v>
      </c>
      <c r="C35" s="180">
        <f>SUM(C36:C37)</f>
        <v>98000</v>
      </c>
      <c r="D35" s="130"/>
    </row>
    <row r="36" spans="1:5" s="28" customFormat="1" ht="19.5" customHeight="1" x14ac:dyDescent="0.25">
      <c r="A36" s="132">
        <v>3.1</v>
      </c>
      <c r="B36" s="29" t="s">
        <v>201</v>
      </c>
      <c r="C36" s="182">
        <f>Bieu5!F16</f>
        <v>10000</v>
      </c>
      <c r="D36" s="130" t="s">
        <v>495</v>
      </c>
    </row>
    <row r="37" spans="1:5" s="28" customFormat="1" ht="31" x14ac:dyDescent="0.25">
      <c r="A37" s="132">
        <v>3.2</v>
      </c>
      <c r="B37" s="29" t="s">
        <v>1420</v>
      </c>
      <c r="C37" s="182">
        <f>4000*'Biểu 7B Xuất bản'!F11</f>
        <v>88000</v>
      </c>
      <c r="D37" s="600" t="s">
        <v>1419</v>
      </c>
    </row>
    <row r="38" spans="1:5" s="28" customFormat="1" ht="15.5" x14ac:dyDescent="0.25">
      <c r="A38" s="131">
        <v>4</v>
      </c>
      <c r="B38" s="34" t="s">
        <v>105</v>
      </c>
      <c r="C38" s="190">
        <f>C39+C40</f>
        <v>35000</v>
      </c>
      <c r="D38" s="130"/>
    </row>
    <row r="39" spans="1:5" s="28" customFormat="1" ht="15.5" x14ac:dyDescent="0.25">
      <c r="A39" s="132">
        <v>4.0999999999999996</v>
      </c>
      <c r="B39" s="23" t="s">
        <v>103</v>
      </c>
      <c r="C39" s="182">
        <v>20000</v>
      </c>
      <c r="D39" s="130"/>
    </row>
    <row r="40" spans="1:5" s="28" customFormat="1" ht="15.5" x14ac:dyDescent="0.25">
      <c r="A40" s="132">
        <v>4.2</v>
      </c>
      <c r="B40" s="23" t="s">
        <v>104</v>
      </c>
      <c r="C40" s="182">
        <v>15000</v>
      </c>
      <c r="D40" s="130"/>
    </row>
    <row r="41" spans="1:5" s="28" customFormat="1" thickBot="1" x14ac:dyDescent="0.3">
      <c r="A41" s="133"/>
      <c r="B41" s="176" t="s">
        <v>497</v>
      </c>
      <c r="C41" s="208">
        <f>C38+C35+C20+C8</f>
        <v>30525487.700000003</v>
      </c>
      <c r="D41" s="134"/>
    </row>
    <row r="42" spans="1:5" ht="8.25" customHeight="1" thickTop="1" x14ac:dyDescent="0.25">
      <c r="C42" s="1539"/>
      <c r="D42" s="1539"/>
    </row>
    <row r="43" spans="1:5" ht="14.25" customHeight="1" x14ac:dyDescent="0.25">
      <c r="A43" s="110"/>
      <c r="C43" s="1544" t="s">
        <v>1009</v>
      </c>
      <c r="D43" s="1544"/>
    </row>
    <row r="44" spans="1:5" ht="14.25" customHeight="1" x14ac:dyDescent="0.3">
      <c r="C44" s="1545" t="s">
        <v>114</v>
      </c>
      <c r="D44" s="1545"/>
      <c r="E44" s="198"/>
    </row>
    <row r="45" spans="1:5" x14ac:dyDescent="0.25">
      <c r="A45" s="1434" t="s">
        <v>1426</v>
      </c>
    </row>
    <row r="47" spans="1:5" x14ac:dyDescent="0.25">
      <c r="C47" s="1442" t="s">
        <v>766</v>
      </c>
      <c r="D47" s="1442"/>
    </row>
  </sheetData>
  <mergeCells count="9">
    <mergeCell ref="C47:D47"/>
    <mergeCell ref="C43:D43"/>
    <mergeCell ref="C44:D44"/>
    <mergeCell ref="A1:B1"/>
    <mergeCell ref="A2:B2"/>
    <mergeCell ref="C1:D1"/>
    <mergeCell ref="A4:D4"/>
    <mergeCell ref="C5:D5"/>
    <mergeCell ref="C42:D42"/>
  </mergeCells>
  <pageMargins left="0.57999999999999996" right="0.24" top="0.55000000000000004" bottom="1.1200000000000001" header="0.36" footer="0.17"/>
  <pageSetup scale="95"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278"/>
  <sheetViews>
    <sheetView workbookViewId="0">
      <selection activeCell="D30" sqref="D30"/>
    </sheetView>
  </sheetViews>
  <sheetFormatPr defaultColWidth="9.1796875" defaultRowHeight="18" x14ac:dyDescent="0.25"/>
  <cols>
    <col min="1" max="1" width="5.81640625" style="27" customWidth="1"/>
    <col min="2" max="2" width="45.81640625" style="27" customWidth="1"/>
    <col min="3" max="3" width="21.36328125" style="183" customWidth="1"/>
    <col min="4" max="4" width="23.6328125" style="27" customWidth="1"/>
    <col min="5" max="16384" width="9.1796875" style="27"/>
  </cols>
  <sheetData>
    <row r="1" spans="1:6" x14ac:dyDescent="0.25">
      <c r="A1" s="1546" t="s">
        <v>136</v>
      </c>
      <c r="B1" s="1546"/>
      <c r="C1" s="177"/>
      <c r="D1" s="38" t="s">
        <v>244</v>
      </c>
      <c r="E1" s="39"/>
      <c r="F1" s="39"/>
    </row>
    <row r="2" spans="1:6" x14ac:dyDescent="0.25">
      <c r="A2" s="1547" t="s">
        <v>529</v>
      </c>
      <c r="B2" s="1547"/>
      <c r="C2" s="177"/>
      <c r="D2" s="39"/>
      <c r="E2" s="39"/>
      <c r="F2" s="39"/>
    </row>
    <row r="3" spans="1:6" ht="12" customHeight="1" x14ac:dyDescent="0.25">
      <c r="A3" s="39"/>
      <c r="B3" s="39"/>
      <c r="C3" s="177"/>
      <c r="D3" s="39"/>
      <c r="E3" s="39"/>
      <c r="F3" s="39"/>
    </row>
    <row r="4" spans="1:6" ht="24" customHeight="1" x14ac:dyDescent="0.25">
      <c r="A4" s="1549" t="s">
        <v>1427</v>
      </c>
      <c r="B4" s="1549"/>
      <c r="C4" s="1549"/>
      <c r="D4" s="1549"/>
      <c r="E4" s="39"/>
      <c r="F4" s="39"/>
    </row>
    <row r="5" spans="1:6" ht="18.5" thickBot="1" x14ac:dyDescent="0.3">
      <c r="A5" s="39"/>
      <c r="B5" s="39"/>
      <c r="C5" s="1551" t="s">
        <v>544</v>
      </c>
      <c r="D5" s="1551"/>
      <c r="E5" s="39"/>
      <c r="F5" s="39"/>
    </row>
    <row r="6" spans="1:6" s="32" customFormat="1" ht="15.5" thickTop="1" x14ac:dyDescent="0.25">
      <c r="A6" s="111" t="s">
        <v>51</v>
      </c>
      <c r="B6" s="112" t="s">
        <v>41</v>
      </c>
      <c r="C6" s="178" t="s">
        <v>72</v>
      </c>
      <c r="D6" s="113" t="s">
        <v>2</v>
      </c>
      <c r="E6" s="40"/>
      <c r="F6" s="40"/>
    </row>
    <row r="7" spans="1:6" s="30" customFormat="1" ht="15" x14ac:dyDescent="0.25">
      <c r="A7" s="114" t="s">
        <v>6</v>
      </c>
      <c r="B7" s="41" t="s">
        <v>110</v>
      </c>
      <c r="C7" s="179">
        <f>SUM(C8:C11)</f>
        <v>73602666</v>
      </c>
      <c r="D7" s="115" t="s">
        <v>545</v>
      </c>
      <c r="E7" s="42"/>
      <c r="F7" s="42"/>
    </row>
    <row r="8" spans="1:6" s="28" customFormat="1" ht="15.5" x14ac:dyDescent="0.25">
      <c r="A8" s="116">
        <v>1</v>
      </c>
      <c r="B8" s="43" t="s">
        <v>49</v>
      </c>
      <c r="C8" s="186">
        <f>'Bieu 9'!E7</f>
        <v>47893166</v>
      </c>
      <c r="D8" s="117"/>
      <c r="E8" s="44"/>
      <c r="F8" s="44"/>
    </row>
    <row r="9" spans="1:6" s="28" customFormat="1" ht="15.5" x14ac:dyDescent="0.25">
      <c r="A9" s="118">
        <v>2</v>
      </c>
      <c r="B9" s="45" t="s">
        <v>48</v>
      </c>
      <c r="C9" s="187">
        <f>'Bieu 9'!E30</f>
        <v>0</v>
      </c>
      <c r="D9" s="119"/>
      <c r="E9" s="44"/>
      <c r="F9" s="44"/>
    </row>
    <row r="10" spans="1:6" s="28" customFormat="1" ht="15.5" x14ac:dyDescent="0.25">
      <c r="A10" s="118">
        <v>3</v>
      </c>
      <c r="B10" s="45" t="s">
        <v>47</v>
      </c>
      <c r="C10" s="187">
        <f>'Bieu 9'!E30</f>
        <v>0</v>
      </c>
      <c r="D10" s="119"/>
      <c r="E10" s="44"/>
      <c r="F10" s="44"/>
    </row>
    <row r="11" spans="1:6" s="28" customFormat="1" ht="15.5" x14ac:dyDescent="0.25">
      <c r="A11" s="120">
        <v>4</v>
      </c>
      <c r="B11" s="45" t="s">
        <v>46</v>
      </c>
      <c r="C11" s="187">
        <f>'Bieu 9'!E33</f>
        <v>25709500</v>
      </c>
      <c r="D11" s="119"/>
      <c r="E11" s="44"/>
      <c r="F11" s="44"/>
    </row>
    <row r="12" spans="1:6" s="28" customFormat="1" ht="15.5" x14ac:dyDescent="0.25">
      <c r="A12" s="121"/>
      <c r="B12" s="46"/>
      <c r="C12" s="188"/>
      <c r="D12" s="122"/>
      <c r="E12" s="44"/>
      <c r="F12" s="44"/>
    </row>
    <row r="13" spans="1:6" s="30" customFormat="1" ht="15" x14ac:dyDescent="0.25">
      <c r="A13" s="114" t="s">
        <v>19</v>
      </c>
      <c r="B13" s="41" t="s">
        <v>145</v>
      </c>
      <c r="C13" s="179">
        <f>SUM(C14:C17)</f>
        <v>30525487.700000003</v>
      </c>
      <c r="D13" s="115" t="s">
        <v>546</v>
      </c>
      <c r="E13" s="42"/>
      <c r="F13" s="42"/>
    </row>
    <row r="14" spans="1:6" s="28" customFormat="1" ht="15.5" x14ac:dyDescent="0.25">
      <c r="A14" s="116">
        <v>1</v>
      </c>
      <c r="B14" s="43" t="s">
        <v>45</v>
      </c>
      <c r="C14" s="186">
        <f>'Bieu 10'!C8</f>
        <v>18787289.100000001</v>
      </c>
      <c r="D14" s="117"/>
      <c r="E14" s="44"/>
      <c r="F14" s="44"/>
    </row>
    <row r="15" spans="1:6" s="28" customFormat="1" ht="15.5" x14ac:dyDescent="0.25">
      <c r="A15" s="120">
        <v>2</v>
      </c>
      <c r="B15" s="45" t="s">
        <v>44</v>
      </c>
      <c r="C15" s="187">
        <f>'Bieu 10'!C20</f>
        <v>11605198.6</v>
      </c>
      <c r="D15" s="119"/>
      <c r="E15" s="44"/>
      <c r="F15" s="44"/>
    </row>
    <row r="16" spans="1:6" s="28" customFormat="1" ht="15.5" x14ac:dyDescent="0.25">
      <c r="A16" s="123">
        <v>3</v>
      </c>
      <c r="B16" s="47" t="s">
        <v>43</v>
      </c>
      <c r="C16" s="189">
        <f>'Bieu 10'!C35</f>
        <v>98000</v>
      </c>
      <c r="D16" s="124"/>
      <c r="E16" s="44"/>
      <c r="F16" s="44"/>
    </row>
    <row r="17" spans="1:6" s="28" customFormat="1" ht="15.5" x14ac:dyDescent="0.25">
      <c r="A17" s="123">
        <v>4</v>
      </c>
      <c r="B17" s="47" t="s">
        <v>17</v>
      </c>
      <c r="C17" s="189">
        <f>'Bieu 10'!C38</f>
        <v>35000</v>
      </c>
      <c r="D17" s="124"/>
      <c r="E17" s="44"/>
      <c r="F17" s="44"/>
    </row>
    <row r="18" spans="1:6" s="28" customFormat="1" ht="16" thickBot="1" x14ac:dyDescent="0.3">
      <c r="A18" s="239" t="s">
        <v>422</v>
      </c>
      <c r="B18" s="465" t="s">
        <v>568</v>
      </c>
      <c r="C18" s="464">
        <f>C7-C13</f>
        <v>43077178.299999997</v>
      </c>
      <c r="D18" s="125"/>
      <c r="E18" s="44"/>
      <c r="F18" s="44"/>
    </row>
    <row r="19" spans="1:6" ht="18.5" thickTop="1" x14ac:dyDescent="0.35">
      <c r="A19" s="39"/>
      <c r="B19" s="39"/>
      <c r="C19" s="1552" t="s">
        <v>1009</v>
      </c>
      <c r="D19" s="1552"/>
      <c r="E19" s="39"/>
      <c r="F19" s="39"/>
    </row>
    <row r="20" spans="1:6" x14ac:dyDescent="0.3">
      <c r="A20" s="39"/>
      <c r="B20" s="39"/>
      <c r="C20" s="1473" t="s">
        <v>21</v>
      </c>
      <c r="D20" s="1473"/>
      <c r="E20" s="39"/>
      <c r="F20" s="39"/>
    </row>
    <row r="22" spans="1:6" x14ac:dyDescent="0.25">
      <c r="B22" s="28"/>
    </row>
    <row r="23" spans="1:6" x14ac:dyDescent="0.25">
      <c r="B23" s="28"/>
    </row>
    <row r="24" spans="1:6" x14ac:dyDescent="0.25">
      <c r="B24" s="28"/>
      <c r="C24" s="1442" t="s">
        <v>766</v>
      </c>
      <c r="D24" s="1442"/>
    </row>
    <row r="25" spans="1:6" x14ac:dyDescent="0.25">
      <c r="B25" s="28"/>
    </row>
    <row r="278" spans="3:3" x14ac:dyDescent="0.25">
      <c r="C278" s="235" t="s">
        <v>561</v>
      </c>
    </row>
  </sheetData>
  <mergeCells count="7">
    <mergeCell ref="C24:D24"/>
    <mergeCell ref="C20:D20"/>
    <mergeCell ref="A1:B1"/>
    <mergeCell ref="A2:B2"/>
    <mergeCell ref="A4:D4"/>
    <mergeCell ref="C5:D5"/>
    <mergeCell ref="C19:D19"/>
  </mergeCells>
  <pageMargins left="0.48" right="0.51" top="0.52" bottom="0.75" header="0.54" footer="0.3"/>
  <pageSetup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G43"/>
  <sheetViews>
    <sheetView topLeftCell="A3" workbookViewId="0">
      <selection activeCell="B16" sqref="B16"/>
    </sheetView>
  </sheetViews>
  <sheetFormatPr defaultColWidth="9.1796875" defaultRowHeight="14.5" x14ac:dyDescent="0.35"/>
  <cols>
    <col min="1" max="1" width="5.36328125" style="1420" customWidth="1"/>
    <col min="2" max="2" width="46" style="1417" bestFit="1" customWidth="1"/>
    <col min="3" max="3" width="24.1796875" style="1421" customWidth="1"/>
    <col min="4" max="4" width="21.81640625" style="1421" customWidth="1"/>
    <col min="5" max="5" width="17.36328125" style="1421" customWidth="1"/>
    <col min="6" max="6" width="16.453125" style="1421" bestFit="1" customWidth="1"/>
    <col min="7" max="7" width="19" style="1417" customWidth="1"/>
    <col min="8" max="256" width="9.1796875" style="1417"/>
    <col min="257" max="257" width="5.36328125" style="1417" customWidth="1"/>
    <col min="258" max="258" width="46" style="1417" bestFit="1" customWidth="1"/>
    <col min="259" max="259" width="24.1796875" style="1417" customWidth="1"/>
    <col min="260" max="260" width="21.81640625" style="1417" customWidth="1"/>
    <col min="261" max="261" width="17.36328125" style="1417" customWidth="1"/>
    <col min="262" max="262" width="16.453125" style="1417" bestFit="1" customWidth="1"/>
    <col min="263" max="263" width="19" style="1417" customWidth="1"/>
    <col min="264" max="512" width="9.1796875" style="1417"/>
    <col min="513" max="513" width="5.36328125" style="1417" customWidth="1"/>
    <col min="514" max="514" width="46" style="1417" bestFit="1" customWidth="1"/>
    <col min="515" max="515" width="24.1796875" style="1417" customWidth="1"/>
    <col min="516" max="516" width="21.81640625" style="1417" customWidth="1"/>
    <col min="517" max="517" width="17.36328125" style="1417" customWidth="1"/>
    <col min="518" max="518" width="16.453125" style="1417" bestFit="1" customWidth="1"/>
    <col min="519" max="519" width="19" style="1417" customWidth="1"/>
    <col min="520" max="768" width="9.1796875" style="1417"/>
    <col min="769" max="769" width="5.36328125" style="1417" customWidth="1"/>
    <col min="770" max="770" width="46" style="1417" bestFit="1" customWidth="1"/>
    <col min="771" max="771" width="24.1796875" style="1417" customWidth="1"/>
    <col min="772" max="772" width="21.81640625" style="1417" customWidth="1"/>
    <col min="773" max="773" width="17.36328125" style="1417" customWidth="1"/>
    <col min="774" max="774" width="16.453125" style="1417" bestFit="1" customWidth="1"/>
    <col min="775" max="775" width="19" style="1417" customWidth="1"/>
    <col min="776" max="1024" width="9.1796875" style="1417"/>
    <col min="1025" max="1025" width="5.36328125" style="1417" customWidth="1"/>
    <col min="1026" max="1026" width="46" style="1417" bestFit="1" customWidth="1"/>
    <col min="1027" max="1027" width="24.1796875" style="1417" customWidth="1"/>
    <col min="1028" max="1028" width="21.81640625" style="1417" customWidth="1"/>
    <col min="1029" max="1029" width="17.36328125" style="1417" customWidth="1"/>
    <col min="1030" max="1030" width="16.453125" style="1417" bestFit="1" customWidth="1"/>
    <col min="1031" max="1031" width="19" style="1417" customWidth="1"/>
    <col min="1032" max="1280" width="9.1796875" style="1417"/>
    <col min="1281" max="1281" width="5.36328125" style="1417" customWidth="1"/>
    <col min="1282" max="1282" width="46" style="1417" bestFit="1" customWidth="1"/>
    <col min="1283" max="1283" width="24.1796875" style="1417" customWidth="1"/>
    <col min="1284" max="1284" width="21.81640625" style="1417" customWidth="1"/>
    <col min="1285" max="1285" width="17.36328125" style="1417" customWidth="1"/>
    <col min="1286" max="1286" width="16.453125" style="1417" bestFit="1" customWidth="1"/>
    <col min="1287" max="1287" width="19" style="1417" customWidth="1"/>
    <col min="1288" max="1536" width="9.1796875" style="1417"/>
    <col min="1537" max="1537" width="5.36328125" style="1417" customWidth="1"/>
    <col min="1538" max="1538" width="46" style="1417" bestFit="1" customWidth="1"/>
    <col min="1539" max="1539" width="24.1796875" style="1417" customWidth="1"/>
    <col min="1540" max="1540" width="21.81640625" style="1417" customWidth="1"/>
    <col min="1541" max="1541" width="17.36328125" style="1417" customWidth="1"/>
    <col min="1542" max="1542" width="16.453125" style="1417" bestFit="1" customWidth="1"/>
    <col min="1543" max="1543" width="19" style="1417" customWidth="1"/>
    <col min="1544" max="1792" width="9.1796875" style="1417"/>
    <col min="1793" max="1793" width="5.36328125" style="1417" customWidth="1"/>
    <col min="1794" max="1794" width="46" style="1417" bestFit="1" customWidth="1"/>
    <col min="1795" max="1795" width="24.1796875" style="1417" customWidth="1"/>
    <col min="1796" max="1796" width="21.81640625" style="1417" customWidth="1"/>
    <col min="1797" max="1797" width="17.36328125" style="1417" customWidth="1"/>
    <col min="1798" max="1798" width="16.453125" style="1417" bestFit="1" customWidth="1"/>
    <col min="1799" max="1799" width="19" style="1417" customWidth="1"/>
    <col min="1800" max="2048" width="9.1796875" style="1417"/>
    <col min="2049" max="2049" width="5.36328125" style="1417" customWidth="1"/>
    <col min="2050" max="2050" width="46" style="1417" bestFit="1" customWidth="1"/>
    <col min="2051" max="2051" width="24.1796875" style="1417" customWidth="1"/>
    <col min="2052" max="2052" width="21.81640625" style="1417" customWidth="1"/>
    <col min="2053" max="2053" width="17.36328125" style="1417" customWidth="1"/>
    <col min="2054" max="2054" width="16.453125" style="1417" bestFit="1" customWidth="1"/>
    <col min="2055" max="2055" width="19" style="1417" customWidth="1"/>
    <col min="2056" max="2304" width="9.1796875" style="1417"/>
    <col min="2305" max="2305" width="5.36328125" style="1417" customWidth="1"/>
    <col min="2306" max="2306" width="46" style="1417" bestFit="1" customWidth="1"/>
    <col min="2307" max="2307" width="24.1796875" style="1417" customWidth="1"/>
    <col min="2308" max="2308" width="21.81640625" style="1417" customWidth="1"/>
    <col min="2309" max="2309" width="17.36328125" style="1417" customWidth="1"/>
    <col min="2310" max="2310" width="16.453125" style="1417" bestFit="1" customWidth="1"/>
    <col min="2311" max="2311" width="19" style="1417" customWidth="1"/>
    <col min="2312" max="2560" width="9.1796875" style="1417"/>
    <col min="2561" max="2561" width="5.36328125" style="1417" customWidth="1"/>
    <col min="2562" max="2562" width="46" style="1417" bestFit="1" customWidth="1"/>
    <col min="2563" max="2563" width="24.1796875" style="1417" customWidth="1"/>
    <col min="2564" max="2564" width="21.81640625" style="1417" customWidth="1"/>
    <col min="2565" max="2565" width="17.36328125" style="1417" customWidth="1"/>
    <col min="2566" max="2566" width="16.453125" style="1417" bestFit="1" customWidth="1"/>
    <col min="2567" max="2567" width="19" style="1417" customWidth="1"/>
    <col min="2568" max="2816" width="9.1796875" style="1417"/>
    <col min="2817" max="2817" width="5.36328125" style="1417" customWidth="1"/>
    <col min="2818" max="2818" width="46" style="1417" bestFit="1" customWidth="1"/>
    <col min="2819" max="2819" width="24.1796875" style="1417" customWidth="1"/>
    <col min="2820" max="2820" width="21.81640625" style="1417" customWidth="1"/>
    <col min="2821" max="2821" width="17.36328125" style="1417" customWidth="1"/>
    <col min="2822" max="2822" width="16.453125" style="1417" bestFit="1" customWidth="1"/>
    <col min="2823" max="2823" width="19" style="1417" customWidth="1"/>
    <col min="2824" max="3072" width="9.1796875" style="1417"/>
    <col min="3073" max="3073" width="5.36328125" style="1417" customWidth="1"/>
    <col min="3074" max="3074" width="46" style="1417" bestFit="1" customWidth="1"/>
    <col min="3075" max="3075" width="24.1796875" style="1417" customWidth="1"/>
    <col min="3076" max="3076" width="21.81640625" style="1417" customWidth="1"/>
    <col min="3077" max="3077" width="17.36328125" style="1417" customWidth="1"/>
    <col min="3078" max="3078" width="16.453125" style="1417" bestFit="1" customWidth="1"/>
    <col min="3079" max="3079" width="19" style="1417" customWidth="1"/>
    <col min="3080" max="3328" width="9.1796875" style="1417"/>
    <col min="3329" max="3329" width="5.36328125" style="1417" customWidth="1"/>
    <col min="3330" max="3330" width="46" style="1417" bestFit="1" customWidth="1"/>
    <col min="3331" max="3331" width="24.1796875" style="1417" customWidth="1"/>
    <col min="3332" max="3332" width="21.81640625" style="1417" customWidth="1"/>
    <col min="3333" max="3333" width="17.36328125" style="1417" customWidth="1"/>
    <col min="3334" max="3334" width="16.453125" style="1417" bestFit="1" customWidth="1"/>
    <col min="3335" max="3335" width="19" style="1417" customWidth="1"/>
    <col min="3336" max="3584" width="9.1796875" style="1417"/>
    <col min="3585" max="3585" width="5.36328125" style="1417" customWidth="1"/>
    <col min="3586" max="3586" width="46" style="1417" bestFit="1" customWidth="1"/>
    <col min="3587" max="3587" width="24.1796875" style="1417" customWidth="1"/>
    <col min="3588" max="3588" width="21.81640625" style="1417" customWidth="1"/>
    <col min="3589" max="3589" width="17.36328125" style="1417" customWidth="1"/>
    <col min="3590" max="3590" width="16.453125" style="1417" bestFit="1" customWidth="1"/>
    <col min="3591" max="3591" width="19" style="1417" customWidth="1"/>
    <col min="3592" max="3840" width="9.1796875" style="1417"/>
    <col min="3841" max="3841" width="5.36328125" style="1417" customWidth="1"/>
    <col min="3842" max="3842" width="46" style="1417" bestFit="1" customWidth="1"/>
    <col min="3843" max="3843" width="24.1796875" style="1417" customWidth="1"/>
    <col min="3844" max="3844" width="21.81640625" style="1417" customWidth="1"/>
    <col min="3845" max="3845" width="17.36328125" style="1417" customWidth="1"/>
    <col min="3846" max="3846" width="16.453125" style="1417" bestFit="1" customWidth="1"/>
    <col min="3847" max="3847" width="19" style="1417" customWidth="1"/>
    <col min="3848" max="4096" width="9.1796875" style="1417"/>
    <col min="4097" max="4097" width="5.36328125" style="1417" customWidth="1"/>
    <col min="4098" max="4098" width="46" style="1417" bestFit="1" customWidth="1"/>
    <col min="4099" max="4099" width="24.1796875" style="1417" customWidth="1"/>
    <col min="4100" max="4100" width="21.81640625" style="1417" customWidth="1"/>
    <col min="4101" max="4101" width="17.36328125" style="1417" customWidth="1"/>
    <col min="4102" max="4102" width="16.453125" style="1417" bestFit="1" customWidth="1"/>
    <col min="4103" max="4103" width="19" style="1417" customWidth="1"/>
    <col min="4104" max="4352" width="9.1796875" style="1417"/>
    <col min="4353" max="4353" width="5.36328125" style="1417" customWidth="1"/>
    <col min="4354" max="4354" width="46" style="1417" bestFit="1" customWidth="1"/>
    <col min="4355" max="4355" width="24.1796875" style="1417" customWidth="1"/>
    <col min="4356" max="4356" width="21.81640625" style="1417" customWidth="1"/>
    <col min="4357" max="4357" width="17.36328125" style="1417" customWidth="1"/>
    <col min="4358" max="4358" width="16.453125" style="1417" bestFit="1" customWidth="1"/>
    <col min="4359" max="4359" width="19" style="1417" customWidth="1"/>
    <col min="4360" max="4608" width="9.1796875" style="1417"/>
    <col min="4609" max="4609" width="5.36328125" style="1417" customWidth="1"/>
    <col min="4610" max="4610" width="46" style="1417" bestFit="1" customWidth="1"/>
    <col min="4611" max="4611" width="24.1796875" style="1417" customWidth="1"/>
    <col min="4612" max="4612" width="21.81640625" style="1417" customWidth="1"/>
    <col min="4613" max="4613" width="17.36328125" style="1417" customWidth="1"/>
    <col min="4614" max="4614" width="16.453125" style="1417" bestFit="1" customWidth="1"/>
    <col min="4615" max="4615" width="19" style="1417" customWidth="1"/>
    <col min="4616" max="4864" width="9.1796875" style="1417"/>
    <col min="4865" max="4865" width="5.36328125" style="1417" customWidth="1"/>
    <col min="4866" max="4866" width="46" style="1417" bestFit="1" customWidth="1"/>
    <col min="4867" max="4867" width="24.1796875" style="1417" customWidth="1"/>
    <col min="4868" max="4868" width="21.81640625" style="1417" customWidth="1"/>
    <col min="4869" max="4869" width="17.36328125" style="1417" customWidth="1"/>
    <col min="4870" max="4870" width="16.453125" style="1417" bestFit="1" customWidth="1"/>
    <col min="4871" max="4871" width="19" style="1417" customWidth="1"/>
    <col min="4872" max="5120" width="9.1796875" style="1417"/>
    <col min="5121" max="5121" width="5.36328125" style="1417" customWidth="1"/>
    <col min="5122" max="5122" width="46" style="1417" bestFit="1" customWidth="1"/>
    <col min="5123" max="5123" width="24.1796875" style="1417" customWidth="1"/>
    <col min="5124" max="5124" width="21.81640625" style="1417" customWidth="1"/>
    <col min="5125" max="5125" width="17.36328125" style="1417" customWidth="1"/>
    <col min="5126" max="5126" width="16.453125" style="1417" bestFit="1" customWidth="1"/>
    <col min="5127" max="5127" width="19" style="1417" customWidth="1"/>
    <col min="5128" max="5376" width="9.1796875" style="1417"/>
    <col min="5377" max="5377" width="5.36328125" style="1417" customWidth="1"/>
    <col min="5378" max="5378" width="46" style="1417" bestFit="1" customWidth="1"/>
    <col min="5379" max="5379" width="24.1796875" style="1417" customWidth="1"/>
    <col min="5380" max="5380" width="21.81640625" style="1417" customWidth="1"/>
    <col min="5381" max="5381" width="17.36328125" style="1417" customWidth="1"/>
    <col min="5382" max="5382" width="16.453125" style="1417" bestFit="1" customWidth="1"/>
    <col min="5383" max="5383" width="19" style="1417" customWidth="1"/>
    <col min="5384" max="5632" width="9.1796875" style="1417"/>
    <col min="5633" max="5633" width="5.36328125" style="1417" customWidth="1"/>
    <col min="5634" max="5634" width="46" style="1417" bestFit="1" customWidth="1"/>
    <col min="5635" max="5635" width="24.1796875" style="1417" customWidth="1"/>
    <col min="5636" max="5636" width="21.81640625" style="1417" customWidth="1"/>
    <col min="5637" max="5637" width="17.36328125" style="1417" customWidth="1"/>
    <col min="5638" max="5638" width="16.453125" style="1417" bestFit="1" customWidth="1"/>
    <col min="5639" max="5639" width="19" style="1417" customWidth="1"/>
    <col min="5640" max="5888" width="9.1796875" style="1417"/>
    <col min="5889" max="5889" width="5.36328125" style="1417" customWidth="1"/>
    <col min="5890" max="5890" width="46" style="1417" bestFit="1" customWidth="1"/>
    <col min="5891" max="5891" width="24.1796875" style="1417" customWidth="1"/>
    <col min="5892" max="5892" width="21.81640625" style="1417" customWidth="1"/>
    <col min="5893" max="5893" width="17.36328125" style="1417" customWidth="1"/>
    <col min="5894" max="5894" width="16.453125" style="1417" bestFit="1" customWidth="1"/>
    <col min="5895" max="5895" width="19" style="1417" customWidth="1"/>
    <col min="5896" max="6144" width="9.1796875" style="1417"/>
    <col min="6145" max="6145" width="5.36328125" style="1417" customWidth="1"/>
    <col min="6146" max="6146" width="46" style="1417" bestFit="1" customWidth="1"/>
    <col min="6147" max="6147" width="24.1796875" style="1417" customWidth="1"/>
    <col min="6148" max="6148" width="21.81640625" style="1417" customWidth="1"/>
    <col min="6149" max="6149" width="17.36328125" style="1417" customWidth="1"/>
    <col min="6150" max="6150" width="16.453125" style="1417" bestFit="1" customWidth="1"/>
    <col min="6151" max="6151" width="19" style="1417" customWidth="1"/>
    <col min="6152" max="6400" width="9.1796875" style="1417"/>
    <col min="6401" max="6401" width="5.36328125" style="1417" customWidth="1"/>
    <col min="6402" max="6402" width="46" style="1417" bestFit="1" customWidth="1"/>
    <col min="6403" max="6403" width="24.1796875" style="1417" customWidth="1"/>
    <col min="6404" max="6404" width="21.81640625" style="1417" customWidth="1"/>
    <col min="6405" max="6405" width="17.36328125" style="1417" customWidth="1"/>
    <col min="6406" max="6406" width="16.453125" style="1417" bestFit="1" customWidth="1"/>
    <col min="6407" max="6407" width="19" style="1417" customWidth="1"/>
    <col min="6408" max="6656" width="9.1796875" style="1417"/>
    <col min="6657" max="6657" width="5.36328125" style="1417" customWidth="1"/>
    <col min="6658" max="6658" width="46" style="1417" bestFit="1" customWidth="1"/>
    <col min="6659" max="6659" width="24.1796875" style="1417" customWidth="1"/>
    <col min="6660" max="6660" width="21.81640625" style="1417" customWidth="1"/>
    <col min="6661" max="6661" width="17.36328125" style="1417" customWidth="1"/>
    <col min="6662" max="6662" width="16.453125" style="1417" bestFit="1" customWidth="1"/>
    <col min="6663" max="6663" width="19" style="1417" customWidth="1"/>
    <col min="6664" max="6912" width="9.1796875" style="1417"/>
    <col min="6913" max="6913" width="5.36328125" style="1417" customWidth="1"/>
    <col min="6914" max="6914" width="46" style="1417" bestFit="1" customWidth="1"/>
    <col min="6915" max="6915" width="24.1796875" style="1417" customWidth="1"/>
    <col min="6916" max="6916" width="21.81640625" style="1417" customWidth="1"/>
    <col min="6917" max="6917" width="17.36328125" style="1417" customWidth="1"/>
    <col min="6918" max="6918" width="16.453125" style="1417" bestFit="1" customWidth="1"/>
    <col min="6919" max="6919" width="19" style="1417" customWidth="1"/>
    <col min="6920" max="7168" width="9.1796875" style="1417"/>
    <col min="7169" max="7169" width="5.36328125" style="1417" customWidth="1"/>
    <col min="7170" max="7170" width="46" style="1417" bestFit="1" customWidth="1"/>
    <col min="7171" max="7171" width="24.1796875" style="1417" customWidth="1"/>
    <col min="7172" max="7172" width="21.81640625" style="1417" customWidth="1"/>
    <col min="7173" max="7173" width="17.36328125" style="1417" customWidth="1"/>
    <col min="7174" max="7174" width="16.453125" style="1417" bestFit="1" customWidth="1"/>
    <col min="7175" max="7175" width="19" style="1417" customWidth="1"/>
    <col min="7176" max="7424" width="9.1796875" style="1417"/>
    <col min="7425" max="7425" width="5.36328125" style="1417" customWidth="1"/>
    <col min="7426" max="7426" width="46" style="1417" bestFit="1" customWidth="1"/>
    <col min="7427" max="7427" width="24.1796875" style="1417" customWidth="1"/>
    <col min="7428" max="7428" width="21.81640625" style="1417" customWidth="1"/>
    <col min="7429" max="7429" width="17.36328125" style="1417" customWidth="1"/>
    <col min="7430" max="7430" width="16.453125" style="1417" bestFit="1" customWidth="1"/>
    <col min="7431" max="7431" width="19" style="1417" customWidth="1"/>
    <col min="7432" max="7680" width="9.1796875" style="1417"/>
    <col min="7681" max="7681" width="5.36328125" style="1417" customWidth="1"/>
    <col min="7682" max="7682" width="46" style="1417" bestFit="1" customWidth="1"/>
    <col min="7683" max="7683" width="24.1796875" style="1417" customWidth="1"/>
    <col min="7684" max="7684" width="21.81640625" style="1417" customWidth="1"/>
    <col min="7685" max="7685" width="17.36328125" style="1417" customWidth="1"/>
    <col min="7686" max="7686" width="16.453125" style="1417" bestFit="1" customWidth="1"/>
    <col min="7687" max="7687" width="19" style="1417" customWidth="1"/>
    <col min="7688" max="7936" width="9.1796875" style="1417"/>
    <col min="7937" max="7937" width="5.36328125" style="1417" customWidth="1"/>
    <col min="7938" max="7938" width="46" style="1417" bestFit="1" customWidth="1"/>
    <col min="7939" max="7939" width="24.1796875" style="1417" customWidth="1"/>
    <col min="7940" max="7940" width="21.81640625" style="1417" customWidth="1"/>
    <col min="7941" max="7941" width="17.36328125" style="1417" customWidth="1"/>
    <col min="7942" max="7942" width="16.453125" style="1417" bestFit="1" customWidth="1"/>
    <col min="7943" max="7943" width="19" style="1417" customWidth="1"/>
    <col min="7944" max="8192" width="9.1796875" style="1417"/>
    <col min="8193" max="8193" width="5.36328125" style="1417" customWidth="1"/>
    <col min="8194" max="8194" width="46" style="1417" bestFit="1" customWidth="1"/>
    <col min="8195" max="8195" width="24.1796875" style="1417" customWidth="1"/>
    <col min="8196" max="8196" width="21.81640625" style="1417" customWidth="1"/>
    <col min="8197" max="8197" width="17.36328125" style="1417" customWidth="1"/>
    <col min="8198" max="8198" width="16.453125" style="1417" bestFit="1" customWidth="1"/>
    <col min="8199" max="8199" width="19" style="1417" customWidth="1"/>
    <col min="8200" max="8448" width="9.1796875" style="1417"/>
    <col min="8449" max="8449" width="5.36328125" style="1417" customWidth="1"/>
    <col min="8450" max="8450" width="46" style="1417" bestFit="1" customWidth="1"/>
    <col min="8451" max="8451" width="24.1796875" style="1417" customWidth="1"/>
    <col min="8452" max="8452" width="21.81640625" style="1417" customWidth="1"/>
    <col min="8453" max="8453" width="17.36328125" style="1417" customWidth="1"/>
    <col min="8454" max="8454" width="16.453125" style="1417" bestFit="1" customWidth="1"/>
    <col min="8455" max="8455" width="19" style="1417" customWidth="1"/>
    <col min="8456" max="8704" width="9.1796875" style="1417"/>
    <col min="8705" max="8705" width="5.36328125" style="1417" customWidth="1"/>
    <col min="8706" max="8706" width="46" style="1417" bestFit="1" customWidth="1"/>
    <col min="8707" max="8707" width="24.1796875" style="1417" customWidth="1"/>
    <col min="8708" max="8708" width="21.81640625" style="1417" customWidth="1"/>
    <col min="8709" max="8709" width="17.36328125" style="1417" customWidth="1"/>
    <col min="8710" max="8710" width="16.453125" style="1417" bestFit="1" customWidth="1"/>
    <col min="8711" max="8711" width="19" style="1417" customWidth="1"/>
    <col min="8712" max="8960" width="9.1796875" style="1417"/>
    <col min="8961" max="8961" width="5.36328125" style="1417" customWidth="1"/>
    <col min="8962" max="8962" width="46" style="1417" bestFit="1" customWidth="1"/>
    <col min="8963" max="8963" width="24.1796875" style="1417" customWidth="1"/>
    <col min="8964" max="8964" width="21.81640625" style="1417" customWidth="1"/>
    <col min="8965" max="8965" width="17.36328125" style="1417" customWidth="1"/>
    <col min="8966" max="8966" width="16.453125" style="1417" bestFit="1" customWidth="1"/>
    <col min="8967" max="8967" width="19" style="1417" customWidth="1"/>
    <col min="8968" max="9216" width="9.1796875" style="1417"/>
    <col min="9217" max="9217" width="5.36328125" style="1417" customWidth="1"/>
    <col min="9218" max="9218" width="46" style="1417" bestFit="1" customWidth="1"/>
    <col min="9219" max="9219" width="24.1796875" style="1417" customWidth="1"/>
    <col min="9220" max="9220" width="21.81640625" style="1417" customWidth="1"/>
    <col min="9221" max="9221" width="17.36328125" style="1417" customWidth="1"/>
    <col min="9222" max="9222" width="16.453125" style="1417" bestFit="1" customWidth="1"/>
    <col min="9223" max="9223" width="19" style="1417" customWidth="1"/>
    <col min="9224" max="9472" width="9.1796875" style="1417"/>
    <col min="9473" max="9473" width="5.36328125" style="1417" customWidth="1"/>
    <col min="9474" max="9474" width="46" style="1417" bestFit="1" customWidth="1"/>
    <col min="9475" max="9475" width="24.1796875" style="1417" customWidth="1"/>
    <col min="9476" max="9476" width="21.81640625" style="1417" customWidth="1"/>
    <col min="9477" max="9477" width="17.36328125" style="1417" customWidth="1"/>
    <col min="9478" max="9478" width="16.453125" style="1417" bestFit="1" customWidth="1"/>
    <col min="9479" max="9479" width="19" style="1417" customWidth="1"/>
    <col min="9480" max="9728" width="9.1796875" style="1417"/>
    <col min="9729" max="9729" width="5.36328125" style="1417" customWidth="1"/>
    <col min="9730" max="9730" width="46" style="1417" bestFit="1" customWidth="1"/>
    <col min="9731" max="9731" width="24.1796875" style="1417" customWidth="1"/>
    <col min="9732" max="9732" width="21.81640625" style="1417" customWidth="1"/>
    <col min="9733" max="9733" width="17.36328125" style="1417" customWidth="1"/>
    <col min="9734" max="9734" width="16.453125" style="1417" bestFit="1" customWidth="1"/>
    <col min="9735" max="9735" width="19" style="1417" customWidth="1"/>
    <col min="9736" max="9984" width="9.1796875" style="1417"/>
    <col min="9985" max="9985" width="5.36328125" style="1417" customWidth="1"/>
    <col min="9986" max="9986" width="46" style="1417" bestFit="1" customWidth="1"/>
    <col min="9987" max="9987" width="24.1796875" style="1417" customWidth="1"/>
    <col min="9988" max="9988" width="21.81640625" style="1417" customWidth="1"/>
    <col min="9989" max="9989" width="17.36328125" style="1417" customWidth="1"/>
    <col min="9990" max="9990" width="16.453125" style="1417" bestFit="1" customWidth="1"/>
    <col min="9991" max="9991" width="19" style="1417" customWidth="1"/>
    <col min="9992" max="10240" width="9.1796875" style="1417"/>
    <col min="10241" max="10241" width="5.36328125" style="1417" customWidth="1"/>
    <col min="10242" max="10242" width="46" style="1417" bestFit="1" customWidth="1"/>
    <col min="10243" max="10243" width="24.1796875" style="1417" customWidth="1"/>
    <col min="10244" max="10244" width="21.81640625" style="1417" customWidth="1"/>
    <col min="10245" max="10245" width="17.36328125" style="1417" customWidth="1"/>
    <col min="10246" max="10246" width="16.453125" style="1417" bestFit="1" customWidth="1"/>
    <col min="10247" max="10247" width="19" style="1417" customWidth="1"/>
    <col min="10248" max="10496" width="9.1796875" style="1417"/>
    <col min="10497" max="10497" width="5.36328125" style="1417" customWidth="1"/>
    <col min="10498" max="10498" width="46" style="1417" bestFit="1" customWidth="1"/>
    <col min="10499" max="10499" width="24.1796875" style="1417" customWidth="1"/>
    <col min="10500" max="10500" width="21.81640625" style="1417" customWidth="1"/>
    <col min="10501" max="10501" width="17.36328125" style="1417" customWidth="1"/>
    <col min="10502" max="10502" width="16.453125" style="1417" bestFit="1" customWidth="1"/>
    <col min="10503" max="10503" width="19" style="1417" customWidth="1"/>
    <col min="10504" max="10752" width="9.1796875" style="1417"/>
    <col min="10753" max="10753" width="5.36328125" style="1417" customWidth="1"/>
    <col min="10754" max="10754" width="46" style="1417" bestFit="1" customWidth="1"/>
    <col min="10755" max="10755" width="24.1796875" style="1417" customWidth="1"/>
    <col min="10756" max="10756" width="21.81640625" style="1417" customWidth="1"/>
    <col min="10757" max="10757" width="17.36328125" style="1417" customWidth="1"/>
    <col min="10758" max="10758" width="16.453125" style="1417" bestFit="1" customWidth="1"/>
    <col min="10759" max="10759" width="19" style="1417" customWidth="1"/>
    <col min="10760" max="11008" width="9.1796875" style="1417"/>
    <col min="11009" max="11009" width="5.36328125" style="1417" customWidth="1"/>
    <col min="11010" max="11010" width="46" style="1417" bestFit="1" customWidth="1"/>
    <col min="11011" max="11011" width="24.1796875" style="1417" customWidth="1"/>
    <col min="11012" max="11012" width="21.81640625" style="1417" customWidth="1"/>
    <col min="11013" max="11013" width="17.36328125" style="1417" customWidth="1"/>
    <col min="11014" max="11014" width="16.453125" style="1417" bestFit="1" customWidth="1"/>
    <col min="11015" max="11015" width="19" style="1417" customWidth="1"/>
    <col min="11016" max="11264" width="9.1796875" style="1417"/>
    <col min="11265" max="11265" width="5.36328125" style="1417" customWidth="1"/>
    <col min="11266" max="11266" width="46" style="1417" bestFit="1" customWidth="1"/>
    <col min="11267" max="11267" width="24.1796875" style="1417" customWidth="1"/>
    <col min="11268" max="11268" width="21.81640625" style="1417" customWidth="1"/>
    <col min="11269" max="11269" width="17.36328125" style="1417" customWidth="1"/>
    <col min="11270" max="11270" width="16.453125" style="1417" bestFit="1" customWidth="1"/>
    <col min="11271" max="11271" width="19" style="1417" customWidth="1"/>
    <col min="11272" max="11520" width="9.1796875" style="1417"/>
    <col min="11521" max="11521" width="5.36328125" style="1417" customWidth="1"/>
    <col min="11522" max="11522" width="46" style="1417" bestFit="1" customWidth="1"/>
    <col min="11523" max="11523" width="24.1796875" style="1417" customWidth="1"/>
    <col min="11524" max="11524" width="21.81640625" style="1417" customWidth="1"/>
    <col min="11525" max="11525" width="17.36328125" style="1417" customWidth="1"/>
    <col min="11526" max="11526" width="16.453125" style="1417" bestFit="1" customWidth="1"/>
    <col min="11527" max="11527" width="19" style="1417" customWidth="1"/>
    <col min="11528" max="11776" width="9.1796875" style="1417"/>
    <col min="11777" max="11777" width="5.36328125" style="1417" customWidth="1"/>
    <col min="11778" max="11778" width="46" style="1417" bestFit="1" customWidth="1"/>
    <col min="11779" max="11779" width="24.1796875" style="1417" customWidth="1"/>
    <col min="11780" max="11780" width="21.81640625" style="1417" customWidth="1"/>
    <col min="11781" max="11781" width="17.36328125" style="1417" customWidth="1"/>
    <col min="11782" max="11782" width="16.453125" style="1417" bestFit="1" customWidth="1"/>
    <col min="11783" max="11783" width="19" style="1417" customWidth="1"/>
    <col min="11784" max="12032" width="9.1796875" style="1417"/>
    <col min="12033" max="12033" width="5.36328125" style="1417" customWidth="1"/>
    <col min="12034" max="12034" width="46" style="1417" bestFit="1" customWidth="1"/>
    <col min="12035" max="12035" width="24.1796875" style="1417" customWidth="1"/>
    <col min="12036" max="12036" width="21.81640625" style="1417" customWidth="1"/>
    <col min="12037" max="12037" width="17.36328125" style="1417" customWidth="1"/>
    <col min="12038" max="12038" width="16.453125" style="1417" bestFit="1" customWidth="1"/>
    <col min="12039" max="12039" width="19" style="1417" customWidth="1"/>
    <col min="12040" max="12288" width="9.1796875" style="1417"/>
    <col min="12289" max="12289" width="5.36328125" style="1417" customWidth="1"/>
    <col min="12290" max="12290" width="46" style="1417" bestFit="1" customWidth="1"/>
    <col min="12291" max="12291" width="24.1796875" style="1417" customWidth="1"/>
    <col min="12292" max="12292" width="21.81640625" style="1417" customWidth="1"/>
    <col min="12293" max="12293" width="17.36328125" style="1417" customWidth="1"/>
    <col min="12294" max="12294" width="16.453125" style="1417" bestFit="1" customWidth="1"/>
    <col min="12295" max="12295" width="19" style="1417" customWidth="1"/>
    <col min="12296" max="12544" width="9.1796875" style="1417"/>
    <col min="12545" max="12545" width="5.36328125" style="1417" customWidth="1"/>
    <col min="12546" max="12546" width="46" style="1417" bestFit="1" customWidth="1"/>
    <col min="12547" max="12547" width="24.1796875" style="1417" customWidth="1"/>
    <col min="12548" max="12548" width="21.81640625" style="1417" customWidth="1"/>
    <col min="12549" max="12549" width="17.36328125" style="1417" customWidth="1"/>
    <col min="12550" max="12550" width="16.453125" style="1417" bestFit="1" customWidth="1"/>
    <col min="12551" max="12551" width="19" style="1417" customWidth="1"/>
    <col min="12552" max="12800" width="9.1796875" style="1417"/>
    <col min="12801" max="12801" width="5.36328125" style="1417" customWidth="1"/>
    <col min="12802" max="12802" width="46" style="1417" bestFit="1" customWidth="1"/>
    <col min="12803" max="12803" width="24.1796875" style="1417" customWidth="1"/>
    <col min="12804" max="12804" width="21.81640625" style="1417" customWidth="1"/>
    <col min="12805" max="12805" width="17.36328125" style="1417" customWidth="1"/>
    <col min="12806" max="12806" width="16.453125" style="1417" bestFit="1" customWidth="1"/>
    <col min="12807" max="12807" width="19" style="1417" customWidth="1"/>
    <col min="12808" max="13056" width="9.1796875" style="1417"/>
    <col min="13057" max="13057" width="5.36328125" style="1417" customWidth="1"/>
    <col min="13058" max="13058" width="46" style="1417" bestFit="1" customWidth="1"/>
    <col min="13059" max="13059" width="24.1796875" style="1417" customWidth="1"/>
    <col min="13060" max="13060" width="21.81640625" style="1417" customWidth="1"/>
    <col min="13061" max="13061" width="17.36328125" style="1417" customWidth="1"/>
    <col min="13062" max="13062" width="16.453125" style="1417" bestFit="1" customWidth="1"/>
    <col min="13063" max="13063" width="19" style="1417" customWidth="1"/>
    <col min="13064" max="13312" width="9.1796875" style="1417"/>
    <col min="13313" max="13313" width="5.36328125" style="1417" customWidth="1"/>
    <col min="13314" max="13314" width="46" style="1417" bestFit="1" customWidth="1"/>
    <col min="13315" max="13315" width="24.1796875" style="1417" customWidth="1"/>
    <col min="13316" max="13316" width="21.81640625" style="1417" customWidth="1"/>
    <col min="13317" max="13317" width="17.36328125" style="1417" customWidth="1"/>
    <col min="13318" max="13318" width="16.453125" style="1417" bestFit="1" customWidth="1"/>
    <col min="13319" max="13319" width="19" style="1417" customWidth="1"/>
    <col min="13320" max="13568" width="9.1796875" style="1417"/>
    <col min="13569" max="13569" width="5.36328125" style="1417" customWidth="1"/>
    <col min="13570" max="13570" width="46" style="1417" bestFit="1" customWidth="1"/>
    <col min="13571" max="13571" width="24.1796875" style="1417" customWidth="1"/>
    <col min="13572" max="13572" width="21.81640625" style="1417" customWidth="1"/>
    <col min="13573" max="13573" width="17.36328125" style="1417" customWidth="1"/>
    <col min="13574" max="13574" width="16.453125" style="1417" bestFit="1" customWidth="1"/>
    <col min="13575" max="13575" width="19" style="1417" customWidth="1"/>
    <col min="13576" max="13824" width="9.1796875" style="1417"/>
    <col min="13825" max="13825" width="5.36328125" style="1417" customWidth="1"/>
    <col min="13826" max="13826" width="46" style="1417" bestFit="1" customWidth="1"/>
    <col min="13827" max="13827" width="24.1796875" style="1417" customWidth="1"/>
    <col min="13828" max="13828" width="21.81640625" style="1417" customWidth="1"/>
    <col min="13829" max="13829" width="17.36328125" style="1417" customWidth="1"/>
    <col min="13830" max="13830" width="16.453125" style="1417" bestFit="1" customWidth="1"/>
    <col min="13831" max="13831" width="19" style="1417" customWidth="1"/>
    <col min="13832" max="14080" width="9.1796875" style="1417"/>
    <col min="14081" max="14081" width="5.36328125" style="1417" customWidth="1"/>
    <col min="14082" max="14082" width="46" style="1417" bestFit="1" customWidth="1"/>
    <col min="14083" max="14083" width="24.1796875" style="1417" customWidth="1"/>
    <col min="14084" max="14084" width="21.81640625" style="1417" customWidth="1"/>
    <col min="14085" max="14085" width="17.36328125" style="1417" customWidth="1"/>
    <col min="14086" max="14086" width="16.453125" style="1417" bestFit="1" customWidth="1"/>
    <col min="14087" max="14087" width="19" style="1417" customWidth="1"/>
    <col min="14088" max="14336" width="9.1796875" style="1417"/>
    <col min="14337" max="14337" width="5.36328125" style="1417" customWidth="1"/>
    <col min="14338" max="14338" width="46" style="1417" bestFit="1" customWidth="1"/>
    <col min="14339" max="14339" width="24.1796875" style="1417" customWidth="1"/>
    <col min="14340" max="14340" width="21.81640625" style="1417" customWidth="1"/>
    <col min="14341" max="14341" width="17.36328125" style="1417" customWidth="1"/>
    <col min="14342" max="14342" width="16.453125" style="1417" bestFit="1" customWidth="1"/>
    <col min="14343" max="14343" width="19" style="1417" customWidth="1"/>
    <col min="14344" max="14592" width="9.1796875" style="1417"/>
    <col min="14593" max="14593" width="5.36328125" style="1417" customWidth="1"/>
    <col min="14594" max="14594" width="46" style="1417" bestFit="1" customWidth="1"/>
    <col min="14595" max="14595" width="24.1796875" style="1417" customWidth="1"/>
    <col min="14596" max="14596" width="21.81640625" style="1417" customWidth="1"/>
    <col min="14597" max="14597" width="17.36328125" style="1417" customWidth="1"/>
    <col min="14598" max="14598" width="16.453125" style="1417" bestFit="1" customWidth="1"/>
    <col min="14599" max="14599" width="19" style="1417" customWidth="1"/>
    <col min="14600" max="14848" width="9.1796875" style="1417"/>
    <col min="14849" max="14849" width="5.36328125" style="1417" customWidth="1"/>
    <col min="14850" max="14850" width="46" style="1417" bestFit="1" customWidth="1"/>
    <col min="14851" max="14851" width="24.1796875" style="1417" customWidth="1"/>
    <col min="14852" max="14852" width="21.81640625" style="1417" customWidth="1"/>
    <col min="14853" max="14853" width="17.36328125" style="1417" customWidth="1"/>
    <col min="14854" max="14854" width="16.453125" style="1417" bestFit="1" customWidth="1"/>
    <col min="14855" max="14855" width="19" style="1417" customWidth="1"/>
    <col min="14856" max="15104" width="9.1796875" style="1417"/>
    <col min="15105" max="15105" width="5.36328125" style="1417" customWidth="1"/>
    <col min="15106" max="15106" width="46" style="1417" bestFit="1" customWidth="1"/>
    <col min="15107" max="15107" width="24.1796875" style="1417" customWidth="1"/>
    <col min="15108" max="15108" width="21.81640625" style="1417" customWidth="1"/>
    <col min="15109" max="15109" width="17.36328125" style="1417" customWidth="1"/>
    <col min="15110" max="15110" width="16.453125" style="1417" bestFit="1" customWidth="1"/>
    <col min="15111" max="15111" width="19" style="1417" customWidth="1"/>
    <col min="15112" max="15360" width="9.1796875" style="1417"/>
    <col min="15361" max="15361" width="5.36328125" style="1417" customWidth="1"/>
    <col min="15362" max="15362" width="46" style="1417" bestFit="1" customWidth="1"/>
    <col min="15363" max="15363" width="24.1796875" style="1417" customWidth="1"/>
    <col min="15364" max="15364" width="21.81640625" style="1417" customWidth="1"/>
    <col min="15365" max="15365" width="17.36328125" style="1417" customWidth="1"/>
    <col min="15366" max="15366" width="16.453125" style="1417" bestFit="1" customWidth="1"/>
    <col min="15367" max="15367" width="19" style="1417" customWidth="1"/>
    <col min="15368" max="15616" width="9.1796875" style="1417"/>
    <col min="15617" max="15617" width="5.36328125" style="1417" customWidth="1"/>
    <col min="15618" max="15618" width="46" style="1417" bestFit="1" customWidth="1"/>
    <col min="15619" max="15619" width="24.1796875" style="1417" customWidth="1"/>
    <col min="15620" max="15620" width="21.81640625" style="1417" customWidth="1"/>
    <col min="15621" max="15621" width="17.36328125" style="1417" customWidth="1"/>
    <col min="15622" max="15622" width="16.453125" style="1417" bestFit="1" customWidth="1"/>
    <col min="15623" max="15623" width="19" style="1417" customWidth="1"/>
    <col min="15624" max="15872" width="9.1796875" style="1417"/>
    <col min="15873" max="15873" width="5.36328125" style="1417" customWidth="1"/>
    <col min="15874" max="15874" width="46" style="1417" bestFit="1" customWidth="1"/>
    <col min="15875" max="15875" width="24.1796875" style="1417" customWidth="1"/>
    <col min="15876" max="15876" width="21.81640625" style="1417" customWidth="1"/>
    <col min="15877" max="15877" width="17.36328125" style="1417" customWidth="1"/>
    <col min="15878" max="15878" width="16.453125" style="1417" bestFit="1" customWidth="1"/>
    <col min="15879" max="15879" width="19" style="1417" customWidth="1"/>
    <col min="15880" max="16128" width="9.1796875" style="1417"/>
    <col min="16129" max="16129" width="5.36328125" style="1417" customWidth="1"/>
    <col min="16130" max="16130" width="46" style="1417" bestFit="1" customWidth="1"/>
    <col min="16131" max="16131" width="24.1796875" style="1417" customWidth="1"/>
    <col min="16132" max="16132" width="21.81640625" style="1417" customWidth="1"/>
    <col min="16133" max="16133" width="17.36328125" style="1417" customWidth="1"/>
    <col min="16134" max="16134" width="16.453125" style="1417" bestFit="1" customWidth="1"/>
    <col min="16135" max="16135" width="19" style="1417" customWidth="1"/>
    <col min="16136" max="16384" width="9.1796875" style="1417"/>
  </cols>
  <sheetData>
    <row r="1" spans="1:7" s="1409" customFormat="1" ht="18" customHeight="1" x14ac:dyDescent="0.35">
      <c r="A1" s="1553" t="s">
        <v>106</v>
      </c>
      <c r="B1" s="1553"/>
      <c r="C1" s="1408"/>
      <c r="D1" s="1408"/>
      <c r="E1" s="1408"/>
      <c r="F1" s="1408"/>
      <c r="G1" s="1409" t="s">
        <v>523</v>
      </c>
    </row>
    <row r="2" spans="1:7" s="1409" customFormat="1" ht="18" customHeight="1" x14ac:dyDescent="0.35">
      <c r="A2" s="1554" t="s">
        <v>3</v>
      </c>
      <c r="B2" s="1554"/>
      <c r="C2" s="1408"/>
      <c r="D2" s="1408"/>
      <c r="E2" s="1408"/>
      <c r="F2" s="1408"/>
      <c r="G2" s="1410" t="s">
        <v>245</v>
      </c>
    </row>
    <row r="3" spans="1:7" s="1409" customFormat="1" ht="55.5" customHeight="1" x14ac:dyDescent="0.35">
      <c r="A3" s="1557" t="s">
        <v>1389</v>
      </c>
      <c r="B3" s="1557"/>
      <c r="C3" s="1557"/>
      <c r="D3" s="1557"/>
      <c r="E3" s="1557"/>
      <c r="F3" s="1557"/>
      <c r="G3" s="1557"/>
    </row>
    <row r="4" spans="1:7" s="1413" customFormat="1" ht="60" x14ac:dyDescent="0.3">
      <c r="A4" s="1411" t="s">
        <v>0</v>
      </c>
      <c r="B4" s="1412" t="s">
        <v>89</v>
      </c>
      <c r="C4" s="1412" t="s">
        <v>186</v>
      </c>
      <c r="D4" s="1412" t="s">
        <v>187</v>
      </c>
      <c r="E4" s="1412" t="s">
        <v>108</v>
      </c>
      <c r="F4" s="1412" t="s">
        <v>107</v>
      </c>
      <c r="G4" s="1412" t="s">
        <v>2</v>
      </c>
    </row>
    <row r="5" spans="1:7" ht="15.5" x14ac:dyDescent="0.35">
      <c r="A5" s="1414">
        <v>1</v>
      </c>
      <c r="B5" s="1415" t="s">
        <v>1390</v>
      </c>
      <c r="C5" s="1415">
        <v>2118482400</v>
      </c>
      <c r="D5" s="1415">
        <v>321362067.60000002</v>
      </c>
      <c r="E5" s="1415">
        <v>1162123261.5957217</v>
      </c>
      <c r="F5" s="1415">
        <f>SUM(C5:E5)</f>
        <v>3601967729.1957216</v>
      </c>
      <c r="G5" s="1416"/>
    </row>
    <row r="6" spans="1:7" ht="15.5" x14ac:dyDescent="0.35">
      <c r="A6" s="1414">
        <v>2</v>
      </c>
      <c r="B6" s="1415" t="s">
        <v>1391</v>
      </c>
      <c r="C6" s="1415">
        <v>632666400</v>
      </c>
      <c r="D6" s="1415">
        <v>97355706</v>
      </c>
      <c r="E6" s="1415">
        <v>287277841.90108645</v>
      </c>
      <c r="F6" s="1415">
        <f t="shared" ref="F6:F42" si="0">SUM(C6:E6)</f>
        <v>1017299947.9010864</v>
      </c>
      <c r="G6" s="1416"/>
    </row>
    <row r="7" spans="1:7" ht="15.5" x14ac:dyDescent="0.35">
      <c r="A7" s="1414">
        <v>3</v>
      </c>
      <c r="B7" s="1415" t="s">
        <v>1392</v>
      </c>
      <c r="C7" s="1415">
        <v>834229401.60000002</v>
      </c>
      <c r="D7" s="1415">
        <v>134934924.47999999</v>
      </c>
      <c r="E7" s="1415">
        <v>442023488.76383674</v>
      </c>
      <c r="F7" s="1415">
        <f t="shared" si="0"/>
        <v>1411187814.8438368</v>
      </c>
      <c r="G7" s="1416"/>
    </row>
    <row r="8" spans="1:7" ht="15.5" x14ac:dyDescent="0.35">
      <c r="A8" s="1414">
        <v>4</v>
      </c>
      <c r="B8" s="1415" t="s">
        <v>1393</v>
      </c>
      <c r="C8" s="1415">
        <v>1175505480</v>
      </c>
      <c r="D8" s="1415">
        <v>95259007.799999997</v>
      </c>
      <c r="E8" s="1415">
        <v>868124558.58076119</v>
      </c>
      <c r="F8" s="1415">
        <f t="shared" si="0"/>
        <v>2138889046.3807611</v>
      </c>
      <c r="G8" s="1415"/>
    </row>
    <row r="9" spans="1:7" ht="15.5" x14ac:dyDescent="0.35">
      <c r="A9" s="1414">
        <v>5</v>
      </c>
      <c r="B9" s="1415" t="s">
        <v>1394</v>
      </c>
      <c r="C9" s="1415">
        <v>68207040</v>
      </c>
      <c r="D9" s="1415">
        <v>9832212</v>
      </c>
      <c r="E9" s="1415">
        <v>26178900.304756787</v>
      </c>
      <c r="F9" s="1415">
        <f t="shared" si="0"/>
        <v>104218152.30475679</v>
      </c>
      <c r="G9" s="1415"/>
    </row>
    <row r="10" spans="1:7" ht="15.5" x14ac:dyDescent="0.35">
      <c r="A10" s="1414">
        <v>6</v>
      </c>
      <c r="B10" s="1415" t="s">
        <v>1395</v>
      </c>
      <c r="C10" s="1415">
        <v>1348468776</v>
      </c>
      <c r="D10" s="1415">
        <v>209578220.75999999</v>
      </c>
      <c r="E10" s="1415">
        <v>684423279.70326042</v>
      </c>
      <c r="F10" s="1415">
        <f t="shared" si="0"/>
        <v>2242470276.4632607</v>
      </c>
      <c r="G10" s="1415"/>
    </row>
    <row r="11" spans="1:7" ht="15.5" x14ac:dyDescent="0.35">
      <c r="A11" s="1422">
        <v>7</v>
      </c>
      <c r="B11" s="1423" t="s">
        <v>1396</v>
      </c>
      <c r="C11" s="1423">
        <v>5556396735.6000004</v>
      </c>
      <c r="D11" s="1423">
        <v>851593302.21000004</v>
      </c>
      <c r="E11" s="1423">
        <v>4666810417.2142477</v>
      </c>
      <c r="F11" s="1423">
        <f t="shared" si="0"/>
        <v>11074800455.024248</v>
      </c>
      <c r="G11" s="1423"/>
    </row>
    <row r="12" spans="1:7" ht="15.5" x14ac:dyDescent="0.35">
      <c r="A12" s="1414">
        <v>8</v>
      </c>
      <c r="B12" s="1415" t="s">
        <v>1397</v>
      </c>
      <c r="C12" s="1415">
        <v>2711943144</v>
      </c>
      <c r="D12" s="1415">
        <v>417842958.83999997</v>
      </c>
      <c r="E12" s="1415">
        <v>889946816.35768318</v>
      </c>
      <c r="F12" s="1415">
        <f t="shared" si="0"/>
        <v>4019732919.1976833</v>
      </c>
      <c r="G12" s="1415"/>
    </row>
    <row r="13" spans="1:7" ht="15.5" x14ac:dyDescent="0.35">
      <c r="A13" s="1414">
        <v>9</v>
      </c>
      <c r="B13" s="1415" t="s">
        <v>585</v>
      </c>
      <c r="C13" s="1415">
        <v>5672395056</v>
      </c>
      <c r="D13" s="1415">
        <v>881656130.75999999</v>
      </c>
      <c r="E13" s="1415">
        <v>3572226456.3235579</v>
      </c>
      <c r="F13" s="1415">
        <f t="shared" si="0"/>
        <v>10126277643.083557</v>
      </c>
      <c r="G13" s="1415"/>
    </row>
    <row r="14" spans="1:7" ht="15.5" x14ac:dyDescent="0.35">
      <c r="A14" s="1414">
        <v>10</v>
      </c>
      <c r="B14" s="1415" t="s">
        <v>586</v>
      </c>
      <c r="C14" s="1415">
        <v>3615900744</v>
      </c>
      <c r="D14" s="1415">
        <v>560412133.73999989</v>
      </c>
      <c r="E14" s="1415">
        <v>4423898938.0060272</v>
      </c>
      <c r="F14" s="1415">
        <f t="shared" si="0"/>
        <v>8600211815.746027</v>
      </c>
      <c r="G14" s="1415"/>
    </row>
    <row r="15" spans="1:7" ht="15.5" x14ac:dyDescent="0.35">
      <c r="A15" s="1414">
        <v>11</v>
      </c>
      <c r="B15" s="1415" t="s">
        <v>1398</v>
      </c>
      <c r="C15" s="1415">
        <v>6886295268</v>
      </c>
      <c r="D15" s="1415">
        <v>1079396620.3799999</v>
      </c>
      <c r="E15" s="1415">
        <v>3267612899.3797483</v>
      </c>
      <c r="F15" s="1415">
        <f t="shared" si="0"/>
        <v>11233304787.759748</v>
      </c>
      <c r="G15" s="1415"/>
    </row>
    <row r="16" spans="1:7" ht="15.5" x14ac:dyDescent="0.35">
      <c r="A16" s="1414">
        <v>12</v>
      </c>
      <c r="B16" s="1415" t="s">
        <v>1399</v>
      </c>
      <c r="C16" s="1415">
        <v>4021341172.8000002</v>
      </c>
      <c r="D16" s="1415">
        <v>683882867.10000002</v>
      </c>
      <c r="E16" s="1415">
        <v>2350644934.4309459</v>
      </c>
      <c r="F16" s="1415">
        <f t="shared" si="0"/>
        <v>7055868974.330946</v>
      </c>
      <c r="G16" s="1415"/>
    </row>
    <row r="17" spans="1:7" ht="15.5" x14ac:dyDescent="0.35">
      <c r="A17" s="1414">
        <v>13</v>
      </c>
      <c r="B17" s="1415" t="s">
        <v>1400</v>
      </c>
      <c r="C17" s="1415">
        <v>864248712</v>
      </c>
      <c r="D17" s="1415">
        <v>131799541.31999999</v>
      </c>
      <c r="E17" s="1415">
        <v>508846108.14884198</v>
      </c>
      <c r="F17" s="1415">
        <f t="shared" si="0"/>
        <v>1504894361.468842</v>
      </c>
      <c r="G17" s="1415"/>
    </row>
    <row r="18" spans="1:7" ht="15.5" x14ac:dyDescent="0.35">
      <c r="A18" s="1414">
        <v>14</v>
      </c>
      <c r="B18" s="1415" t="s">
        <v>188</v>
      </c>
      <c r="C18" s="1415">
        <v>1084491744</v>
      </c>
      <c r="D18" s="1415">
        <v>167781235.44</v>
      </c>
      <c r="E18" s="1415">
        <v>536949534.79609585</v>
      </c>
      <c r="F18" s="1415">
        <f t="shared" si="0"/>
        <v>1789222514.2360959</v>
      </c>
      <c r="G18" s="1415"/>
    </row>
    <row r="19" spans="1:7" ht="15.5" x14ac:dyDescent="0.35">
      <c r="A19" s="1414">
        <v>15</v>
      </c>
      <c r="B19" s="1415" t="s">
        <v>189</v>
      </c>
      <c r="C19" s="1415">
        <v>1118441616</v>
      </c>
      <c r="D19" s="1415">
        <v>176178112.56</v>
      </c>
      <c r="E19" s="1415">
        <v>450567686.21524531</v>
      </c>
      <c r="F19" s="1415">
        <f t="shared" si="0"/>
        <v>1745187414.7752452</v>
      </c>
      <c r="G19" s="1415"/>
    </row>
    <row r="20" spans="1:7" ht="15.5" x14ac:dyDescent="0.35">
      <c r="A20" s="1414">
        <v>16</v>
      </c>
      <c r="B20" s="1415" t="s">
        <v>190</v>
      </c>
      <c r="C20" s="1415">
        <v>1379758780.8000002</v>
      </c>
      <c r="D20" s="1415">
        <v>216862461.24000001</v>
      </c>
      <c r="E20" s="1415">
        <v>810715080.2913487</v>
      </c>
      <c r="F20" s="1415">
        <f t="shared" si="0"/>
        <v>2407336322.3313489</v>
      </c>
      <c r="G20" s="1415"/>
    </row>
    <row r="21" spans="1:7" ht="15.5" x14ac:dyDescent="0.35">
      <c r="A21" s="1414">
        <v>17</v>
      </c>
      <c r="B21" s="1415" t="s">
        <v>1401</v>
      </c>
      <c r="C21" s="1415">
        <v>1210701600</v>
      </c>
      <c r="D21" s="1415">
        <v>188450730</v>
      </c>
      <c r="E21" s="1415">
        <v>742595992.81170547</v>
      </c>
      <c r="F21" s="1415">
        <f t="shared" si="0"/>
        <v>2141748322.8117056</v>
      </c>
      <c r="G21" s="1415"/>
    </row>
    <row r="22" spans="1:7" ht="15.5" x14ac:dyDescent="0.35">
      <c r="A22" s="1414">
        <v>18</v>
      </c>
      <c r="B22" s="1415" t="s">
        <v>191</v>
      </c>
      <c r="C22" s="1415">
        <v>927086184</v>
      </c>
      <c r="D22" s="1415">
        <v>143917112.34</v>
      </c>
      <c r="E22" s="1415">
        <v>514040630.59484255</v>
      </c>
      <c r="F22" s="1415">
        <f t="shared" si="0"/>
        <v>1585043926.9348426</v>
      </c>
      <c r="G22" s="1415"/>
    </row>
    <row r="23" spans="1:7" ht="15.5" x14ac:dyDescent="0.35">
      <c r="A23" s="1414">
        <v>19</v>
      </c>
      <c r="B23" s="1415" t="s">
        <v>1402</v>
      </c>
      <c r="C23" s="1415">
        <v>2680057224</v>
      </c>
      <c r="D23" s="1415">
        <v>421432136.39999998</v>
      </c>
      <c r="E23" s="1415">
        <v>1509705573.8724174</v>
      </c>
      <c r="F23" s="1415">
        <f t="shared" si="0"/>
        <v>4611194934.2724171</v>
      </c>
      <c r="G23" s="1415"/>
    </row>
    <row r="24" spans="1:7" ht="15.5" x14ac:dyDescent="0.35">
      <c r="A24" s="1414">
        <v>20</v>
      </c>
      <c r="B24" s="1415" t="s">
        <v>873</v>
      </c>
      <c r="C24" s="1415">
        <v>774546192</v>
      </c>
      <c r="D24" s="1415">
        <v>121400086.31999999</v>
      </c>
      <c r="E24" s="1415">
        <v>367131265.13758743</v>
      </c>
      <c r="F24" s="1415">
        <f t="shared" si="0"/>
        <v>1263077543.4575872</v>
      </c>
      <c r="G24" s="1415"/>
    </row>
    <row r="25" spans="1:7" ht="15.5" x14ac:dyDescent="0.35">
      <c r="A25" s="1414">
        <v>21</v>
      </c>
      <c r="B25" s="1415" t="s">
        <v>1403</v>
      </c>
      <c r="C25" s="1415">
        <v>668900160</v>
      </c>
      <c r="D25" s="1415">
        <v>104238254.40000001</v>
      </c>
      <c r="E25" s="1415">
        <v>379920479.56602949</v>
      </c>
      <c r="F25" s="1415">
        <f t="shared" si="0"/>
        <v>1153058893.9660294</v>
      </c>
      <c r="G25" s="1415"/>
    </row>
    <row r="26" spans="1:7" ht="15.5" x14ac:dyDescent="0.35">
      <c r="A26" s="1414">
        <v>22</v>
      </c>
      <c r="B26" s="1415" t="s">
        <v>1404</v>
      </c>
      <c r="C26" s="1415">
        <v>555628896</v>
      </c>
      <c r="D26" s="1415">
        <v>84116674.560000002</v>
      </c>
      <c r="E26" s="1415">
        <v>311260199.76039094</v>
      </c>
      <c r="F26" s="1415">
        <f t="shared" si="0"/>
        <v>951005770.32039094</v>
      </c>
      <c r="G26" s="1415"/>
    </row>
    <row r="27" spans="1:7" ht="15.5" x14ac:dyDescent="0.35">
      <c r="A27" s="1414">
        <v>23</v>
      </c>
      <c r="B27" s="1415" t="s">
        <v>192</v>
      </c>
      <c r="C27" s="1415">
        <v>726072432</v>
      </c>
      <c r="D27" s="1415">
        <v>111786788.09999999</v>
      </c>
      <c r="E27" s="1415">
        <v>378984835.15061623</v>
      </c>
      <c r="F27" s="1415">
        <f t="shared" si="0"/>
        <v>1216844055.2506163</v>
      </c>
      <c r="G27" s="1415"/>
    </row>
    <row r="28" spans="1:7" ht="15.5" x14ac:dyDescent="0.35">
      <c r="A28" s="1414">
        <v>24</v>
      </c>
      <c r="B28" s="1415" t="s">
        <v>193</v>
      </c>
      <c r="C28" s="1415">
        <v>1471976721.5999999</v>
      </c>
      <c r="D28" s="1415">
        <v>232349455.68000001</v>
      </c>
      <c r="E28" s="1415">
        <v>845138981.65740359</v>
      </c>
      <c r="F28" s="1415">
        <f t="shared" si="0"/>
        <v>2549465158.9374037</v>
      </c>
      <c r="G28" s="1415"/>
    </row>
    <row r="29" spans="1:7" ht="15.5" x14ac:dyDescent="0.35">
      <c r="A29" s="1414">
        <v>25</v>
      </c>
      <c r="B29" s="1415" t="s">
        <v>587</v>
      </c>
      <c r="C29" s="1415">
        <v>791483040</v>
      </c>
      <c r="D29" s="1415">
        <v>124331262</v>
      </c>
      <c r="E29" s="1415">
        <v>462007387.81940514</v>
      </c>
      <c r="F29" s="1415">
        <f t="shared" si="0"/>
        <v>1377821689.8194051</v>
      </c>
      <c r="G29" s="1415"/>
    </row>
    <row r="30" spans="1:7" ht="15.5" x14ac:dyDescent="0.35">
      <c r="A30" s="1414">
        <v>26</v>
      </c>
      <c r="B30" s="1415" t="s">
        <v>194</v>
      </c>
      <c r="C30" s="1415">
        <v>1290938688</v>
      </c>
      <c r="D30" s="1415">
        <v>206508385.68000001</v>
      </c>
      <c r="E30" s="1415">
        <v>664911866.44211102</v>
      </c>
      <c r="F30" s="1415">
        <f t="shared" si="0"/>
        <v>2162358940.1221113</v>
      </c>
      <c r="G30" s="1415"/>
    </row>
    <row r="31" spans="1:7" ht="15.5" x14ac:dyDescent="0.35">
      <c r="A31" s="1414">
        <v>27</v>
      </c>
      <c r="B31" s="1415" t="s">
        <v>1405</v>
      </c>
      <c r="C31" s="1415">
        <v>854439132</v>
      </c>
      <c r="D31" s="1415">
        <v>136612703.22</v>
      </c>
      <c r="E31" s="1415">
        <v>370637451.68081933</v>
      </c>
      <c r="F31" s="1415">
        <f t="shared" si="0"/>
        <v>1361689286.9008193</v>
      </c>
      <c r="G31" s="1415"/>
    </row>
    <row r="32" spans="1:7" ht="15.5" x14ac:dyDescent="0.35">
      <c r="A32" s="1414">
        <v>28</v>
      </c>
      <c r="B32" s="1415" t="s">
        <v>195</v>
      </c>
      <c r="C32" s="1415">
        <v>2047672243.2</v>
      </c>
      <c r="D32" s="1415">
        <v>314997180.96000004</v>
      </c>
      <c r="E32" s="1415">
        <v>1156242784.434732</v>
      </c>
      <c r="F32" s="1415">
        <f t="shared" si="0"/>
        <v>3518912208.5947318</v>
      </c>
      <c r="G32" s="1415"/>
    </row>
    <row r="33" spans="1:7" ht="15.5" x14ac:dyDescent="0.35">
      <c r="A33" s="1414">
        <v>29</v>
      </c>
      <c r="B33" s="1415" t="s">
        <v>1406</v>
      </c>
      <c r="C33" s="1415">
        <v>3030674716.8000002</v>
      </c>
      <c r="D33" s="1415">
        <v>477189182.04000002</v>
      </c>
      <c r="E33" s="1415">
        <v>1695435748.4791789</v>
      </c>
      <c r="F33" s="1415">
        <f t="shared" si="0"/>
        <v>5203299647.3191795</v>
      </c>
      <c r="G33" s="1415"/>
    </row>
    <row r="34" spans="1:7" ht="15.5" x14ac:dyDescent="0.35">
      <c r="A34" s="1414">
        <v>30</v>
      </c>
      <c r="B34" s="1415" t="s">
        <v>196</v>
      </c>
      <c r="C34" s="1415">
        <v>3506635910.4000001</v>
      </c>
      <c r="D34" s="1415">
        <v>538054776.12</v>
      </c>
      <c r="E34" s="1415">
        <v>1970055749.7601495</v>
      </c>
      <c r="F34" s="1415">
        <f t="shared" si="0"/>
        <v>6014746436.2801495</v>
      </c>
      <c r="G34" s="1415"/>
    </row>
    <row r="35" spans="1:7" ht="15.5" x14ac:dyDescent="0.35">
      <c r="A35" s="1414">
        <v>31</v>
      </c>
      <c r="B35" s="1415" t="s">
        <v>1407</v>
      </c>
      <c r="C35" s="1415">
        <v>9260153335.2000008</v>
      </c>
      <c r="D35" s="1415">
        <v>1422818558.1600001</v>
      </c>
      <c r="E35" s="1415">
        <v>3780242169.1231885</v>
      </c>
      <c r="F35" s="1415">
        <f t="shared" si="0"/>
        <v>14463214062.483189</v>
      </c>
      <c r="G35" s="1415"/>
    </row>
    <row r="36" spans="1:7" ht="15.5" x14ac:dyDescent="0.35">
      <c r="A36" s="1414">
        <v>32</v>
      </c>
      <c r="B36" s="1415" t="s">
        <v>1408</v>
      </c>
      <c r="C36" s="1415">
        <v>10437211083.84</v>
      </c>
      <c r="D36" s="1415">
        <v>1412313965.7203996</v>
      </c>
      <c r="E36" s="1415">
        <v>3358633958.2764158</v>
      </c>
      <c r="F36" s="1415">
        <f t="shared" si="0"/>
        <v>15208159007.836815</v>
      </c>
      <c r="G36" s="1415"/>
    </row>
    <row r="37" spans="1:7" ht="15.5" x14ac:dyDescent="0.35">
      <c r="A37" s="1414">
        <v>33</v>
      </c>
      <c r="B37" s="1415" t="s">
        <v>197</v>
      </c>
      <c r="C37" s="1415">
        <v>2529629868</v>
      </c>
      <c r="D37" s="1415">
        <v>397925586.4799999</v>
      </c>
      <c r="E37" s="1415">
        <v>1087511851.7475462</v>
      </c>
      <c r="F37" s="1415">
        <f t="shared" si="0"/>
        <v>4015067306.2275462</v>
      </c>
      <c r="G37" s="1415"/>
    </row>
    <row r="38" spans="1:7" ht="15.5" x14ac:dyDescent="0.35">
      <c r="A38" s="1414">
        <v>34</v>
      </c>
      <c r="B38" s="1415" t="s">
        <v>1409</v>
      </c>
      <c r="C38" s="1415">
        <v>5788992288</v>
      </c>
      <c r="D38" s="1415">
        <v>890393353.67999995</v>
      </c>
      <c r="E38" s="1415">
        <v>2706874972.0910139</v>
      </c>
      <c r="F38" s="1415">
        <f t="shared" si="0"/>
        <v>9386260613.7710152</v>
      </c>
      <c r="G38" s="1415"/>
    </row>
    <row r="39" spans="1:7" ht="15.5" x14ac:dyDescent="0.35">
      <c r="A39" s="1414">
        <v>35</v>
      </c>
      <c r="B39" s="1415" t="s">
        <v>198</v>
      </c>
      <c r="C39" s="1415">
        <v>5200174423.1999998</v>
      </c>
      <c r="D39" s="1415">
        <v>848291737.8599999</v>
      </c>
      <c r="E39" s="1415">
        <v>3188475915.0066633</v>
      </c>
      <c r="F39" s="1415">
        <f t="shared" si="0"/>
        <v>9236942076.0666618</v>
      </c>
      <c r="G39" s="1415"/>
    </row>
    <row r="40" spans="1:7" ht="15.5" x14ac:dyDescent="0.35">
      <c r="A40" s="1414">
        <v>36</v>
      </c>
      <c r="B40" s="1415" t="s">
        <v>588</v>
      </c>
      <c r="C40" s="1415">
        <v>4337447892</v>
      </c>
      <c r="D40" s="1415">
        <v>706290646.31999993</v>
      </c>
      <c r="E40" s="1415">
        <v>1722604967.9731114</v>
      </c>
      <c r="F40" s="1415">
        <f t="shared" si="0"/>
        <v>6766343506.2931108</v>
      </c>
      <c r="G40" s="1415"/>
    </row>
    <row r="41" spans="1:7" ht="15.5" x14ac:dyDescent="0.35">
      <c r="A41" s="1414">
        <v>37</v>
      </c>
      <c r="B41" s="1415" t="s">
        <v>1410</v>
      </c>
      <c r="C41" s="1415">
        <v>12398993143.200001</v>
      </c>
      <c r="D41" s="1415">
        <v>1980154133.9399996</v>
      </c>
      <c r="E41" s="1415">
        <v>4238455038.8400574</v>
      </c>
      <c r="F41" s="1415">
        <f t="shared" si="0"/>
        <v>18617602315.980057</v>
      </c>
      <c r="G41" s="1415"/>
    </row>
    <row r="42" spans="1:7" ht="15.5" x14ac:dyDescent="0.35">
      <c r="A42" s="1414">
        <v>38</v>
      </c>
      <c r="B42" s="1415" t="s">
        <v>1411</v>
      </c>
      <c r="C42" s="1415">
        <v>7537320288</v>
      </c>
      <c r="D42" s="1415">
        <v>1150667551.98</v>
      </c>
      <c r="E42" s="1415">
        <v>2859384047.9980984</v>
      </c>
      <c r="F42" s="1415">
        <f t="shared" si="0"/>
        <v>11547371887.978098</v>
      </c>
      <c r="G42" s="1415"/>
    </row>
    <row r="43" spans="1:7" s="1419" customFormat="1" ht="15.5" x14ac:dyDescent="0.35">
      <c r="A43" s="1555" t="s">
        <v>14</v>
      </c>
      <c r="B43" s="1556"/>
      <c r="C43" s="1418">
        <f>SUM(C5:C42)</f>
        <v>117115507932.23999</v>
      </c>
      <c r="D43" s="1418">
        <f>SUM(D5:D42)</f>
        <v>18049967764.190399</v>
      </c>
      <c r="E43" s="1418">
        <f>SUM(E5:E42)</f>
        <v>59258622070.236641</v>
      </c>
      <c r="F43" s="1418">
        <f>SUM(F5:F42)</f>
        <v>194424097766.66705</v>
      </c>
      <c r="G43" s="1418"/>
    </row>
  </sheetData>
  <mergeCells count="4">
    <mergeCell ref="A1:B1"/>
    <mergeCell ref="A2:B2"/>
    <mergeCell ref="A43:B43"/>
    <mergeCell ref="A3:G3"/>
  </mergeCells>
  <pageMargins left="0.43307086614173229" right="0.35433070866141736" top="0.47244094488188981" bottom="0.35433070866141736" header="0.48" footer="0.27559055118110237"/>
  <pageSetup paperSize="9" scale="90" fitToHeight="0"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42"/>
  <sheetViews>
    <sheetView topLeftCell="A7" workbookViewId="0">
      <selection sqref="A1:XFD1048576"/>
    </sheetView>
  </sheetViews>
  <sheetFormatPr defaultColWidth="10.90625" defaultRowHeight="12.5" x14ac:dyDescent="0.25"/>
  <cols>
    <col min="1" max="1" width="5.6328125" customWidth="1"/>
    <col min="2" max="2" width="34.453125" customWidth="1"/>
    <col min="3" max="4" width="9.1796875" customWidth="1"/>
    <col min="5" max="5" width="11.453125" customWidth="1"/>
    <col min="6" max="6" width="14.6328125" customWidth="1"/>
    <col min="7" max="7" width="41.81640625" customWidth="1"/>
    <col min="8" max="256" width="8.81640625" customWidth="1"/>
    <col min="257" max="257" width="5.6328125" customWidth="1"/>
    <col min="258" max="258" width="34.453125" customWidth="1"/>
    <col min="259" max="260" width="9.1796875" customWidth="1"/>
    <col min="261" max="261" width="11.453125" customWidth="1"/>
    <col min="262" max="262" width="14.6328125" customWidth="1"/>
    <col min="263" max="263" width="41.81640625" customWidth="1"/>
    <col min="264" max="512" width="8.81640625" customWidth="1"/>
    <col min="513" max="513" width="5.6328125" customWidth="1"/>
    <col min="514" max="514" width="34.453125" customWidth="1"/>
    <col min="515" max="516" width="9.1796875" customWidth="1"/>
    <col min="517" max="517" width="11.453125" customWidth="1"/>
    <col min="518" max="518" width="14.6328125" customWidth="1"/>
    <col min="519" max="519" width="41.81640625" customWidth="1"/>
    <col min="520" max="768" width="8.81640625" customWidth="1"/>
    <col min="769" max="769" width="5.6328125" customWidth="1"/>
    <col min="770" max="770" width="34.453125" customWidth="1"/>
    <col min="771" max="772" width="9.1796875" customWidth="1"/>
    <col min="773" max="773" width="11.453125" customWidth="1"/>
    <col min="774" max="774" width="14.6328125" customWidth="1"/>
    <col min="775" max="775" width="41.81640625" customWidth="1"/>
    <col min="776" max="1024" width="8.81640625" customWidth="1"/>
    <col min="1025" max="1025" width="5.6328125" customWidth="1"/>
    <col min="1026" max="1026" width="34.453125" customWidth="1"/>
    <col min="1027" max="1028" width="9.1796875" customWidth="1"/>
    <col min="1029" max="1029" width="11.453125" customWidth="1"/>
    <col min="1030" max="1030" width="14.6328125" customWidth="1"/>
    <col min="1031" max="1031" width="41.81640625" customWidth="1"/>
    <col min="1032" max="1280" width="8.81640625" customWidth="1"/>
    <col min="1281" max="1281" width="5.6328125" customWidth="1"/>
    <col min="1282" max="1282" width="34.453125" customWidth="1"/>
    <col min="1283" max="1284" width="9.1796875" customWidth="1"/>
    <col min="1285" max="1285" width="11.453125" customWidth="1"/>
    <col min="1286" max="1286" width="14.6328125" customWidth="1"/>
    <col min="1287" max="1287" width="41.81640625" customWidth="1"/>
    <col min="1288" max="1536" width="8.81640625" customWidth="1"/>
    <col min="1537" max="1537" width="5.6328125" customWidth="1"/>
    <col min="1538" max="1538" width="34.453125" customWidth="1"/>
    <col min="1539" max="1540" width="9.1796875" customWidth="1"/>
    <col min="1541" max="1541" width="11.453125" customWidth="1"/>
    <col min="1542" max="1542" width="14.6328125" customWidth="1"/>
    <col min="1543" max="1543" width="41.81640625" customWidth="1"/>
    <col min="1544" max="1792" width="8.81640625" customWidth="1"/>
    <col min="1793" max="1793" width="5.6328125" customWidth="1"/>
    <col min="1794" max="1794" width="34.453125" customWidth="1"/>
    <col min="1795" max="1796" width="9.1796875" customWidth="1"/>
    <col min="1797" max="1797" width="11.453125" customWidth="1"/>
    <col min="1798" max="1798" width="14.6328125" customWidth="1"/>
    <col min="1799" max="1799" width="41.81640625" customWidth="1"/>
    <col min="1800" max="2048" width="8.81640625" customWidth="1"/>
    <col min="2049" max="2049" width="5.6328125" customWidth="1"/>
    <col min="2050" max="2050" width="34.453125" customWidth="1"/>
    <col min="2051" max="2052" width="9.1796875" customWidth="1"/>
    <col min="2053" max="2053" width="11.453125" customWidth="1"/>
    <col min="2054" max="2054" width="14.6328125" customWidth="1"/>
    <col min="2055" max="2055" width="41.81640625" customWidth="1"/>
    <col min="2056" max="2304" width="8.81640625" customWidth="1"/>
    <col min="2305" max="2305" width="5.6328125" customWidth="1"/>
    <col min="2306" max="2306" width="34.453125" customWidth="1"/>
    <col min="2307" max="2308" width="9.1796875" customWidth="1"/>
    <col min="2309" max="2309" width="11.453125" customWidth="1"/>
    <col min="2310" max="2310" width="14.6328125" customWidth="1"/>
    <col min="2311" max="2311" width="41.81640625" customWidth="1"/>
    <col min="2312" max="2560" width="8.81640625" customWidth="1"/>
    <col min="2561" max="2561" width="5.6328125" customWidth="1"/>
    <col min="2562" max="2562" width="34.453125" customWidth="1"/>
    <col min="2563" max="2564" width="9.1796875" customWidth="1"/>
    <col min="2565" max="2565" width="11.453125" customWidth="1"/>
    <col min="2566" max="2566" width="14.6328125" customWidth="1"/>
    <col min="2567" max="2567" width="41.81640625" customWidth="1"/>
    <col min="2568" max="2816" width="8.81640625" customWidth="1"/>
    <col min="2817" max="2817" width="5.6328125" customWidth="1"/>
    <col min="2818" max="2818" width="34.453125" customWidth="1"/>
    <col min="2819" max="2820" width="9.1796875" customWidth="1"/>
    <col min="2821" max="2821" width="11.453125" customWidth="1"/>
    <col min="2822" max="2822" width="14.6328125" customWidth="1"/>
    <col min="2823" max="2823" width="41.81640625" customWidth="1"/>
    <col min="2824" max="3072" width="8.81640625" customWidth="1"/>
    <col min="3073" max="3073" width="5.6328125" customWidth="1"/>
    <col min="3074" max="3074" width="34.453125" customWidth="1"/>
    <col min="3075" max="3076" width="9.1796875" customWidth="1"/>
    <col min="3077" max="3077" width="11.453125" customWidth="1"/>
    <col min="3078" max="3078" width="14.6328125" customWidth="1"/>
    <col min="3079" max="3079" width="41.81640625" customWidth="1"/>
    <col min="3080" max="3328" width="8.81640625" customWidth="1"/>
    <col min="3329" max="3329" width="5.6328125" customWidth="1"/>
    <col min="3330" max="3330" width="34.453125" customWidth="1"/>
    <col min="3331" max="3332" width="9.1796875" customWidth="1"/>
    <col min="3333" max="3333" width="11.453125" customWidth="1"/>
    <col min="3334" max="3334" width="14.6328125" customWidth="1"/>
    <col min="3335" max="3335" width="41.81640625" customWidth="1"/>
    <col min="3336" max="3584" width="8.81640625" customWidth="1"/>
    <col min="3585" max="3585" width="5.6328125" customWidth="1"/>
    <col min="3586" max="3586" width="34.453125" customWidth="1"/>
    <col min="3587" max="3588" width="9.1796875" customWidth="1"/>
    <col min="3589" max="3589" width="11.453125" customWidth="1"/>
    <col min="3590" max="3590" width="14.6328125" customWidth="1"/>
    <col min="3591" max="3591" width="41.81640625" customWidth="1"/>
    <col min="3592" max="3840" width="8.81640625" customWidth="1"/>
    <col min="3841" max="3841" width="5.6328125" customWidth="1"/>
    <col min="3842" max="3842" width="34.453125" customWidth="1"/>
    <col min="3843" max="3844" width="9.1796875" customWidth="1"/>
    <col min="3845" max="3845" width="11.453125" customWidth="1"/>
    <col min="3846" max="3846" width="14.6328125" customWidth="1"/>
    <col min="3847" max="3847" width="41.81640625" customWidth="1"/>
    <col min="3848" max="4096" width="8.81640625" customWidth="1"/>
    <col min="4097" max="4097" width="5.6328125" customWidth="1"/>
    <col min="4098" max="4098" width="34.453125" customWidth="1"/>
    <col min="4099" max="4100" width="9.1796875" customWidth="1"/>
    <col min="4101" max="4101" width="11.453125" customWidth="1"/>
    <col min="4102" max="4102" width="14.6328125" customWidth="1"/>
    <col min="4103" max="4103" width="41.81640625" customWidth="1"/>
    <col min="4104" max="4352" width="8.81640625" customWidth="1"/>
    <col min="4353" max="4353" width="5.6328125" customWidth="1"/>
    <col min="4354" max="4354" width="34.453125" customWidth="1"/>
    <col min="4355" max="4356" width="9.1796875" customWidth="1"/>
    <col min="4357" max="4357" width="11.453125" customWidth="1"/>
    <col min="4358" max="4358" width="14.6328125" customWidth="1"/>
    <col min="4359" max="4359" width="41.81640625" customWidth="1"/>
    <col min="4360" max="4608" width="8.81640625" customWidth="1"/>
    <col min="4609" max="4609" width="5.6328125" customWidth="1"/>
    <col min="4610" max="4610" width="34.453125" customWidth="1"/>
    <col min="4611" max="4612" width="9.1796875" customWidth="1"/>
    <col min="4613" max="4613" width="11.453125" customWidth="1"/>
    <col min="4614" max="4614" width="14.6328125" customWidth="1"/>
    <col min="4615" max="4615" width="41.81640625" customWidth="1"/>
    <col min="4616" max="4864" width="8.81640625" customWidth="1"/>
    <col min="4865" max="4865" width="5.6328125" customWidth="1"/>
    <col min="4866" max="4866" width="34.453125" customWidth="1"/>
    <col min="4867" max="4868" width="9.1796875" customWidth="1"/>
    <col min="4869" max="4869" width="11.453125" customWidth="1"/>
    <col min="4870" max="4870" width="14.6328125" customWidth="1"/>
    <col min="4871" max="4871" width="41.81640625" customWidth="1"/>
    <col min="4872" max="5120" width="8.81640625" customWidth="1"/>
    <col min="5121" max="5121" width="5.6328125" customWidth="1"/>
    <col min="5122" max="5122" width="34.453125" customWidth="1"/>
    <col min="5123" max="5124" width="9.1796875" customWidth="1"/>
    <col min="5125" max="5125" width="11.453125" customWidth="1"/>
    <col min="5126" max="5126" width="14.6328125" customWidth="1"/>
    <col min="5127" max="5127" width="41.81640625" customWidth="1"/>
    <col min="5128" max="5376" width="8.81640625" customWidth="1"/>
    <col min="5377" max="5377" width="5.6328125" customWidth="1"/>
    <col min="5378" max="5378" width="34.453125" customWidth="1"/>
    <col min="5379" max="5380" width="9.1796875" customWidth="1"/>
    <col min="5381" max="5381" width="11.453125" customWidth="1"/>
    <col min="5382" max="5382" width="14.6328125" customWidth="1"/>
    <col min="5383" max="5383" width="41.81640625" customWidth="1"/>
    <col min="5384" max="5632" width="8.81640625" customWidth="1"/>
    <col min="5633" max="5633" width="5.6328125" customWidth="1"/>
    <col min="5634" max="5634" width="34.453125" customWidth="1"/>
    <col min="5635" max="5636" width="9.1796875" customWidth="1"/>
    <col min="5637" max="5637" width="11.453125" customWidth="1"/>
    <col min="5638" max="5638" width="14.6328125" customWidth="1"/>
    <col min="5639" max="5639" width="41.81640625" customWidth="1"/>
    <col min="5640" max="5888" width="8.81640625" customWidth="1"/>
    <col min="5889" max="5889" width="5.6328125" customWidth="1"/>
    <col min="5890" max="5890" width="34.453125" customWidth="1"/>
    <col min="5891" max="5892" width="9.1796875" customWidth="1"/>
    <col min="5893" max="5893" width="11.453125" customWidth="1"/>
    <col min="5894" max="5894" width="14.6328125" customWidth="1"/>
    <col min="5895" max="5895" width="41.81640625" customWidth="1"/>
    <col min="5896" max="6144" width="8.81640625" customWidth="1"/>
    <col min="6145" max="6145" width="5.6328125" customWidth="1"/>
    <col min="6146" max="6146" width="34.453125" customWidth="1"/>
    <col min="6147" max="6148" width="9.1796875" customWidth="1"/>
    <col min="6149" max="6149" width="11.453125" customWidth="1"/>
    <col min="6150" max="6150" width="14.6328125" customWidth="1"/>
    <col min="6151" max="6151" width="41.81640625" customWidth="1"/>
    <col min="6152" max="6400" width="8.81640625" customWidth="1"/>
    <col min="6401" max="6401" width="5.6328125" customWidth="1"/>
    <col min="6402" max="6402" width="34.453125" customWidth="1"/>
    <col min="6403" max="6404" width="9.1796875" customWidth="1"/>
    <col min="6405" max="6405" width="11.453125" customWidth="1"/>
    <col min="6406" max="6406" width="14.6328125" customWidth="1"/>
    <col min="6407" max="6407" width="41.81640625" customWidth="1"/>
    <col min="6408" max="6656" width="8.81640625" customWidth="1"/>
    <col min="6657" max="6657" width="5.6328125" customWidth="1"/>
    <col min="6658" max="6658" width="34.453125" customWidth="1"/>
    <col min="6659" max="6660" width="9.1796875" customWidth="1"/>
    <col min="6661" max="6661" width="11.453125" customWidth="1"/>
    <col min="6662" max="6662" width="14.6328125" customWidth="1"/>
    <col min="6663" max="6663" width="41.81640625" customWidth="1"/>
    <col min="6664" max="6912" width="8.81640625" customWidth="1"/>
    <col min="6913" max="6913" width="5.6328125" customWidth="1"/>
    <col min="6914" max="6914" width="34.453125" customWidth="1"/>
    <col min="6915" max="6916" width="9.1796875" customWidth="1"/>
    <col min="6917" max="6917" width="11.453125" customWidth="1"/>
    <col min="6918" max="6918" width="14.6328125" customWidth="1"/>
    <col min="6919" max="6919" width="41.81640625" customWidth="1"/>
    <col min="6920" max="7168" width="8.81640625" customWidth="1"/>
    <col min="7169" max="7169" width="5.6328125" customWidth="1"/>
    <col min="7170" max="7170" width="34.453125" customWidth="1"/>
    <col min="7171" max="7172" width="9.1796875" customWidth="1"/>
    <col min="7173" max="7173" width="11.453125" customWidth="1"/>
    <col min="7174" max="7174" width="14.6328125" customWidth="1"/>
    <col min="7175" max="7175" width="41.81640625" customWidth="1"/>
    <col min="7176" max="7424" width="8.81640625" customWidth="1"/>
    <col min="7425" max="7425" width="5.6328125" customWidth="1"/>
    <col min="7426" max="7426" width="34.453125" customWidth="1"/>
    <col min="7427" max="7428" width="9.1796875" customWidth="1"/>
    <col min="7429" max="7429" width="11.453125" customWidth="1"/>
    <col min="7430" max="7430" width="14.6328125" customWidth="1"/>
    <col min="7431" max="7431" width="41.81640625" customWidth="1"/>
    <col min="7432" max="7680" width="8.81640625" customWidth="1"/>
    <col min="7681" max="7681" width="5.6328125" customWidth="1"/>
    <col min="7682" max="7682" width="34.453125" customWidth="1"/>
    <col min="7683" max="7684" width="9.1796875" customWidth="1"/>
    <col min="7685" max="7685" width="11.453125" customWidth="1"/>
    <col min="7686" max="7686" width="14.6328125" customWidth="1"/>
    <col min="7687" max="7687" width="41.81640625" customWidth="1"/>
    <col min="7688" max="7936" width="8.81640625" customWidth="1"/>
    <col min="7937" max="7937" width="5.6328125" customWidth="1"/>
    <col min="7938" max="7938" width="34.453125" customWidth="1"/>
    <col min="7939" max="7940" width="9.1796875" customWidth="1"/>
    <col min="7941" max="7941" width="11.453125" customWidth="1"/>
    <col min="7942" max="7942" width="14.6328125" customWidth="1"/>
    <col min="7943" max="7943" width="41.81640625" customWidth="1"/>
    <col min="7944" max="8192" width="8.81640625" customWidth="1"/>
    <col min="8193" max="8193" width="5.6328125" customWidth="1"/>
    <col min="8194" max="8194" width="34.453125" customWidth="1"/>
    <col min="8195" max="8196" width="9.1796875" customWidth="1"/>
    <col min="8197" max="8197" width="11.453125" customWidth="1"/>
    <col min="8198" max="8198" width="14.6328125" customWidth="1"/>
    <col min="8199" max="8199" width="41.81640625" customWidth="1"/>
    <col min="8200" max="8448" width="8.81640625" customWidth="1"/>
    <col min="8449" max="8449" width="5.6328125" customWidth="1"/>
    <col min="8450" max="8450" width="34.453125" customWidth="1"/>
    <col min="8451" max="8452" width="9.1796875" customWidth="1"/>
    <col min="8453" max="8453" width="11.453125" customWidth="1"/>
    <col min="8454" max="8454" width="14.6328125" customWidth="1"/>
    <col min="8455" max="8455" width="41.81640625" customWidth="1"/>
    <col min="8456" max="8704" width="8.81640625" customWidth="1"/>
    <col min="8705" max="8705" width="5.6328125" customWidth="1"/>
    <col min="8706" max="8706" width="34.453125" customWidth="1"/>
    <col min="8707" max="8708" width="9.1796875" customWidth="1"/>
    <col min="8709" max="8709" width="11.453125" customWidth="1"/>
    <col min="8710" max="8710" width="14.6328125" customWidth="1"/>
    <col min="8711" max="8711" width="41.81640625" customWidth="1"/>
    <col min="8712" max="8960" width="8.81640625" customWidth="1"/>
    <col min="8961" max="8961" width="5.6328125" customWidth="1"/>
    <col min="8962" max="8962" width="34.453125" customWidth="1"/>
    <col min="8963" max="8964" width="9.1796875" customWidth="1"/>
    <col min="8965" max="8965" width="11.453125" customWidth="1"/>
    <col min="8966" max="8966" width="14.6328125" customWidth="1"/>
    <col min="8967" max="8967" width="41.81640625" customWidth="1"/>
    <col min="8968" max="9216" width="8.81640625" customWidth="1"/>
    <col min="9217" max="9217" width="5.6328125" customWidth="1"/>
    <col min="9218" max="9218" width="34.453125" customWidth="1"/>
    <col min="9219" max="9220" width="9.1796875" customWidth="1"/>
    <col min="9221" max="9221" width="11.453125" customWidth="1"/>
    <col min="9222" max="9222" width="14.6328125" customWidth="1"/>
    <col min="9223" max="9223" width="41.81640625" customWidth="1"/>
    <col min="9224" max="9472" width="8.81640625" customWidth="1"/>
    <col min="9473" max="9473" width="5.6328125" customWidth="1"/>
    <col min="9474" max="9474" width="34.453125" customWidth="1"/>
    <col min="9475" max="9476" width="9.1796875" customWidth="1"/>
    <col min="9477" max="9477" width="11.453125" customWidth="1"/>
    <col min="9478" max="9478" width="14.6328125" customWidth="1"/>
    <col min="9479" max="9479" width="41.81640625" customWidth="1"/>
    <col min="9480" max="9728" width="8.81640625" customWidth="1"/>
    <col min="9729" max="9729" width="5.6328125" customWidth="1"/>
    <col min="9730" max="9730" width="34.453125" customWidth="1"/>
    <col min="9731" max="9732" width="9.1796875" customWidth="1"/>
    <col min="9733" max="9733" width="11.453125" customWidth="1"/>
    <col min="9734" max="9734" width="14.6328125" customWidth="1"/>
    <col min="9735" max="9735" width="41.81640625" customWidth="1"/>
    <col min="9736" max="9984" width="8.81640625" customWidth="1"/>
    <col min="9985" max="9985" width="5.6328125" customWidth="1"/>
    <col min="9986" max="9986" width="34.453125" customWidth="1"/>
    <col min="9987" max="9988" width="9.1796875" customWidth="1"/>
    <col min="9989" max="9989" width="11.453125" customWidth="1"/>
    <col min="9990" max="9990" width="14.6328125" customWidth="1"/>
    <col min="9991" max="9991" width="41.81640625" customWidth="1"/>
    <col min="9992" max="10240" width="8.81640625" customWidth="1"/>
    <col min="10241" max="10241" width="5.6328125" customWidth="1"/>
    <col min="10242" max="10242" width="34.453125" customWidth="1"/>
    <col min="10243" max="10244" width="9.1796875" customWidth="1"/>
    <col min="10245" max="10245" width="11.453125" customWidth="1"/>
    <col min="10246" max="10246" width="14.6328125" customWidth="1"/>
    <col min="10247" max="10247" width="41.81640625" customWidth="1"/>
    <col min="10248" max="10496" width="8.81640625" customWidth="1"/>
    <col min="10497" max="10497" width="5.6328125" customWidth="1"/>
    <col min="10498" max="10498" width="34.453125" customWidth="1"/>
    <col min="10499" max="10500" width="9.1796875" customWidth="1"/>
    <col min="10501" max="10501" width="11.453125" customWidth="1"/>
    <col min="10502" max="10502" width="14.6328125" customWidth="1"/>
    <col min="10503" max="10503" width="41.81640625" customWidth="1"/>
    <col min="10504" max="10752" width="8.81640625" customWidth="1"/>
    <col min="10753" max="10753" width="5.6328125" customWidth="1"/>
    <col min="10754" max="10754" width="34.453125" customWidth="1"/>
    <col min="10755" max="10756" width="9.1796875" customWidth="1"/>
    <col min="10757" max="10757" width="11.453125" customWidth="1"/>
    <col min="10758" max="10758" width="14.6328125" customWidth="1"/>
    <col min="10759" max="10759" width="41.81640625" customWidth="1"/>
    <col min="10760" max="11008" width="8.81640625" customWidth="1"/>
    <col min="11009" max="11009" width="5.6328125" customWidth="1"/>
    <col min="11010" max="11010" width="34.453125" customWidth="1"/>
    <col min="11011" max="11012" width="9.1796875" customWidth="1"/>
    <col min="11013" max="11013" width="11.453125" customWidth="1"/>
    <col min="11014" max="11014" width="14.6328125" customWidth="1"/>
    <col min="11015" max="11015" width="41.81640625" customWidth="1"/>
    <col min="11016" max="11264" width="8.81640625" customWidth="1"/>
    <col min="11265" max="11265" width="5.6328125" customWidth="1"/>
    <col min="11266" max="11266" width="34.453125" customWidth="1"/>
    <col min="11267" max="11268" width="9.1796875" customWidth="1"/>
    <col min="11269" max="11269" width="11.453125" customWidth="1"/>
    <col min="11270" max="11270" width="14.6328125" customWidth="1"/>
    <col min="11271" max="11271" width="41.81640625" customWidth="1"/>
    <col min="11272" max="11520" width="8.81640625" customWidth="1"/>
    <col min="11521" max="11521" width="5.6328125" customWidth="1"/>
    <col min="11522" max="11522" width="34.453125" customWidth="1"/>
    <col min="11523" max="11524" width="9.1796875" customWidth="1"/>
    <col min="11525" max="11525" width="11.453125" customWidth="1"/>
    <col min="11526" max="11526" width="14.6328125" customWidth="1"/>
    <col min="11527" max="11527" width="41.81640625" customWidth="1"/>
    <col min="11528" max="11776" width="8.81640625" customWidth="1"/>
    <col min="11777" max="11777" width="5.6328125" customWidth="1"/>
    <col min="11778" max="11778" width="34.453125" customWidth="1"/>
    <col min="11779" max="11780" width="9.1796875" customWidth="1"/>
    <col min="11781" max="11781" width="11.453125" customWidth="1"/>
    <col min="11782" max="11782" width="14.6328125" customWidth="1"/>
    <col min="11783" max="11783" width="41.81640625" customWidth="1"/>
    <col min="11784" max="12032" width="8.81640625" customWidth="1"/>
    <col min="12033" max="12033" width="5.6328125" customWidth="1"/>
    <col min="12034" max="12034" width="34.453125" customWidth="1"/>
    <col min="12035" max="12036" width="9.1796875" customWidth="1"/>
    <col min="12037" max="12037" width="11.453125" customWidth="1"/>
    <col min="12038" max="12038" width="14.6328125" customWidth="1"/>
    <col min="12039" max="12039" width="41.81640625" customWidth="1"/>
    <col min="12040" max="12288" width="8.81640625" customWidth="1"/>
    <col min="12289" max="12289" width="5.6328125" customWidth="1"/>
    <col min="12290" max="12290" width="34.453125" customWidth="1"/>
    <col min="12291" max="12292" width="9.1796875" customWidth="1"/>
    <col min="12293" max="12293" width="11.453125" customWidth="1"/>
    <col min="12294" max="12294" width="14.6328125" customWidth="1"/>
    <col min="12295" max="12295" width="41.81640625" customWidth="1"/>
    <col min="12296" max="12544" width="8.81640625" customWidth="1"/>
    <col min="12545" max="12545" width="5.6328125" customWidth="1"/>
    <col min="12546" max="12546" width="34.453125" customWidth="1"/>
    <col min="12547" max="12548" width="9.1796875" customWidth="1"/>
    <col min="12549" max="12549" width="11.453125" customWidth="1"/>
    <col min="12550" max="12550" width="14.6328125" customWidth="1"/>
    <col min="12551" max="12551" width="41.81640625" customWidth="1"/>
    <col min="12552" max="12800" width="8.81640625" customWidth="1"/>
    <col min="12801" max="12801" width="5.6328125" customWidth="1"/>
    <col min="12802" max="12802" width="34.453125" customWidth="1"/>
    <col min="12803" max="12804" width="9.1796875" customWidth="1"/>
    <col min="12805" max="12805" width="11.453125" customWidth="1"/>
    <col min="12806" max="12806" width="14.6328125" customWidth="1"/>
    <col min="12807" max="12807" width="41.81640625" customWidth="1"/>
    <col min="12808" max="13056" width="8.81640625" customWidth="1"/>
    <col min="13057" max="13057" width="5.6328125" customWidth="1"/>
    <col min="13058" max="13058" width="34.453125" customWidth="1"/>
    <col min="13059" max="13060" width="9.1796875" customWidth="1"/>
    <col min="13061" max="13061" width="11.453125" customWidth="1"/>
    <col min="13062" max="13062" width="14.6328125" customWidth="1"/>
    <col min="13063" max="13063" width="41.81640625" customWidth="1"/>
    <col min="13064" max="13312" width="8.81640625" customWidth="1"/>
    <col min="13313" max="13313" width="5.6328125" customWidth="1"/>
    <col min="13314" max="13314" width="34.453125" customWidth="1"/>
    <col min="13315" max="13316" width="9.1796875" customWidth="1"/>
    <col min="13317" max="13317" width="11.453125" customWidth="1"/>
    <col min="13318" max="13318" width="14.6328125" customWidth="1"/>
    <col min="13319" max="13319" width="41.81640625" customWidth="1"/>
    <col min="13320" max="13568" width="8.81640625" customWidth="1"/>
    <col min="13569" max="13569" width="5.6328125" customWidth="1"/>
    <col min="13570" max="13570" width="34.453125" customWidth="1"/>
    <col min="13571" max="13572" width="9.1796875" customWidth="1"/>
    <col min="13573" max="13573" width="11.453125" customWidth="1"/>
    <col min="13574" max="13574" width="14.6328125" customWidth="1"/>
    <col min="13575" max="13575" width="41.81640625" customWidth="1"/>
    <col min="13576" max="13824" width="8.81640625" customWidth="1"/>
    <col min="13825" max="13825" width="5.6328125" customWidth="1"/>
    <col min="13826" max="13826" width="34.453125" customWidth="1"/>
    <col min="13827" max="13828" width="9.1796875" customWidth="1"/>
    <col min="13829" max="13829" width="11.453125" customWidth="1"/>
    <col min="13830" max="13830" width="14.6328125" customWidth="1"/>
    <col min="13831" max="13831" width="41.81640625" customWidth="1"/>
    <col min="13832" max="14080" width="8.81640625" customWidth="1"/>
    <col min="14081" max="14081" width="5.6328125" customWidth="1"/>
    <col min="14082" max="14082" width="34.453125" customWidth="1"/>
    <col min="14083" max="14084" width="9.1796875" customWidth="1"/>
    <col min="14085" max="14085" width="11.453125" customWidth="1"/>
    <col min="14086" max="14086" width="14.6328125" customWidth="1"/>
    <col min="14087" max="14087" width="41.81640625" customWidth="1"/>
    <col min="14088" max="14336" width="8.81640625" customWidth="1"/>
    <col min="14337" max="14337" width="5.6328125" customWidth="1"/>
    <col min="14338" max="14338" width="34.453125" customWidth="1"/>
    <col min="14339" max="14340" width="9.1796875" customWidth="1"/>
    <col min="14341" max="14341" width="11.453125" customWidth="1"/>
    <col min="14342" max="14342" width="14.6328125" customWidth="1"/>
    <col min="14343" max="14343" width="41.81640625" customWidth="1"/>
    <col min="14344" max="14592" width="8.81640625" customWidth="1"/>
    <col min="14593" max="14593" width="5.6328125" customWidth="1"/>
    <col min="14594" max="14594" width="34.453125" customWidth="1"/>
    <col min="14595" max="14596" width="9.1796875" customWidth="1"/>
    <col min="14597" max="14597" width="11.453125" customWidth="1"/>
    <col min="14598" max="14598" width="14.6328125" customWidth="1"/>
    <col min="14599" max="14599" width="41.81640625" customWidth="1"/>
    <col min="14600" max="14848" width="8.81640625" customWidth="1"/>
    <col min="14849" max="14849" width="5.6328125" customWidth="1"/>
    <col min="14850" max="14850" width="34.453125" customWidth="1"/>
    <col min="14851" max="14852" width="9.1796875" customWidth="1"/>
    <col min="14853" max="14853" width="11.453125" customWidth="1"/>
    <col min="14854" max="14854" width="14.6328125" customWidth="1"/>
    <col min="14855" max="14855" width="41.81640625" customWidth="1"/>
    <col min="14856" max="15104" width="8.81640625" customWidth="1"/>
    <col min="15105" max="15105" width="5.6328125" customWidth="1"/>
    <col min="15106" max="15106" width="34.453125" customWidth="1"/>
    <col min="15107" max="15108" width="9.1796875" customWidth="1"/>
    <col min="15109" max="15109" width="11.453125" customWidth="1"/>
    <col min="15110" max="15110" width="14.6328125" customWidth="1"/>
    <col min="15111" max="15111" width="41.81640625" customWidth="1"/>
    <col min="15112" max="15360" width="8.81640625" customWidth="1"/>
    <col min="15361" max="15361" width="5.6328125" customWidth="1"/>
    <col min="15362" max="15362" width="34.453125" customWidth="1"/>
    <col min="15363" max="15364" width="9.1796875" customWidth="1"/>
    <col min="15365" max="15365" width="11.453125" customWidth="1"/>
    <col min="15366" max="15366" width="14.6328125" customWidth="1"/>
    <col min="15367" max="15367" width="41.81640625" customWidth="1"/>
    <col min="15368" max="15616" width="8.81640625" customWidth="1"/>
    <col min="15617" max="15617" width="5.6328125" customWidth="1"/>
    <col min="15618" max="15618" width="34.453125" customWidth="1"/>
    <col min="15619" max="15620" width="9.1796875" customWidth="1"/>
    <col min="15621" max="15621" width="11.453125" customWidth="1"/>
    <col min="15622" max="15622" width="14.6328125" customWidth="1"/>
    <col min="15623" max="15623" width="41.81640625" customWidth="1"/>
    <col min="15624" max="15872" width="8.81640625" customWidth="1"/>
    <col min="15873" max="15873" width="5.6328125" customWidth="1"/>
    <col min="15874" max="15874" width="34.453125" customWidth="1"/>
    <col min="15875" max="15876" width="9.1796875" customWidth="1"/>
    <col min="15877" max="15877" width="11.453125" customWidth="1"/>
    <col min="15878" max="15878" width="14.6328125" customWidth="1"/>
    <col min="15879" max="15879" width="41.81640625" customWidth="1"/>
    <col min="15880" max="16128" width="8.81640625" customWidth="1"/>
    <col min="16129" max="16129" width="5.6328125" customWidth="1"/>
    <col min="16130" max="16130" width="34.453125" customWidth="1"/>
    <col min="16131" max="16132" width="9.1796875" customWidth="1"/>
    <col min="16133" max="16133" width="11.453125" customWidth="1"/>
    <col min="16134" max="16134" width="14.6328125" customWidth="1"/>
    <col min="16135" max="16135" width="41.81640625" customWidth="1"/>
    <col min="16136" max="16384" width="8.81640625" customWidth="1"/>
  </cols>
  <sheetData>
    <row r="1" spans="1:9" ht="14" x14ac:dyDescent="0.3">
      <c r="A1" s="1560" t="s">
        <v>1011</v>
      </c>
      <c r="B1" s="1560"/>
      <c r="C1" s="1561" t="s">
        <v>1012</v>
      </c>
      <c r="D1" s="1561"/>
      <c r="E1" s="1561"/>
      <c r="F1" s="1561"/>
      <c r="G1" s="944"/>
    </row>
    <row r="2" spans="1:9" ht="14" x14ac:dyDescent="0.3">
      <c r="A2" s="1562" t="s">
        <v>136</v>
      </c>
      <c r="B2" s="1562"/>
      <c r="C2" s="1561" t="s">
        <v>1013</v>
      </c>
      <c r="D2" s="1561"/>
      <c r="E2" s="1561"/>
      <c r="F2" s="1561"/>
      <c r="G2" s="944"/>
    </row>
    <row r="3" spans="1:9" ht="15.5" x14ac:dyDescent="0.35">
      <c r="A3" s="945"/>
      <c r="B3" s="946"/>
      <c r="C3" s="945"/>
      <c r="D3" s="945"/>
      <c r="E3" s="947"/>
      <c r="F3" s="948"/>
      <c r="G3" s="944"/>
    </row>
    <row r="4" spans="1:9" ht="14" x14ac:dyDescent="0.3">
      <c r="A4" s="1528" t="s">
        <v>1014</v>
      </c>
      <c r="B4" s="1528"/>
      <c r="C4" s="1528"/>
      <c r="D4" s="1528"/>
      <c r="E4" s="1528"/>
      <c r="F4" s="1528"/>
      <c r="G4" s="1528"/>
    </row>
    <row r="5" spans="1:9" ht="15.5" x14ac:dyDescent="0.3">
      <c r="A5" s="949"/>
      <c r="B5" s="950"/>
      <c r="C5" s="951"/>
      <c r="E5" s="952"/>
      <c r="F5" s="953"/>
      <c r="G5" s="954" t="s">
        <v>1015</v>
      </c>
    </row>
    <row r="6" spans="1:9" ht="28" x14ac:dyDescent="0.25">
      <c r="A6" s="955" t="s">
        <v>51</v>
      </c>
      <c r="B6" s="956" t="s">
        <v>1016</v>
      </c>
      <c r="C6" s="956" t="s">
        <v>1</v>
      </c>
      <c r="D6" s="956" t="s">
        <v>373</v>
      </c>
      <c r="E6" s="957" t="s">
        <v>28</v>
      </c>
      <c r="F6" s="958" t="s">
        <v>1017</v>
      </c>
      <c r="G6" s="955" t="s">
        <v>2</v>
      </c>
    </row>
    <row r="7" spans="1:9" ht="15" x14ac:dyDescent="0.3">
      <c r="A7" s="956" t="s">
        <v>7</v>
      </c>
      <c r="B7" s="959" t="s">
        <v>1018</v>
      </c>
      <c r="C7" s="960"/>
      <c r="D7" s="960"/>
      <c r="E7" s="961"/>
      <c r="F7" s="962">
        <v>58500000</v>
      </c>
      <c r="G7" s="963"/>
    </row>
    <row r="8" spans="1:9" ht="15.5" x14ac:dyDescent="0.35">
      <c r="A8" s="960">
        <v>1</v>
      </c>
      <c r="B8" s="964" t="s">
        <v>1019</v>
      </c>
      <c r="C8" s="960" t="s">
        <v>1020</v>
      </c>
      <c r="D8" s="960">
        <v>1300</v>
      </c>
      <c r="E8" s="961">
        <v>25000</v>
      </c>
      <c r="F8" s="965">
        <v>32500000</v>
      </c>
      <c r="G8" s="966" t="s">
        <v>1021</v>
      </c>
    </row>
    <row r="9" spans="1:9" ht="15.5" x14ac:dyDescent="0.35">
      <c r="A9" s="967">
        <v>2</v>
      </c>
      <c r="B9" s="964" t="s">
        <v>1022</v>
      </c>
      <c r="C9" s="960" t="s">
        <v>1020</v>
      </c>
      <c r="D9" s="960">
        <v>1040</v>
      </c>
      <c r="E9" s="961">
        <v>25000</v>
      </c>
      <c r="F9" s="965">
        <f>D9*E9</f>
        <v>26000000</v>
      </c>
      <c r="G9" s="966" t="s">
        <v>1023</v>
      </c>
    </row>
    <row r="10" spans="1:9" ht="15" x14ac:dyDescent="0.3">
      <c r="A10" s="968" t="s">
        <v>8</v>
      </c>
      <c r="B10" s="959" t="s">
        <v>1024</v>
      </c>
      <c r="C10" s="960"/>
      <c r="D10" s="960"/>
      <c r="E10" s="961"/>
      <c r="F10" s="962">
        <v>38284000</v>
      </c>
      <c r="G10" s="969"/>
      <c r="I10" s="2"/>
    </row>
    <row r="11" spans="1:9" ht="15.5" x14ac:dyDescent="0.35">
      <c r="A11" s="960">
        <v>1</v>
      </c>
      <c r="B11" s="964" t="s">
        <v>1025</v>
      </c>
      <c r="C11" s="960" t="s">
        <v>1020</v>
      </c>
      <c r="D11" s="960">
        <v>240</v>
      </c>
      <c r="E11" s="961">
        <v>25000</v>
      </c>
      <c r="F11" s="965">
        <v>14000000</v>
      </c>
      <c r="G11" s="970" t="s">
        <v>1026</v>
      </c>
    </row>
    <row r="12" spans="1:9" ht="15.5" x14ac:dyDescent="0.35">
      <c r="A12" s="955">
        <v>2</v>
      </c>
      <c r="B12" s="964" t="s">
        <v>1027</v>
      </c>
      <c r="C12" s="960" t="s">
        <v>1020</v>
      </c>
      <c r="D12" s="960">
        <v>288</v>
      </c>
      <c r="E12" s="961">
        <v>22000</v>
      </c>
      <c r="F12" s="965">
        <v>14784000</v>
      </c>
      <c r="G12" s="970" t="s">
        <v>1028</v>
      </c>
    </row>
    <row r="13" spans="1:9" ht="15.5" x14ac:dyDescent="0.35">
      <c r="A13" s="960">
        <v>3</v>
      </c>
      <c r="B13" s="964" t="s">
        <v>1029</v>
      </c>
      <c r="C13" s="960" t="s">
        <v>1020</v>
      </c>
      <c r="D13" s="960">
        <v>48</v>
      </c>
      <c r="E13" s="961">
        <v>25000</v>
      </c>
      <c r="F13" s="965">
        <v>2800000</v>
      </c>
      <c r="G13" s="970" t="s">
        <v>1030</v>
      </c>
    </row>
    <row r="14" spans="1:9" ht="15.5" x14ac:dyDescent="0.35">
      <c r="A14" s="960">
        <v>4</v>
      </c>
      <c r="B14" s="964" t="s">
        <v>1031</v>
      </c>
      <c r="C14" s="960" t="s">
        <v>1032</v>
      </c>
      <c r="D14" s="960">
        <v>6</v>
      </c>
      <c r="E14" s="961">
        <v>300000</v>
      </c>
      <c r="F14" s="965">
        <f t="shared" ref="F14:F33" si="0">D14*E14</f>
        <v>1800000</v>
      </c>
      <c r="G14" s="970" t="s">
        <v>1033</v>
      </c>
    </row>
    <row r="15" spans="1:9" ht="15.5" x14ac:dyDescent="0.35">
      <c r="A15" s="960">
        <v>5</v>
      </c>
      <c r="B15" s="964" t="s">
        <v>1034</v>
      </c>
      <c r="C15" s="960" t="s">
        <v>370</v>
      </c>
      <c r="D15" s="960">
        <v>12</v>
      </c>
      <c r="E15" s="961">
        <v>100000</v>
      </c>
      <c r="F15" s="965">
        <v>2800000</v>
      </c>
      <c r="G15" s="970" t="s">
        <v>1035</v>
      </c>
    </row>
    <row r="16" spans="1:9" ht="15.5" x14ac:dyDescent="0.35">
      <c r="A16" s="960">
        <v>6</v>
      </c>
      <c r="B16" s="964" t="s">
        <v>786</v>
      </c>
      <c r="C16" s="960" t="s">
        <v>1032</v>
      </c>
      <c r="D16" s="960">
        <v>6</v>
      </c>
      <c r="E16" s="961">
        <v>200000</v>
      </c>
      <c r="F16" s="965">
        <f t="shared" si="0"/>
        <v>1200000</v>
      </c>
      <c r="G16" s="970" t="s">
        <v>1036</v>
      </c>
    </row>
    <row r="17" spans="1:7" ht="15.5" x14ac:dyDescent="0.35">
      <c r="A17" s="960">
        <v>7</v>
      </c>
      <c r="B17" s="964" t="s">
        <v>1037</v>
      </c>
      <c r="C17" s="960" t="s">
        <v>1032</v>
      </c>
      <c r="D17" s="960">
        <v>6</v>
      </c>
      <c r="E17" s="961">
        <v>150000</v>
      </c>
      <c r="F17" s="965">
        <f t="shared" si="0"/>
        <v>900000</v>
      </c>
      <c r="G17" s="970" t="s">
        <v>1038</v>
      </c>
    </row>
    <row r="18" spans="1:7" ht="15" x14ac:dyDescent="0.3">
      <c r="A18" s="955" t="s">
        <v>25</v>
      </c>
      <c r="B18" s="959" t="s">
        <v>1039</v>
      </c>
      <c r="C18" s="971"/>
      <c r="D18" s="971"/>
      <c r="E18" s="972"/>
      <c r="F18" s="962">
        <v>1800000</v>
      </c>
      <c r="G18" s="973"/>
    </row>
    <row r="19" spans="1:7" ht="15.5" x14ac:dyDescent="0.35">
      <c r="A19" s="960">
        <v>1</v>
      </c>
      <c r="B19" s="964" t="s">
        <v>1040</v>
      </c>
      <c r="C19" s="960" t="s">
        <v>1032</v>
      </c>
      <c r="D19" s="960">
        <v>6</v>
      </c>
      <c r="E19" s="961">
        <v>200000</v>
      </c>
      <c r="F19" s="965">
        <f t="shared" si="0"/>
        <v>1200000</v>
      </c>
      <c r="G19" s="970" t="s">
        <v>1036</v>
      </c>
    </row>
    <row r="20" spans="1:7" ht="15.5" x14ac:dyDescent="0.25">
      <c r="A20" s="960">
        <v>2</v>
      </c>
      <c r="B20" s="974" t="s">
        <v>1041</v>
      </c>
      <c r="C20" s="975" t="s">
        <v>1042</v>
      </c>
      <c r="D20" s="975">
        <v>2</v>
      </c>
      <c r="E20" s="930">
        <v>300000</v>
      </c>
      <c r="F20" s="965">
        <f t="shared" si="0"/>
        <v>600000</v>
      </c>
      <c r="G20" s="976" t="s">
        <v>1043</v>
      </c>
    </row>
    <row r="21" spans="1:7" ht="15.5" x14ac:dyDescent="0.35">
      <c r="A21" s="955" t="s">
        <v>36</v>
      </c>
      <c r="B21" s="977" t="s">
        <v>1044</v>
      </c>
      <c r="C21" s="978"/>
      <c r="D21" s="960"/>
      <c r="E21" s="961"/>
      <c r="F21" s="962">
        <v>2800000</v>
      </c>
      <c r="G21" s="970"/>
    </row>
    <row r="22" spans="1:7" ht="15.5" x14ac:dyDescent="0.35">
      <c r="A22" s="960">
        <v>1</v>
      </c>
      <c r="B22" s="964" t="s">
        <v>1045</v>
      </c>
      <c r="C22" s="960" t="s">
        <v>1042</v>
      </c>
      <c r="D22" s="960">
        <v>130</v>
      </c>
      <c r="E22" s="961">
        <v>10000</v>
      </c>
      <c r="F22" s="965">
        <f t="shared" si="0"/>
        <v>1300000</v>
      </c>
      <c r="G22" s="970" t="s">
        <v>1046</v>
      </c>
    </row>
    <row r="23" spans="1:7" ht="15.5" x14ac:dyDescent="0.35">
      <c r="A23" s="960">
        <v>2</v>
      </c>
      <c r="B23" s="964" t="s">
        <v>1047</v>
      </c>
      <c r="C23" s="960"/>
      <c r="D23" s="960"/>
      <c r="E23" s="961"/>
      <c r="F23" s="979">
        <v>1500000</v>
      </c>
      <c r="G23" s="970"/>
    </row>
    <row r="24" spans="1:7" ht="15.5" x14ac:dyDescent="0.35">
      <c r="A24" s="960"/>
      <c r="B24" s="964" t="s">
        <v>1048</v>
      </c>
      <c r="C24" s="960" t="s">
        <v>1032</v>
      </c>
      <c r="D24" s="960">
        <v>6</v>
      </c>
      <c r="E24" s="961">
        <v>150000</v>
      </c>
      <c r="F24" s="965">
        <f t="shared" si="0"/>
        <v>900000</v>
      </c>
      <c r="G24" s="970" t="s">
        <v>1038</v>
      </c>
    </row>
    <row r="25" spans="1:7" ht="15.5" x14ac:dyDescent="0.35">
      <c r="A25" s="960"/>
      <c r="B25" s="964" t="s">
        <v>1049</v>
      </c>
      <c r="C25" s="960" t="s">
        <v>1032</v>
      </c>
      <c r="D25" s="960">
        <v>6</v>
      </c>
      <c r="E25" s="961">
        <v>100000</v>
      </c>
      <c r="F25" s="965">
        <f t="shared" si="0"/>
        <v>600000</v>
      </c>
      <c r="G25" s="970" t="s">
        <v>1050</v>
      </c>
    </row>
    <row r="26" spans="1:7" ht="39" x14ac:dyDescent="0.3">
      <c r="A26" s="960" t="s">
        <v>40</v>
      </c>
      <c r="B26" s="980" t="s">
        <v>1051</v>
      </c>
      <c r="C26" s="980"/>
      <c r="D26" s="980"/>
      <c r="E26" s="980"/>
      <c r="F26" s="962">
        <v>14800000</v>
      </c>
      <c r="G26" s="981"/>
    </row>
    <row r="27" spans="1:7" ht="15.5" x14ac:dyDescent="0.35">
      <c r="A27" s="960">
        <v>1</v>
      </c>
      <c r="B27" s="982" t="s">
        <v>1052</v>
      </c>
      <c r="C27" s="960"/>
      <c r="D27" s="960"/>
      <c r="E27" s="961"/>
      <c r="F27" s="979">
        <v>1100000</v>
      </c>
      <c r="G27" s="970"/>
    </row>
    <row r="28" spans="1:7" ht="15.5" x14ac:dyDescent="0.35">
      <c r="A28" s="960"/>
      <c r="B28" s="964" t="s">
        <v>1053</v>
      </c>
      <c r="C28" s="960" t="s">
        <v>1054</v>
      </c>
      <c r="D28" s="960">
        <v>1</v>
      </c>
      <c r="E28" s="961">
        <v>500000</v>
      </c>
      <c r="F28" s="965">
        <f t="shared" si="0"/>
        <v>500000</v>
      </c>
      <c r="G28" s="970" t="s">
        <v>1055</v>
      </c>
    </row>
    <row r="29" spans="1:7" ht="15.5" x14ac:dyDescent="0.35">
      <c r="A29" s="960"/>
      <c r="B29" s="964" t="s">
        <v>1056</v>
      </c>
      <c r="C29" s="960" t="s">
        <v>1057</v>
      </c>
      <c r="D29" s="960">
        <v>6</v>
      </c>
      <c r="E29" s="961">
        <v>100000</v>
      </c>
      <c r="F29" s="965">
        <f t="shared" si="0"/>
        <v>600000</v>
      </c>
      <c r="G29" s="970" t="s">
        <v>1058</v>
      </c>
    </row>
    <row r="30" spans="1:7" ht="15.5" x14ac:dyDescent="0.35">
      <c r="A30" s="960">
        <v>2</v>
      </c>
      <c r="B30" s="982" t="s">
        <v>1059</v>
      </c>
      <c r="C30" s="960"/>
      <c r="D30" s="960"/>
      <c r="E30" s="961"/>
      <c r="F30" s="979">
        <v>12900000</v>
      </c>
      <c r="G30" s="970"/>
    </row>
    <row r="31" spans="1:7" ht="15.5" x14ac:dyDescent="0.35">
      <c r="A31" s="960"/>
      <c r="B31" s="964"/>
      <c r="C31" s="960" t="s">
        <v>1042</v>
      </c>
      <c r="D31" s="960">
        <v>108</v>
      </c>
      <c r="E31" s="961">
        <v>50000</v>
      </c>
      <c r="F31" s="965">
        <f t="shared" si="0"/>
        <v>5400000</v>
      </c>
      <c r="G31" s="970" t="s">
        <v>1060</v>
      </c>
    </row>
    <row r="32" spans="1:7" ht="15.5" x14ac:dyDescent="0.35">
      <c r="A32" s="960"/>
      <c r="B32" s="964"/>
      <c r="C32" s="960" t="s">
        <v>1042</v>
      </c>
      <c r="D32" s="960">
        <v>90</v>
      </c>
      <c r="E32" s="961">
        <v>50000</v>
      </c>
      <c r="F32" s="965">
        <f t="shared" si="0"/>
        <v>4500000</v>
      </c>
      <c r="G32" s="970" t="s">
        <v>1061</v>
      </c>
    </row>
    <row r="33" spans="1:7" ht="15.5" x14ac:dyDescent="0.35">
      <c r="A33" s="975"/>
      <c r="B33" s="983"/>
      <c r="C33" s="960" t="s">
        <v>1054</v>
      </c>
      <c r="D33" s="967">
        <v>6</v>
      </c>
      <c r="E33" s="984">
        <v>500000</v>
      </c>
      <c r="F33" s="965">
        <f t="shared" si="0"/>
        <v>3000000</v>
      </c>
      <c r="G33" s="970" t="s">
        <v>1062</v>
      </c>
    </row>
    <row r="34" spans="1:7" ht="15" x14ac:dyDescent="0.25">
      <c r="A34" s="960"/>
      <c r="B34" s="985" t="s">
        <v>14</v>
      </c>
      <c r="C34" s="960"/>
      <c r="D34" s="960"/>
      <c r="E34" s="961"/>
      <c r="F34" s="962">
        <v>124054000</v>
      </c>
      <c r="G34" s="986"/>
    </row>
    <row r="35" spans="1:7" ht="13" x14ac:dyDescent="0.3">
      <c r="B35" s="987" t="s">
        <v>1063</v>
      </c>
      <c r="F35" s="988"/>
      <c r="G35" s="989"/>
    </row>
    <row r="36" spans="1:7" ht="15.5" x14ac:dyDescent="0.35">
      <c r="F36" s="990" t="s">
        <v>1064</v>
      </c>
      <c r="G36" s="990" t="s">
        <v>1065</v>
      </c>
    </row>
    <row r="37" spans="1:7" ht="14" x14ac:dyDescent="0.3">
      <c r="A37" s="949"/>
      <c r="B37" s="991"/>
      <c r="C37" s="949"/>
      <c r="D37" s="949"/>
      <c r="E37" s="944"/>
    </row>
    <row r="38" spans="1:7" ht="14" x14ac:dyDescent="0.25">
      <c r="A38" s="1558" t="s">
        <v>1066</v>
      </c>
      <c r="B38" s="1559"/>
      <c r="C38" s="1559"/>
      <c r="D38" s="1559"/>
      <c r="E38" s="1559"/>
      <c r="F38" s="1559"/>
      <c r="G38" s="1559"/>
    </row>
    <row r="39" spans="1:7" ht="15.5" x14ac:dyDescent="0.35">
      <c r="A39" s="949"/>
      <c r="B39" s="991"/>
      <c r="C39" s="949"/>
      <c r="D39" s="949"/>
      <c r="E39" s="992"/>
      <c r="F39" s="745"/>
    </row>
    <row r="40" spans="1:7" ht="15.5" x14ac:dyDescent="0.35">
      <c r="A40" s="949"/>
      <c r="B40" s="991"/>
      <c r="C40" s="949"/>
      <c r="D40" s="949"/>
      <c r="E40" s="992"/>
      <c r="F40" s="745"/>
      <c r="G40" s="944"/>
    </row>
    <row r="41" spans="1:7" ht="15.5" x14ac:dyDescent="0.35">
      <c r="A41" s="949"/>
      <c r="B41" s="991"/>
      <c r="C41" s="949"/>
      <c r="D41" s="949"/>
      <c r="E41" s="992"/>
      <c r="F41" s="745"/>
      <c r="G41" s="944"/>
    </row>
    <row r="42" spans="1:7" ht="15.5" x14ac:dyDescent="0.35">
      <c r="A42" s="949"/>
      <c r="B42" s="991"/>
      <c r="C42" s="949"/>
      <c r="D42" s="949"/>
      <c r="E42" s="992"/>
      <c r="F42" s="745"/>
      <c r="G42" s="993" t="s">
        <v>1067</v>
      </c>
    </row>
  </sheetData>
  <mergeCells count="6">
    <mergeCell ref="A38:G38"/>
    <mergeCell ref="A1:B1"/>
    <mergeCell ref="C1:F1"/>
    <mergeCell ref="A2:B2"/>
    <mergeCell ref="C2:F2"/>
    <mergeCell ref="A4:G4"/>
  </mergeCells>
  <pageMargins left="0.75" right="0.75" top="1" bottom="1" header="0.5" footer="0.5"/>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3877F-780F-C049-AA8D-17F96D18B4E0}">
  <dimension ref="A1:J46"/>
  <sheetViews>
    <sheetView workbookViewId="0">
      <selection activeCell="H11" sqref="H11"/>
    </sheetView>
  </sheetViews>
  <sheetFormatPr defaultColWidth="9" defaultRowHeight="15.5" x14ac:dyDescent="0.25"/>
  <cols>
    <col min="1" max="1" width="6" style="1006" customWidth="1"/>
    <col min="2" max="2" width="39" style="1006" customWidth="1"/>
    <col min="3" max="3" width="8.81640625" style="1092" customWidth="1"/>
    <col min="4" max="4" width="8.453125" style="1092" customWidth="1"/>
    <col min="5" max="5" width="7.1796875" style="1093" bestFit="1" customWidth="1"/>
    <col min="6" max="6" width="12" style="1093" customWidth="1"/>
    <col min="7" max="7" width="7.453125" style="1094" bestFit="1" customWidth="1"/>
    <col min="8" max="8" width="15.6328125" style="1093" customWidth="1"/>
    <col min="9" max="9" width="30" style="1006" customWidth="1"/>
    <col min="10" max="10" width="16.81640625" style="1006" customWidth="1"/>
    <col min="11" max="256" width="9" style="1006"/>
    <col min="257" max="257" width="6" style="1006" customWidth="1"/>
    <col min="258" max="258" width="39" style="1006" customWidth="1"/>
    <col min="259" max="259" width="8.81640625" style="1006" customWidth="1"/>
    <col min="260" max="260" width="8.453125" style="1006" customWidth="1"/>
    <col min="261" max="261" width="7.1796875" style="1006" bestFit="1" customWidth="1"/>
    <col min="262" max="262" width="12" style="1006" customWidth="1"/>
    <col min="263" max="263" width="7.453125" style="1006" bestFit="1" customWidth="1"/>
    <col min="264" max="264" width="15.6328125" style="1006" customWidth="1"/>
    <col min="265" max="265" width="30" style="1006" customWidth="1"/>
    <col min="266" max="266" width="16.81640625" style="1006" customWidth="1"/>
    <col min="267" max="512" width="9" style="1006"/>
    <col min="513" max="513" width="6" style="1006" customWidth="1"/>
    <col min="514" max="514" width="39" style="1006" customWidth="1"/>
    <col min="515" max="515" width="8.81640625" style="1006" customWidth="1"/>
    <col min="516" max="516" width="8.453125" style="1006" customWidth="1"/>
    <col min="517" max="517" width="7.1796875" style="1006" bestFit="1" customWidth="1"/>
    <col min="518" max="518" width="12" style="1006" customWidth="1"/>
    <col min="519" max="519" width="7.453125" style="1006" bestFit="1" customWidth="1"/>
    <col min="520" max="520" width="15.6328125" style="1006" customWidth="1"/>
    <col min="521" max="521" width="30" style="1006" customWidth="1"/>
    <col min="522" max="522" width="16.81640625" style="1006" customWidth="1"/>
    <col min="523" max="768" width="9" style="1006"/>
    <col min="769" max="769" width="6" style="1006" customWidth="1"/>
    <col min="770" max="770" width="39" style="1006" customWidth="1"/>
    <col min="771" max="771" width="8.81640625" style="1006" customWidth="1"/>
    <col min="772" max="772" width="8.453125" style="1006" customWidth="1"/>
    <col min="773" max="773" width="7.1796875" style="1006" bestFit="1" customWidth="1"/>
    <col min="774" max="774" width="12" style="1006" customWidth="1"/>
    <col min="775" max="775" width="7.453125" style="1006" bestFit="1" customWidth="1"/>
    <col min="776" max="776" width="15.6328125" style="1006" customWidth="1"/>
    <col min="777" max="777" width="30" style="1006" customWidth="1"/>
    <col min="778" max="778" width="16.81640625" style="1006" customWidth="1"/>
    <col min="779" max="1024" width="9" style="1006"/>
    <col min="1025" max="1025" width="6" style="1006" customWidth="1"/>
    <col min="1026" max="1026" width="39" style="1006" customWidth="1"/>
    <col min="1027" max="1027" width="8.81640625" style="1006" customWidth="1"/>
    <col min="1028" max="1028" width="8.453125" style="1006" customWidth="1"/>
    <col min="1029" max="1029" width="7.1796875" style="1006" bestFit="1" customWidth="1"/>
    <col min="1030" max="1030" width="12" style="1006" customWidth="1"/>
    <col min="1031" max="1031" width="7.453125" style="1006" bestFit="1" customWidth="1"/>
    <col min="1032" max="1032" width="15.6328125" style="1006" customWidth="1"/>
    <col min="1033" max="1033" width="30" style="1006" customWidth="1"/>
    <col min="1034" max="1034" width="16.81640625" style="1006" customWidth="1"/>
    <col min="1035" max="1280" width="9" style="1006"/>
    <col min="1281" max="1281" width="6" style="1006" customWidth="1"/>
    <col min="1282" max="1282" width="39" style="1006" customWidth="1"/>
    <col min="1283" max="1283" width="8.81640625" style="1006" customWidth="1"/>
    <col min="1284" max="1284" width="8.453125" style="1006" customWidth="1"/>
    <col min="1285" max="1285" width="7.1796875" style="1006" bestFit="1" customWidth="1"/>
    <col min="1286" max="1286" width="12" style="1006" customWidth="1"/>
    <col min="1287" max="1287" width="7.453125" style="1006" bestFit="1" customWidth="1"/>
    <col min="1288" max="1288" width="15.6328125" style="1006" customWidth="1"/>
    <col min="1289" max="1289" width="30" style="1006" customWidth="1"/>
    <col min="1290" max="1290" width="16.81640625" style="1006" customWidth="1"/>
    <col min="1291" max="1536" width="9" style="1006"/>
    <col min="1537" max="1537" width="6" style="1006" customWidth="1"/>
    <col min="1538" max="1538" width="39" style="1006" customWidth="1"/>
    <col min="1539" max="1539" width="8.81640625" style="1006" customWidth="1"/>
    <col min="1540" max="1540" width="8.453125" style="1006" customWidth="1"/>
    <col min="1541" max="1541" width="7.1796875" style="1006" bestFit="1" customWidth="1"/>
    <col min="1542" max="1542" width="12" style="1006" customWidth="1"/>
    <col min="1543" max="1543" width="7.453125" style="1006" bestFit="1" customWidth="1"/>
    <col min="1544" max="1544" width="15.6328125" style="1006" customWidth="1"/>
    <col min="1545" max="1545" width="30" style="1006" customWidth="1"/>
    <col min="1546" max="1546" width="16.81640625" style="1006" customWidth="1"/>
    <col min="1547" max="1792" width="9" style="1006"/>
    <col min="1793" max="1793" width="6" style="1006" customWidth="1"/>
    <col min="1794" max="1794" width="39" style="1006" customWidth="1"/>
    <col min="1795" max="1795" width="8.81640625" style="1006" customWidth="1"/>
    <col min="1796" max="1796" width="8.453125" style="1006" customWidth="1"/>
    <col min="1797" max="1797" width="7.1796875" style="1006" bestFit="1" customWidth="1"/>
    <col min="1798" max="1798" width="12" style="1006" customWidth="1"/>
    <col min="1799" max="1799" width="7.453125" style="1006" bestFit="1" customWidth="1"/>
    <col min="1800" max="1800" width="15.6328125" style="1006" customWidth="1"/>
    <col min="1801" max="1801" width="30" style="1006" customWidth="1"/>
    <col min="1802" max="1802" width="16.81640625" style="1006" customWidth="1"/>
    <col min="1803" max="2048" width="9" style="1006"/>
    <col min="2049" max="2049" width="6" style="1006" customWidth="1"/>
    <col min="2050" max="2050" width="39" style="1006" customWidth="1"/>
    <col min="2051" max="2051" width="8.81640625" style="1006" customWidth="1"/>
    <col min="2052" max="2052" width="8.453125" style="1006" customWidth="1"/>
    <col min="2053" max="2053" width="7.1796875" style="1006" bestFit="1" customWidth="1"/>
    <col min="2054" max="2054" width="12" style="1006" customWidth="1"/>
    <col min="2055" max="2055" width="7.453125" style="1006" bestFit="1" customWidth="1"/>
    <col min="2056" max="2056" width="15.6328125" style="1006" customWidth="1"/>
    <col min="2057" max="2057" width="30" style="1006" customWidth="1"/>
    <col min="2058" max="2058" width="16.81640625" style="1006" customWidth="1"/>
    <col min="2059" max="2304" width="9" style="1006"/>
    <col min="2305" max="2305" width="6" style="1006" customWidth="1"/>
    <col min="2306" max="2306" width="39" style="1006" customWidth="1"/>
    <col min="2307" max="2307" width="8.81640625" style="1006" customWidth="1"/>
    <col min="2308" max="2308" width="8.453125" style="1006" customWidth="1"/>
    <col min="2309" max="2309" width="7.1796875" style="1006" bestFit="1" customWidth="1"/>
    <col min="2310" max="2310" width="12" style="1006" customWidth="1"/>
    <col min="2311" max="2311" width="7.453125" style="1006" bestFit="1" customWidth="1"/>
    <col min="2312" max="2312" width="15.6328125" style="1006" customWidth="1"/>
    <col min="2313" max="2313" width="30" style="1006" customWidth="1"/>
    <col min="2314" max="2314" width="16.81640625" style="1006" customWidth="1"/>
    <col min="2315" max="2560" width="9" style="1006"/>
    <col min="2561" max="2561" width="6" style="1006" customWidth="1"/>
    <col min="2562" max="2562" width="39" style="1006" customWidth="1"/>
    <col min="2563" max="2563" width="8.81640625" style="1006" customWidth="1"/>
    <col min="2564" max="2564" width="8.453125" style="1006" customWidth="1"/>
    <col min="2565" max="2565" width="7.1796875" style="1006" bestFit="1" customWidth="1"/>
    <col min="2566" max="2566" width="12" style="1006" customWidth="1"/>
    <col min="2567" max="2567" width="7.453125" style="1006" bestFit="1" customWidth="1"/>
    <col min="2568" max="2568" width="15.6328125" style="1006" customWidth="1"/>
    <col min="2569" max="2569" width="30" style="1006" customWidth="1"/>
    <col min="2570" max="2570" width="16.81640625" style="1006" customWidth="1"/>
    <col min="2571" max="2816" width="9" style="1006"/>
    <col min="2817" max="2817" width="6" style="1006" customWidth="1"/>
    <col min="2818" max="2818" width="39" style="1006" customWidth="1"/>
    <col min="2819" max="2819" width="8.81640625" style="1006" customWidth="1"/>
    <col min="2820" max="2820" width="8.453125" style="1006" customWidth="1"/>
    <col min="2821" max="2821" width="7.1796875" style="1006" bestFit="1" customWidth="1"/>
    <col min="2822" max="2822" width="12" style="1006" customWidth="1"/>
    <col min="2823" max="2823" width="7.453125" style="1006" bestFit="1" customWidth="1"/>
    <col min="2824" max="2824" width="15.6328125" style="1006" customWidth="1"/>
    <col min="2825" max="2825" width="30" style="1006" customWidth="1"/>
    <col min="2826" max="2826" width="16.81640625" style="1006" customWidth="1"/>
    <col min="2827" max="3072" width="9" style="1006"/>
    <col min="3073" max="3073" width="6" style="1006" customWidth="1"/>
    <col min="3074" max="3074" width="39" style="1006" customWidth="1"/>
    <col min="3075" max="3075" width="8.81640625" style="1006" customWidth="1"/>
    <col min="3076" max="3076" width="8.453125" style="1006" customWidth="1"/>
    <col min="3077" max="3077" width="7.1796875" style="1006" bestFit="1" customWidth="1"/>
    <col min="3078" max="3078" width="12" style="1006" customWidth="1"/>
    <col min="3079" max="3079" width="7.453125" style="1006" bestFit="1" customWidth="1"/>
    <col min="3080" max="3080" width="15.6328125" style="1006" customWidth="1"/>
    <col min="3081" max="3081" width="30" style="1006" customWidth="1"/>
    <col min="3082" max="3082" width="16.81640625" style="1006" customWidth="1"/>
    <col min="3083" max="3328" width="9" style="1006"/>
    <col min="3329" max="3329" width="6" style="1006" customWidth="1"/>
    <col min="3330" max="3330" width="39" style="1006" customWidth="1"/>
    <col min="3331" max="3331" width="8.81640625" style="1006" customWidth="1"/>
    <col min="3332" max="3332" width="8.453125" style="1006" customWidth="1"/>
    <col min="3333" max="3333" width="7.1796875" style="1006" bestFit="1" customWidth="1"/>
    <col min="3334" max="3334" width="12" style="1006" customWidth="1"/>
    <col min="3335" max="3335" width="7.453125" style="1006" bestFit="1" customWidth="1"/>
    <col min="3336" max="3336" width="15.6328125" style="1006" customWidth="1"/>
    <col min="3337" max="3337" width="30" style="1006" customWidth="1"/>
    <col min="3338" max="3338" width="16.81640625" style="1006" customWidth="1"/>
    <col min="3339" max="3584" width="9" style="1006"/>
    <col min="3585" max="3585" width="6" style="1006" customWidth="1"/>
    <col min="3586" max="3586" width="39" style="1006" customWidth="1"/>
    <col min="3587" max="3587" width="8.81640625" style="1006" customWidth="1"/>
    <col min="3588" max="3588" width="8.453125" style="1006" customWidth="1"/>
    <col min="3589" max="3589" width="7.1796875" style="1006" bestFit="1" customWidth="1"/>
    <col min="3590" max="3590" width="12" style="1006" customWidth="1"/>
    <col min="3591" max="3591" width="7.453125" style="1006" bestFit="1" customWidth="1"/>
    <col min="3592" max="3592" width="15.6328125" style="1006" customWidth="1"/>
    <col min="3593" max="3593" width="30" style="1006" customWidth="1"/>
    <col min="3594" max="3594" width="16.81640625" style="1006" customWidth="1"/>
    <col min="3595" max="3840" width="9" style="1006"/>
    <col min="3841" max="3841" width="6" style="1006" customWidth="1"/>
    <col min="3842" max="3842" width="39" style="1006" customWidth="1"/>
    <col min="3843" max="3843" width="8.81640625" style="1006" customWidth="1"/>
    <col min="3844" max="3844" width="8.453125" style="1006" customWidth="1"/>
    <col min="3845" max="3845" width="7.1796875" style="1006" bestFit="1" customWidth="1"/>
    <col min="3846" max="3846" width="12" style="1006" customWidth="1"/>
    <col min="3847" max="3847" width="7.453125" style="1006" bestFit="1" customWidth="1"/>
    <col min="3848" max="3848" width="15.6328125" style="1006" customWidth="1"/>
    <col min="3849" max="3849" width="30" style="1006" customWidth="1"/>
    <col min="3850" max="3850" width="16.81640625" style="1006" customWidth="1"/>
    <col min="3851" max="4096" width="9" style="1006"/>
    <col min="4097" max="4097" width="6" style="1006" customWidth="1"/>
    <col min="4098" max="4098" width="39" style="1006" customWidth="1"/>
    <col min="4099" max="4099" width="8.81640625" style="1006" customWidth="1"/>
    <col min="4100" max="4100" width="8.453125" style="1006" customWidth="1"/>
    <col min="4101" max="4101" width="7.1796875" style="1006" bestFit="1" customWidth="1"/>
    <col min="4102" max="4102" width="12" style="1006" customWidth="1"/>
    <col min="4103" max="4103" width="7.453125" style="1006" bestFit="1" customWidth="1"/>
    <col min="4104" max="4104" width="15.6328125" style="1006" customWidth="1"/>
    <col min="4105" max="4105" width="30" style="1006" customWidth="1"/>
    <col min="4106" max="4106" width="16.81640625" style="1006" customWidth="1"/>
    <col min="4107" max="4352" width="9" style="1006"/>
    <col min="4353" max="4353" width="6" style="1006" customWidth="1"/>
    <col min="4354" max="4354" width="39" style="1006" customWidth="1"/>
    <col min="4355" max="4355" width="8.81640625" style="1006" customWidth="1"/>
    <col min="4356" max="4356" width="8.453125" style="1006" customWidth="1"/>
    <col min="4357" max="4357" width="7.1796875" style="1006" bestFit="1" customWidth="1"/>
    <col min="4358" max="4358" width="12" style="1006" customWidth="1"/>
    <col min="4359" max="4359" width="7.453125" style="1006" bestFit="1" customWidth="1"/>
    <col min="4360" max="4360" width="15.6328125" style="1006" customWidth="1"/>
    <col min="4361" max="4361" width="30" style="1006" customWidth="1"/>
    <col min="4362" max="4362" width="16.81640625" style="1006" customWidth="1"/>
    <col min="4363" max="4608" width="9" style="1006"/>
    <col min="4609" max="4609" width="6" style="1006" customWidth="1"/>
    <col min="4610" max="4610" width="39" style="1006" customWidth="1"/>
    <col min="4611" max="4611" width="8.81640625" style="1006" customWidth="1"/>
    <col min="4612" max="4612" width="8.453125" style="1006" customWidth="1"/>
    <col min="4613" max="4613" width="7.1796875" style="1006" bestFit="1" customWidth="1"/>
    <col min="4614" max="4614" width="12" style="1006" customWidth="1"/>
    <col min="4615" max="4615" width="7.453125" style="1006" bestFit="1" customWidth="1"/>
    <col min="4616" max="4616" width="15.6328125" style="1006" customWidth="1"/>
    <col min="4617" max="4617" width="30" style="1006" customWidth="1"/>
    <col min="4618" max="4618" width="16.81640625" style="1006" customWidth="1"/>
    <col min="4619" max="4864" width="9" style="1006"/>
    <col min="4865" max="4865" width="6" style="1006" customWidth="1"/>
    <col min="4866" max="4866" width="39" style="1006" customWidth="1"/>
    <col min="4867" max="4867" width="8.81640625" style="1006" customWidth="1"/>
    <col min="4868" max="4868" width="8.453125" style="1006" customWidth="1"/>
    <col min="4869" max="4869" width="7.1796875" style="1006" bestFit="1" customWidth="1"/>
    <col min="4870" max="4870" width="12" style="1006" customWidth="1"/>
    <col min="4871" max="4871" width="7.453125" style="1006" bestFit="1" customWidth="1"/>
    <col min="4872" max="4872" width="15.6328125" style="1006" customWidth="1"/>
    <col min="4873" max="4873" width="30" style="1006" customWidth="1"/>
    <col min="4874" max="4874" width="16.81640625" style="1006" customWidth="1"/>
    <col min="4875" max="5120" width="9" style="1006"/>
    <col min="5121" max="5121" width="6" style="1006" customWidth="1"/>
    <col min="5122" max="5122" width="39" style="1006" customWidth="1"/>
    <col min="5123" max="5123" width="8.81640625" style="1006" customWidth="1"/>
    <col min="5124" max="5124" width="8.453125" style="1006" customWidth="1"/>
    <col min="5125" max="5125" width="7.1796875" style="1006" bestFit="1" customWidth="1"/>
    <col min="5126" max="5126" width="12" style="1006" customWidth="1"/>
    <col min="5127" max="5127" width="7.453125" style="1006" bestFit="1" customWidth="1"/>
    <col min="5128" max="5128" width="15.6328125" style="1006" customWidth="1"/>
    <col min="5129" max="5129" width="30" style="1006" customWidth="1"/>
    <col min="5130" max="5130" width="16.81640625" style="1006" customWidth="1"/>
    <col min="5131" max="5376" width="9" style="1006"/>
    <col min="5377" max="5377" width="6" style="1006" customWidth="1"/>
    <col min="5378" max="5378" width="39" style="1006" customWidth="1"/>
    <col min="5379" max="5379" width="8.81640625" style="1006" customWidth="1"/>
    <col min="5380" max="5380" width="8.453125" style="1006" customWidth="1"/>
    <col min="5381" max="5381" width="7.1796875" style="1006" bestFit="1" customWidth="1"/>
    <col min="5382" max="5382" width="12" style="1006" customWidth="1"/>
    <col min="5383" max="5383" width="7.453125" style="1006" bestFit="1" customWidth="1"/>
    <col min="5384" max="5384" width="15.6328125" style="1006" customWidth="1"/>
    <col min="5385" max="5385" width="30" style="1006" customWidth="1"/>
    <col min="5386" max="5386" width="16.81640625" style="1006" customWidth="1"/>
    <col min="5387" max="5632" width="9" style="1006"/>
    <col min="5633" max="5633" width="6" style="1006" customWidth="1"/>
    <col min="5634" max="5634" width="39" style="1006" customWidth="1"/>
    <col min="5635" max="5635" width="8.81640625" style="1006" customWidth="1"/>
    <col min="5636" max="5636" width="8.453125" style="1006" customWidth="1"/>
    <col min="5637" max="5637" width="7.1796875" style="1006" bestFit="1" customWidth="1"/>
    <col min="5638" max="5638" width="12" style="1006" customWidth="1"/>
    <col min="5639" max="5639" width="7.453125" style="1006" bestFit="1" customWidth="1"/>
    <col min="5640" max="5640" width="15.6328125" style="1006" customWidth="1"/>
    <col min="5641" max="5641" width="30" style="1006" customWidth="1"/>
    <col min="5642" max="5642" width="16.81640625" style="1006" customWidth="1"/>
    <col min="5643" max="5888" width="9" style="1006"/>
    <col min="5889" max="5889" width="6" style="1006" customWidth="1"/>
    <col min="5890" max="5890" width="39" style="1006" customWidth="1"/>
    <col min="5891" max="5891" width="8.81640625" style="1006" customWidth="1"/>
    <col min="5892" max="5892" width="8.453125" style="1006" customWidth="1"/>
    <col min="5893" max="5893" width="7.1796875" style="1006" bestFit="1" customWidth="1"/>
    <col min="5894" max="5894" width="12" style="1006" customWidth="1"/>
    <col min="5895" max="5895" width="7.453125" style="1006" bestFit="1" customWidth="1"/>
    <col min="5896" max="5896" width="15.6328125" style="1006" customWidth="1"/>
    <col min="5897" max="5897" width="30" style="1006" customWidth="1"/>
    <col min="5898" max="5898" width="16.81640625" style="1006" customWidth="1"/>
    <col min="5899" max="6144" width="9" style="1006"/>
    <col min="6145" max="6145" width="6" style="1006" customWidth="1"/>
    <col min="6146" max="6146" width="39" style="1006" customWidth="1"/>
    <col min="6147" max="6147" width="8.81640625" style="1006" customWidth="1"/>
    <col min="6148" max="6148" width="8.453125" style="1006" customWidth="1"/>
    <col min="6149" max="6149" width="7.1796875" style="1006" bestFit="1" customWidth="1"/>
    <col min="6150" max="6150" width="12" style="1006" customWidth="1"/>
    <col min="6151" max="6151" width="7.453125" style="1006" bestFit="1" customWidth="1"/>
    <col min="6152" max="6152" width="15.6328125" style="1006" customWidth="1"/>
    <col min="6153" max="6153" width="30" style="1006" customWidth="1"/>
    <col min="6154" max="6154" width="16.81640625" style="1006" customWidth="1"/>
    <col min="6155" max="6400" width="9" style="1006"/>
    <col min="6401" max="6401" width="6" style="1006" customWidth="1"/>
    <col min="6402" max="6402" width="39" style="1006" customWidth="1"/>
    <col min="6403" max="6403" width="8.81640625" style="1006" customWidth="1"/>
    <col min="6404" max="6404" width="8.453125" style="1006" customWidth="1"/>
    <col min="6405" max="6405" width="7.1796875" style="1006" bestFit="1" customWidth="1"/>
    <col min="6406" max="6406" width="12" style="1006" customWidth="1"/>
    <col min="6407" max="6407" width="7.453125" style="1006" bestFit="1" customWidth="1"/>
    <col min="6408" max="6408" width="15.6328125" style="1006" customWidth="1"/>
    <col min="6409" max="6409" width="30" style="1006" customWidth="1"/>
    <col min="6410" max="6410" width="16.81640625" style="1006" customWidth="1"/>
    <col min="6411" max="6656" width="9" style="1006"/>
    <col min="6657" max="6657" width="6" style="1006" customWidth="1"/>
    <col min="6658" max="6658" width="39" style="1006" customWidth="1"/>
    <col min="6659" max="6659" width="8.81640625" style="1006" customWidth="1"/>
    <col min="6660" max="6660" width="8.453125" style="1006" customWidth="1"/>
    <col min="6661" max="6661" width="7.1796875" style="1006" bestFit="1" customWidth="1"/>
    <col min="6662" max="6662" width="12" style="1006" customWidth="1"/>
    <col min="6663" max="6663" width="7.453125" style="1006" bestFit="1" customWidth="1"/>
    <col min="6664" max="6664" width="15.6328125" style="1006" customWidth="1"/>
    <col min="6665" max="6665" width="30" style="1006" customWidth="1"/>
    <col min="6666" max="6666" width="16.81640625" style="1006" customWidth="1"/>
    <col min="6667" max="6912" width="9" style="1006"/>
    <col min="6913" max="6913" width="6" style="1006" customWidth="1"/>
    <col min="6914" max="6914" width="39" style="1006" customWidth="1"/>
    <col min="6915" max="6915" width="8.81640625" style="1006" customWidth="1"/>
    <col min="6916" max="6916" width="8.453125" style="1006" customWidth="1"/>
    <col min="6917" max="6917" width="7.1796875" style="1006" bestFit="1" customWidth="1"/>
    <col min="6918" max="6918" width="12" style="1006" customWidth="1"/>
    <col min="6919" max="6919" width="7.453125" style="1006" bestFit="1" customWidth="1"/>
    <col min="6920" max="6920" width="15.6328125" style="1006" customWidth="1"/>
    <col min="6921" max="6921" width="30" style="1006" customWidth="1"/>
    <col min="6922" max="6922" width="16.81640625" style="1006" customWidth="1"/>
    <col min="6923" max="7168" width="9" style="1006"/>
    <col min="7169" max="7169" width="6" style="1006" customWidth="1"/>
    <col min="7170" max="7170" width="39" style="1006" customWidth="1"/>
    <col min="7171" max="7171" width="8.81640625" style="1006" customWidth="1"/>
    <col min="7172" max="7172" width="8.453125" style="1006" customWidth="1"/>
    <col min="7173" max="7173" width="7.1796875" style="1006" bestFit="1" customWidth="1"/>
    <col min="7174" max="7174" width="12" style="1006" customWidth="1"/>
    <col min="7175" max="7175" width="7.453125" style="1006" bestFit="1" customWidth="1"/>
    <col min="7176" max="7176" width="15.6328125" style="1006" customWidth="1"/>
    <col min="7177" max="7177" width="30" style="1006" customWidth="1"/>
    <col min="7178" max="7178" width="16.81640625" style="1006" customWidth="1"/>
    <col min="7179" max="7424" width="9" style="1006"/>
    <col min="7425" max="7425" width="6" style="1006" customWidth="1"/>
    <col min="7426" max="7426" width="39" style="1006" customWidth="1"/>
    <col min="7427" max="7427" width="8.81640625" style="1006" customWidth="1"/>
    <col min="7428" max="7428" width="8.453125" style="1006" customWidth="1"/>
    <col min="7429" max="7429" width="7.1796875" style="1006" bestFit="1" customWidth="1"/>
    <col min="7430" max="7430" width="12" style="1006" customWidth="1"/>
    <col min="7431" max="7431" width="7.453125" style="1006" bestFit="1" customWidth="1"/>
    <col min="7432" max="7432" width="15.6328125" style="1006" customWidth="1"/>
    <col min="7433" max="7433" width="30" style="1006" customWidth="1"/>
    <col min="7434" max="7434" width="16.81640625" style="1006" customWidth="1"/>
    <col min="7435" max="7680" width="9" style="1006"/>
    <col min="7681" max="7681" width="6" style="1006" customWidth="1"/>
    <col min="7682" max="7682" width="39" style="1006" customWidth="1"/>
    <col min="7683" max="7683" width="8.81640625" style="1006" customWidth="1"/>
    <col min="7684" max="7684" width="8.453125" style="1006" customWidth="1"/>
    <col min="7685" max="7685" width="7.1796875" style="1006" bestFit="1" customWidth="1"/>
    <col min="7686" max="7686" width="12" style="1006" customWidth="1"/>
    <col min="7687" max="7687" width="7.453125" style="1006" bestFit="1" customWidth="1"/>
    <col min="7688" max="7688" width="15.6328125" style="1006" customWidth="1"/>
    <col min="7689" max="7689" width="30" style="1006" customWidth="1"/>
    <col min="7690" max="7690" width="16.81640625" style="1006" customWidth="1"/>
    <col min="7691" max="7936" width="9" style="1006"/>
    <col min="7937" max="7937" width="6" style="1006" customWidth="1"/>
    <col min="7938" max="7938" width="39" style="1006" customWidth="1"/>
    <col min="7939" max="7939" width="8.81640625" style="1006" customWidth="1"/>
    <col min="7940" max="7940" width="8.453125" style="1006" customWidth="1"/>
    <col min="7941" max="7941" width="7.1796875" style="1006" bestFit="1" customWidth="1"/>
    <col min="7942" max="7942" width="12" style="1006" customWidth="1"/>
    <col min="7943" max="7943" width="7.453125" style="1006" bestFit="1" customWidth="1"/>
    <col min="7944" max="7944" width="15.6328125" style="1006" customWidth="1"/>
    <col min="7945" max="7945" width="30" style="1006" customWidth="1"/>
    <col min="7946" max="7946" width="16.81640625" style="1006" customWidth="1"/>
    <col min="7947" max="8192" width="9" style="1006"/>
    <col min="8193" max="8193" width="6" style="1006" customWidth="1"/>
    <col min="8194" max="8194" width="39" style="1006" customWidth="1"/>
    <col min="8195" max="8195" width="8.81640625" style="1006" customWidth="1"/>
    <col min="8196" max="8196" width="8.453125" style="1006" customWidth="1"/>
    <col min="8197" max="8197" width="7.1796875" style="1006" bestFit="1" customWidth="1"/>
    <col min="8198" max="8198" width="12" style="1006" customWidth="1"/>
    <col min="8199" max="8199" width="7.453125" style="1006" bestFit="1" customWidth="1"/>
    <col min="8200" max="8200" width="15.6328125" style="1006" customWidth="1"/>
    <col min="8201" max="8201" width="30" style="1006" customWidth="1"/>
    <col min="8202" max="8202" width="16.81640625" style="1006" customWidth="1"/>
    <col min="8203" max="8448" width="9" style="1006"/>
    <col min="8449" max="8449" width="6" style="1006" customWidth="1"/>
    <col min="8450" max="8450" width="39" style="1006" customWidth="1"/>
    <col min="8451" max="8451" width="8.81640625" style="1006" customWidth="1"/>
    <col min="8452" max="8452" width="8.453125" style="1006" customWidth="1"/>
    <col min="8453" max="8453" width="7.1796875" style="1006" bestFit="1" customWidth="1"/>
    <col min="8454" max="8454" width="12" style="1006" customWidth="1"/>
    <col min="8455" max="8455" width="7.453125" style="1006" bestFit="1" customWidth="1"/>
    <col min="8456" max="8456" width="15.6328125" style="1006" customWidth="1"/>
    <col min="8457" max="8457" width="30" style="1006" customWidth="1"/>
    <col min="8458" max="8458" width="16.81640625" style="1006" customWidth="1"/>
    <col min="8459" max="8704" width="9" style="1006"/>
    <col min="8705" max="8705" width="6" style="1006" customWidth="1"/>
    <col min="8706" max="8706" width="39" style="1006" customWidth="1"/>
    <col min="8707" max="8707" width="8.81640625" style="1006" customWidth="1"/>
    <col min="8708" max="8708" width="8.453125" style="1006" customWidth="1"/>
    <col min="8709" max="8709" width="7.1796875" style="1006" bestFit="1" customWidth="1"/>
    <col min="8710" max="8710" width="12" style="1006" customWidth="1"/>
    <col min="8711" max="8711" width="7.453125" style="1006" bestFit="1" customWidth="1"/>
    <col min="8712" max="8712" width="15.6328125" style="1006" customWidth="1"/>
    <col min="8713" max="8713" width="30" style="1006" customWidth="1"/>
    <col min="8714" max="8714" width="16.81640625" style="1006" customWidth="1"/>
    <col min="8715" max="8960" width="9" style="1006"/>
    <col min="8961" max="8961" width="6" style="1006" customWidth="1"/>
    <col min="8962" max="8962" width="39" style="1006" customWidth="1"/>
    <col min="8963" max="8963" width="8.81640625" style="1006" customWidth="1"/>
    <col min="8964" max="8964" width="8.453125" style="1006" customWidth="1"/>
    <col min="8965" max="8965" width="7.1796875" style="1006" bestFit="1" customWidth="1"/>
    <col min="8966" max="8966" width="12" style="1006" customWidth="1"/>
    <col min="8967" max="8967" width="7.453125" style="1006" bestFit="1" customWidth="1"/>
    <col min="8968" max="8968" width="15.6328125" style="1006" customWidth="1"/>
    <col min="8969" max="8969" width="30" style="1006" customWidth="1"/>
    <col min="8970" max="8970" width="16.81640625" style="1006" customWidth="1"/>
    <col min="8971" max="9216" width="9" style="1006"/>
    <col min="9217" max="9217" width="6" style="1006" customWidth="1"/>
    <col min="9218" max="9218" width="39" style="1006" customWidth="1"/>
    <col min="9219" max="9219" width="8.81640625" style="1006" customWidth="1"/>
    <col min="9220" max="9220" width="8.453125" style="1006" customWidth="1"/>
    <col min="9221" max="9221" width="7.1796875" style="1006" bestFit="1" customWidth="1"/>
    <col min="9222" max="9222" width="12" style="1006" customWidth="1"/>
    <col min="9223" max="9223" width="7.453125" style="1006" bestFit="1" customWidth="1"/>
    <col min="9224" max="9224" width="15.6328125" style="1006" customWidth="1"/>
    <col min="9225" max="9225" width="30" style="1006" customWidth="1"/>
    <col min="9226" max="9226" width="16.81640625" style="1006" customWidth="1"/>
    <col min="9227" max="9472" width="9" style="1006"/>
    <col min="9473" max="9473" width="6" style="1006" customWidth="1"/>
    <col min="9474" max="9474" width="39" style="1006" customWidth="1"/>
    <col min="9475" max="9475" width="8.81640625" style="1006" customWidth="1"/>
    <col min="9476" max="9476" width="8.453125" style="1006" customWidth="1"/>
    <col min="9477" max="9477" width="7.1796875" style="1006" bestFit="1" customWidth="1"/>
    <col min="9478" max="9478" width="12" style="1006" customWidth="1"/>
    <col min="9479" max="9479" width="7.453125" style="1006" bestFit="1" customWidth="1"/>
    <col min="9480" max="9480" width="15.6328125" style="1006" customWidth="1"/>
    <col min="9481" max="9481" width="30" style="1006" customWidth="1"/>
    <col min="9482" max="9482" width="16.81640625" style="1006" customWidth="1"/>
    <col min="9483" max="9728" width="9" style="1006"/>
    <col min="9729" max="9729" width="6" style="1006" customWidth="1"/>
    <col min="9730" max="9730" width="39" style="1006" customWidth="1"/>
    <col min="9731" max="9731" width="8.81640625" style="1006" customWidth="1"/>
    <col min="9732" max="9732" width="8.453125" style="1006" customWidth="1"/>
    <col min="9733" max="9733" width="7.1796875" style="1006" bestFit="1" customWidth="1"/>
    <col min="9734" max="9734" width="12" style="1006" customWidth="1"/>
    <col min="9735" max="9735" width="7.453125" style="1006" bestFit="1" customWidth="1"/>
    <col min="9736" max="9736" width="15.6328125" style="1006" customWidth="1"/>
    <col min="9737" max="9737" width="30" style="1006" customWidth="1"/>
    <col min="9738" max="9738" width="16.81640625" style="1006" customWidth="1"/>
    <col min="9739" max="9984" width="9" style="1006"/>
    <col min="9985" max="9985" width="6" style="1006" customWidth="1"/>
    <col min="9986" max="9986" width="39" style="1006" customWidth="1"/>
    <col min="9987" max="9987" width="8.81640625" style="1006" customWidth="1"/>
    <col min="9988" max="9988" width="8.453125" style="1006" customWidth="1"/>
    <col min="9989" max="9989" width="7.1796875" style="1006" bestFit="1" customWidth="1"/>
    <col min="9990" max="9990" width="12" style="1006" customWidth="1"/>
    <col min="9991" max="9991" width="7.453125" style="1006" bestFit="1" customWidth="1"/>
    <col min="9992" max="9992" width="15.6328125" style="1006" customWidth="1"/>
    <col min="9993" max="9993" width="30" style="1006" customWidth="1"/>
    <col min="9994" max="9994" width="16.81640625" style="1006" customWidth="1"/>
    <col min="9995" max="10240" width="9" style="1006"/>
    <col min="10241" max="10241" width="6" style="1006" customWidth="1"/>
    <col min="10242" max="10242" width="39" style="1006" customWidth="1"/>
    <col min="10243" max="10243" width="8.81640625" style="1006" customWidth="1"/>
    <col min="10244" max="10244" width="8.453125" style="1006" customWidth="1"/>
    <col min="10245" max="10245" width="7.1796875" style="1006" bestFit="1" customWidth="1"/>
    <col min="10246" max="10246" width="12" style="1006" customWidth="1"/>
    <col min="10247" max="10247" width="7.453125" style="1006" bestFit="1" customWidth="1"/>
    <col min="10248" max="10248" width="15.6328125" style="1006" customWidth="1"/>
    <col min="10249" max="10249" width="30" style="1006" customWidth="1"/>
    <col min="10250" max="10250" width="16.81640625" style="1006" customWidth="1"/>
    <col min="10251" max="10496" width="9" style="1006"/>
    <col min="10497" max="10497" width="6" style="1006" customWidth="1"/>
    <col min="10498" max="10498" width="39" style="1006" customWidth="1"/>
    <col min="10499" max="10499" width="8.81640625" style="1006" customWidth="1"/>
    <col min="10500" max="10500" width="8.453125" style="1006" customWidth="1"/>
    <col min="10501" max="10501" width="7.1796875" style="1006" bestFit="1" customWidth="1"/>
    <col min="10502" max="10502" width="12" style="1006" customWidth="1"/>
    <col min="10503" max="10503" width="7.453125" style="1006" bestFit="1" customWidth="1"/>
    <col min="10504" max="10504" width="15.6328125" style="1006" customWidth="1"/>
    <col min="10505" max="10505" width="30" style="1006" customWidth="1"/>
    <col min="10506" max="10506" width="16.81640625" style="1006" customWidth="1"/>
    <col min="10507" max="10752" width="9" style="1006"/>
    <col min="10753" max="10753" width="6" style="1006" customWidth="1"/>
    <col min="10754" max="10754" width="39" style="1006" customWidth="1"/>
    <col min="10755" max="10755" width="8.81640625" style="1006" customWidth="1"/>
    <col min="10756" max="10756" width="8.453125" style="1006" customWidth="1"/>
    <col min="10757" max="10757" width="7.1796875" style="1006" bestFit="1" customWidth="1"/>
    <col min="10758" max="10758" width="12" style="1006" customWidth="1"/>
    <col min="10759" max="10759" width="7.453125" style="1006" bestFit="1" customWidth="1"/>
    <col min="10760" max="10760" width="15.6328125" style="1006" customWidth="1"/>
    <col min="10761" max="10761" width="30" style="1006" customWidth="1"/>
    <col min="10762" max="10762" width="16.81640625" style="1006" customWidth="1"/>
    <col min="10763" max="11008" width="9" style="1006"/>
    <col min="11009" max="11009" width="6" style="1006" customWidth="1"/>
    <col min="11010" max="11010" width="39" style="1006" customWidth="1"/>
    <col min="11011" max="11011" width="8.81640625" style="1006" customWidth="1"/>
    <col min="11012" max="11012" width="8.453125" style="1006" customWidth="1"/>
    <col min="11013" max="11013" width="7.1796875" style="1006" bestFit="1" customWidth="1"/>
    <col min="11014" max="11014" width="12" style="1006" customWidth="1"/>
    <col min="11015" max="11015" width="7.453125" style="1006" bestFit="1" customWidth="1"/>
    <col min="11016" max="11016" width="15.6328125" style="1006" customWidth="1"/>
    <col min="11017" max="11017" width="30" style="1006" customWidth="1"/>
    <col min="11018" max="11018" width="16.81640625" style="1006" customWidth="1"/>
    <col min="11019" max="11264" width="9" style="1006"/>
    <col min="11265" max="11265" width="6" style="1006" customWidth="1"/>
    <col min="11266" max="11266" width="39" style="1006" customWidth="1"/>
    <col min="11267" max="11267" width="8.81640625" style="1006" customWidth="1"/>
    <col min="11268" max="11268" width="8.453125" style="1006" customWidth="1"/>
    <col min="11269" max="11269" width="7.1796875" style="1006" bestFit="1" customWidth="1"/>
    <col min="11270" max="11270" width="12" style="1006" customWidth="1"/>
    <col min="11271" max="11271" width="7.453125" style="1006" bestFit="1" customWidth="1"/>
    <col min="11272" max="11272" width="15.6328125" style="1006" customWidth="1"/>
    <col min="11273" max="11273" width="30" style="1006" customWidth="1"/>
    <col min="11274" max="11274" width="16.81640625" style="1006" customWidth="1"/>
    <col min="11275" max="11520" width="9" style="1006"/>
    <col min="11521" max="11521" width="6" style="1006" customWidth="1"/>
    <col min="11522" max="11522" width="39" style="1006" customWidth="1"/>
    <col min="11523" max="11523" width="8.81640625" style="1006" customWidth="1"/>
    <col min="11524" max="11524" width="8.453125" style="1006" customWidth="1"/>
    <col min="11525" max="11525" width="7.1796875" style="1006" bestFit="1" customWidth="1"/>
    <col min="11526" max="11526" width="12" style="1006" customWidth="1"/>
    <col min="11527" max="11527" width="7.453125" style="1006" bestFit="1" customWidth="1"/>
    <col min="11528" max="11528" width="15.6328125" style="1006" customWidth="1"/>
    <col min="11529" max="11529" width="30" style="1006" customWidth="1"/>
    <col min="11530" max="11530" width="16.81640625" style="1006" customWidth="1"/>
    <col min="11531" max="11776" width="9" style="1006"/>
    <col min="11777" max="11777" width="6" style="1006" customWidth="1"/>
    <col min="11778" max="11778" width="39" style="1006" customWidth="1"/>
    <col min="11779" max="11779" width="8.81640625" style="1006" customWidth="1"/>
    <col min="11780" max="11780" width="8.453125" style="1006" customWidth="1"/>
    <col min="11781" max="11781" width="7.1796875" style="1006" bestFit="1" customWidth="1"/>
    <col min="11782" max="11782" width="12" style="1006" customWidth="1"/>
    <col min="11783" max="11783" width="7.453125" style="1006" bestFit="1" customWidth="1"/>
    <col min="11784" max="11784" width="15.6328125" style="1006" customWidth="1"/>
    <col min="11785" max="11785" width="30" style="1006" customWidth="1"/>
    <col min="11786" max="11786" width="16.81640625" style="1006" customWidth="1"/>
    <col min="11787" max="12032" width="9" style="1006"/>
    <col min="12033" max="12033" width="6" style="1006" customWidth="1"/>
    <col min="12034" max="12034" width="39" style="1006" customWidth="1"/>
    <col min="12035" max="12035" width="8.81640625" style="1006" customWidth="1"/>
    <col min="12036" max="12036" width="8.453125" style="1006" customWidth="1"/>
    <col min="12037" max="12037" width="7.1796875" style="1006" bestFit="1" customWidth="1"/>
    <col min="12038" max="12038" width="12" style="1006" customWidth="1"/>
    <col min="12039" max="12039" width="7.453125" style="1006" bestFit="1" customWidth="1"/>
    <col min="12040" max="12040" width="15.6328125" style="1006" customWidth="1"/>
    <col min="12041" max="12041" width="30" style="1006" customWidth="1"/>
    <col min="12042" max="12042" width="16.81640625" style="1006" customWidth="1"/>
    <col min="12043" max="12288" width="9" style="1006"/>
    <col min="12289" max="12289" width="6" style="1006" customWidth="1"/>
    <col min="12290" max="12290" width="39" style="1006" customWidth="1"/>
    <col min="12291" max="12291" width="8.81640625" style="1006" customWidth="1"/>
    <col min="12292" max="12292" width="8.453125" style="1006" customWidth="1"/>
    <col min="12293" max="12293" width="7.1796875" style="1006" bestFit="1" customWidth="1"/>
    <col min="12294" max="12294" width="12" style="1006" customWidth="1"/>
    <col min="12295" max="12295" width="7.453125" style="1006" bestFit="1" customWidth="1"/>
    <col min="12296" max="12296" width="15.6328125" style="1006" customWidth="1"/>
    <col min="12297" max="12297" width="30" style="1006" customWidth="1"/>
    <col min="12298" max="12298" width="16.81640625" style="1006" customWidth="1"/>
    <col min="12299" max="12544" width="9" style="1006"/>
    <col min="12545" max="12545" width="6" style="1006" customWidth="1"/>
    <col min="12546" max="12546" width="39" style="1006" customWidth="1"/>
    <col min="12547" max="12547" width="8.81640625" style="1006" customWidth="1"/>
    <col min="12548" max="12548" width="8.453125" style="1006" customWidth="1"/>
    <col min="12549" max="12549" width="7.1796875" style="1006" bestFit="1" customWidth="1"/>
    <col min="12550" max="12550" width="12" style="1006" customWidth="1"/>
    <col min="12551" max="12551" width="7.453125" style="1006" bestFit="1" customWidth="1"/>
    <col min="12552" max="12552" width="15.6328125" style="1006" customWidth="1"/>
    <col min="12553" max="12553" width="30" style="1006" customWidth="1"/>
    <col min="12554" max="12554" width="16.81640625" style="1006" customWidth="1"/>
    <col min="12555" max="12800" width="9" style="1006"/>
    <col min="12801" max="12801" width="6" style="1006" customWidth="1"/>
    <col min="12802" max="12802" width="39" style="1006" customWidth="1"/>
    <col min="12803" max="12803" width="8.81640625" style="1006" customWidth="1"/>
    <col min="12804" max="12804" width="8.453125" style="1006" customWidth="1"/>
    <col min="12805" max="12805" width="7.1796875" style="1006" bestFit="1" customWidth="1"/>
    <col min="12806" max="12806" width="12" style="1006" customWidth="1"/>
    <col min="12807" max="12807" width="7.453125" style="1006" bestFit="1" customWidth="1"/>
    <col min="12808" max="12808" width="15.6328125" style="1006" customWidth="1"/>
    <col min="12809" max="12809" width="30" style="1006" customWidth="1"/>
    <col min="12810" max="12810" width="16.81640625" style="1006" customWidth="1"/>
    <col min="12811" max="13056" width="9" style="1006"/>
    <col min="13057" max="13057" width="6" style="1006" customWidth="1"/>
    <col min="13058" max="13058" width="39" style="1006" customWidth="1"/>
    <col min="13059" max="13059" width="8.81640625" style="1006" customWidth="1"/>
    <col min="13060" max="13060" width="8.453125" style="1006" customWidth="1"/>
    <col min="13061" max="13061" width="7.1796875" style="1006" bestFit="1" customWidth="1"/>
    <col min="13062" max="13062" width="12" style="1006" customWidth="1"/>
    <col min="13063" max="13063" width="7.453125" style="1006" bestFit="1" customWidth="1"/>
    <col min="13064" max="13064" width="15.6328125" style="1006" customWidth="1"/>
    <col min="13065" max="13065" width="30" style="1006" customWidth="1"/>
    <col min="13066" max="13066" width="16.81640625" style="1006" customWidth="1"/>
    <col min="13067" max="13312" width="9" style="1006"/>
    <col min="13313" max="13313" width="6" style="1006" customWidth="1"/>
    <col min="13314" max="13314" width="39" style="1006" customWidth="1"/>
    <col min="13315" max="13315" width="8.81640625" style="1006" customWidth="1"/>
    <col min="13316" max="13316" width="8.453125" style="1006" customWidth="1"/>
    <col min="13317" max="13317" width="7.1796875" style="1006" bestFit="1" customWidth="1"/>
    <col min="13318" max="13318" width="12" style="1006" customWidth="1"/>
    <col min="13319" max="13319" width="7.453125" style="1006" bestFit="1" customWidth="1"/>
    <col min="13320" max="13320" width="15.6328125" style="1006" customWidth="1"/>
    <col min="13321" max="13321" width="30" style="1006" customWidth="1"/>
    <col min="13322" max="13322" width="16.81640625" style="1006" customWidth="1"/>
    <col min="13323" max="13568" width="9" style="1006"/>
    <col min="13569" max="13569" width="6" style="1006" customWidth="1"/>
    <col min="13570" max="13570" width="39" style="1006" customWidth="1"/>
    <col min="13571" max="13571" width="8.81640625" style="1006" customWidth="1"/>
    <col min="13572" max="13572" width="8.453125" style="1006" customWidth="1"/>
    <col min="13573" max="13573" width="7.1796875" style="1006" bestFit="1" customWidth="1"/>
    <col min="13574" max="13574" width="12" style="1006" customWidth="1"/>
    <col min="13575" max="13575" width="7.453125" style="1006" bestFit="1" customWidth="1"/>
    <col min="13576" max="13576" width="15.6328125" style="1006" customWidth="1"/>
    <col min="13577" max="13577" width="30" style="1006" customWidth="1"/>
    <col min="13578" max="13578" width="16.81640625" style="1006" customWidth="1"/>
    <col min="13579" max="13824" width="9" style="1006"/>
    <col min="13825" max="13825" width="6" style="1006" customWidth="1"/>
    <col min="13826" max="13826" width="39" style="1006" customWidth="1"/>
    <col min="13827" max="13827" width="8.81640625" style="1006" customWidth="1"/>
    <col min="13828" max="13828" width="8.453125" style="1006" customWidth="1"/>
    <col min="13829" max="13829" width="7.1796875" style="1006" bestFit="1" customWidth="1"/>
    <col min="13830" max="13830" width="12" style="1006" customWidth="1"/>
    <col min="13831" max="13831" width="7.453125" style="1006" bestFit="1" customWidth="1"/>
    <col min="13832" max="13832" width="15.6328125" style="1006" customWidth="1"/>
    <col min="13833" max="13833" width="30" style="1006" customWidth="1"/>
    <col min="13834" max="13834" width="16.81640625" style="1006" customWidth="1"/>
    <col min="13835" max="14080" width="9" style="1006"/>
    <col min="14081" max="14081" width="6" style="1006" customWidth="1"/>
    <col min="14082" max="14082" width="39" style="1006" customWidth="1"/>
    <col min="14083" max="14083" width="8.81640625" style="1006" customWidth="1"/>
    <col min="14084" max="14084" width="8.453125" style="1006" customWidth="1"/>
    <col min="14085" max="14085" width="7.1796875" style="1006" bestFit="1" customWidth="1"/>
    <col min="14086" max="14086" width="12" style="1006" customWidth="1"/>
    <col min="14087" max="14087" width="7.453125" style="1006" bestFit="1" customWidth="1"/>
    <col min="14088" max="14088" width="15.6328125" style="1006" customWidth="1"/>
    <col min="14089" max="14089" width="30" style="1006" customWidth="1"/>
    <col min="14090" max="14090" width="16.81640625" style="1006" customWidth="1"/>
    <col min="14091" max="14336" width="9" style="1006"/>
    <col min="14337" max="14337" width="6" style="1006" customWidth="1"/>
    <col min="14338" max="14338" width="39" style="1006" customWidth="1"/>
    <col min="14339" max="14339" width="8.81640625" style="1006" customWidth="1"/>
    <col min="14340" max="14340" width="8.453125" style="1006" customWidth="1"/>
    <col min="14341" max="14341" width="7.1796875" style="1006" bestFit="1" customWidth="1"/>
    <col min="14342" max="14342" width="12" style="1006" customWidth="1"/>
    <col min="14343" max="14343" width="7.453125" style="1006" bestFit="1" customWidth="1"/>
    <col min="14344" max="14344" width="15.6328125" style="1006" customWidth="1"/>
    <col min="14345" max="14345" width="30" style="1006" customWidth="1"/>
    <col min="14346" max="14346" width="16.81640625" style="1006" customWidth="1"/>
    <col min="14347" max="14592" width="9" style="1006"/>
    <col min="14593" max="14593" width="6" style="1006" customWidth="1"/>
    <col min="14594" max="14594" width="39" style="1006" customWidth="1"/>
    <col min="14595" max="14595" width="8.81640625" style="1006" customWidth="1"/>
    <col min="14596" max="14596" width="8.453125" style="1006" customWidth="1"/>
    <col min="14597" max="14597" width="7.1796875" style="1006" bestFit="1" customWidth="1"/>
    <col min="14598" max="14598" width="12" style="1006" customWidth="1"/>
    <col min="14599" max="14599" width="7.453125" style="1006" bestFit="1" customWidth="1"/>
    <col min="14600" max="14600" width="15.6328125" style="1006" customWidth="1"/>
    <col min="14601" max="14601" width="30" style="1006" customWidth="1"/>
    <col min="14602" max="14602" width="16.81640625" style="1006" customWidth="1"/>
    <col min="14603" max="14848" width="9" style="1006"/>
    <col min="14849" max="14849" width="6" style="1006" customWidth="1"/>
    <col min="14850" max="14850" width="39" style="1006" customWidth="1"/>
    <col min="14851" max="14851" width="8.81640625" style="1006" customWidth="1"/>
    <col min="14852" max="14852" width="8.453125" style="1006" customWidth="1"/>
    <col min="14853" max="14853" width="7.1796875" style="1006" bestFit="1" customWidth="1"/>
    <col min="14854" max="14854" width="12" style="1006" customWidth="1"/>
    <col min="14855" max="14855" width="7.453125" style="1006" bestFit="1" customWidth="1"/>
    <col min="14856" max="14856" width="15.6328125" style="1006" customWidth="1"/>
    <col min="14857" max="14857" width="30" style="1006" customWidth="1"/>
    <col min="14858" max="14858" width="16.81640625" style="1006" customWidth="1"/>
    <col min="14859" max="15104" width="9" style="1006"/>
    <col min="15105" max="15105" width="6" style="1006" customWidth="1"/>
    <col min="15106" max="15106" width="39" style="1006" customWidth="1"/>
    <col min="15107" max="15107" width="8.81640625" style="1006" customWidth="1"/>
    <col min="15108" max="15108" width="8.453125" style="1006" customWidth="1"/>
    <col min="15109" max="15109" width="7.1796875" style="1006" bestFit="1" customWidth="1"/>
    <col min="15110" max="15110" width="12" style="1006" customWidth="1"/>
    <col min="15111" max="15111" width="7.453125" style="1006" bestFit="1" customWidth="1"/>
    <col min="15112" max="15112" width="15.6328125" style="1006" customWidth="1"/>
    <col min="15113" max="15113" width="30" style="1006" customWidth="1"/>
    <col min="15114" max="15114" width="16.81640625" style="1006" customWidth="1"/>
    <col min="15115" max="15360" width="9" style="1006"/>
    <col min="15361" max="15361" width="6" style="1006" customWidth="1"/>
    <col min="15362" max="15362" width="39" style="1006" customWidth="1"/>
    <col min="15363" max="15363" width="8.81640625" style="1006" customWidth="1"/>
    <col min="15364" max="15364" width="8.453125" style="1006" customWidth="1"/>
    <col min="15365" max="15365" width="7.1796875" style="1006" bestFit="1" customWidth="1"/>
    <col min="15366" max="15366" width="12" style="1006" customWidth="1"/>
    <col min="15367" max="15367" width="7.453125" style="1006" bestFit="1" customWidth="1"/>
    <col min="15368" max="15368" width="15.6328125" style="1006" customWidth="1"/>
    <col min="15369" max="15369" width="30" style="1006" customWidth="1"/>
    <col min="15370" max="15370" width="16.81640625" style="1006" customWidth="1"/>
    <col min="15371" max="15616" width="9" style="1006"/>
    <col min="15617" max="15617" width="6" style="1006" customWidth="1"/>
    <col min="15618" max="15618" width="39" style="1006" customWidth="1"/>
    <col min="15619" max="15619" width="8.81640625" style="1006" customWidth="1"/>
    <col min="15620" max="15620" width="8.453125" style="1006" customWidth="1"/>
    <col min="15621" max="15621" width="7.1796875" style="1006" bestFit="1" customWidth="1"/>
    <col min="15622" max="15622" width="12" style="1006" customWidth="1"/>
    <col min="15623" max="15623" width="7.453125" style="1006" bestFit="1" customWidth="1"/>
    <col min="15624" max="15624" width="15.6328125" style="1006" customWidth="1"/>
    <col min="15625" max="15625" width="30" style="1006" customWidth="1"/>
    <col min="15626" max="15626" width="16.81640625" style="1006" customWidth="1"/>
    <col min="15627" max="15872" width="9" style="1006"/>
    <col min="15873" max="15873" width="6" style="1006" customWidth="1"/>
    <col min="15874" max="15874" width="39" style="1006" customWidth="1"/>
    <col min="15875" max="15875" width="8.81640625" style="1006" customWidth="1"/>
    <col min="15876" max="15876" width="8.453125" style="1006" customWidth="1"/>
    <col min="15877" max="15877" width="7.1796875" style="1006" bestFit="1" customWidth="1"/>
    <col min="15878" max="15878" width="12" style="1006" customWidth="1"/>
    <col min="15879" max="15879" width="7.453125" style="1006" bestFit="1" customWidth="1"/>
    <col min="15880" max="15880" width="15.6328125" style="1006" customWidth="1"/>
    <col min="15881" max="15881" width="30" style="1006" customWidth="1"/>
    <col min="15882" max="15882" width="16.81640625" style="1006" customWidth="1"/>
    <col min="15883" max="16128" width="9" style="1006"/>
    <col min="16129" max="16129" width="6" style="1006" customWidth="1"/>
    <col min="16130" max="16130" width="39" style="1006" customWidth="1"/>
    <col min="16131" max="16131" width="8.81640625" style="1006" customWidth="1"/>
    <col min="16132" max="16132" width="8.453125" style="1006" customWidth="1"/>
    <col min="16133" max="16133" width="7.1796875" style="1006" bestFit="1" customWidth="1"/>
    <col min="16134" max="16134" width="12" style="1006" customWidth="1"/>
    <col min="16135" max="16135" width="7.453125" style="1006" bestFit="1" customWidth="1"/>
    <col min="16136" max="16136" width="15.6328125" style="1006" customWidth="1"/>
    <col min="16137" max="16137" width="30" style="1006" customWidth="1"/>
    <col min="16138" max="16138" width="16.81640625" style="1006" customWidth="1"/>
    <col min="16139" max="16384" width="9" style="1006"/>
  </cols>
  <sheetData>
    <row r="1" spans="1:10" s="999" customFormat="1" x14ac:dyDescent="0.25">
      <c r="A1" s="1570" t="s">
        <v>3</v>
      </c>
      <c r="B1" s="1570"/>
      <c r="C1" s="994"/>
      <c r="D1" s="994"/>
      <c r="E1" s="995"/>
      <c r="F1" s="995"/>
      <c r="G1" s="996"/>
      <c r="H1" s="995"/>
      <c r="I1" s="997"/>
      <c r="J1" s="998"/>
    </row>
    <row r="2" spans="1:10" s="999" customFormat="1" x14ac:dyDescent="0.25">
      <c r="A2" s="1571" t="s">
        <v>1068</v>
      </c>
      <c r="B2" s="1571"/>
      <c r="C2" s="994"/>
      <c r="D2" s="994"/>
      <c r="E2" s="995"/>
      <c r="F2" s="995"/>
      <c r="G2" s="996"/>
      <c r="H2" s="995"/>
      <c r="I2" s="997"/>
      <c r="J2" s="998"/>
    </row>
    <row r="3" spans="1:10" s="999" customFormat="1" hidden="1" x14ac:dyDescent="0.25">
      <c r="A3" s="1571"/>
      <c r="B3" s="1571"/>
      <c r="C3" s="994"/>
      <c r="D3" s="994"/>
      <c r="E3" s="995"/>
      <c r="F3" s="995"/>
      <c r="G3" s="996"/>
      <c r="H3" s="995"/>
      <c r="I3" s="997"/>
      <c r="J3" s="998"/>
    </row>
    <row r="4" spans="1:10" s="1000" customFormat="1" ht="20" x14ac:dyDescent="0.25">
      <c r="A4" s="1572" t="s">
        <v>1069</v>
      </c>
      <c r="B4" s="1572"/>
      <c r="C4" s="1572"/>
      <c r="D4" s="1572"/>
      <c r="E4" s="1572"/>
      <c r="F4" s="1572"/>
      <c r="G4" s="1572"/>
      <c r="H4" s="1572"/>
      <c r="I4" s="1572"/>
      <c r="J4" s="1572"/>
    </row>
    <row r="5" spans="1:10" s="1001" customFormat="1" x14ac:dyDescent="0.25">
      <c r="A5" s="1569" t="s">
        <v>1070</v>
      </c>
      <c r="B5" s="1569"/>
      <c r="C5" s="1569"/>
      <c r="D5" s="1569"/>
      <c r="E5" s="1569"/>
      <c r="F5" s="1569"/>
      <c r="G5" s="1569"/>
      <c r="H5" s="1569"/>
      <c r="I5" s="1569"/>
      <c r="J5" s="1569"/>
    </row>
    <row r="6" spans="1:10" s="1001" customFormat="1" hidden="1" x14ac:dyDescent="0.25">
      <c r="A6" s="1569"/>
      <c r="B6" s="1569"/>
      <c r="C6" s="1569"/>
      <c r="D6" s="1569"/>
      <c r="E6" s="1569"/>
      <c r="F6" s="1569"/>
      <c r="G6" s="1569"/>
      <c r="H6" s="1569"/>
      <c r="I6" s="1569"/>
      <c r="J6" s="1569"/>
    </row>
    <row r="7" spans="1:10" ht="45" x14ac:dyDescent="0.25">
      <c r="A7" s="1002" t="s">
        <v>0</v>
      </c>
      <c r="B7" s="1002" t="s">
        <v>1071</v>
      </c>
      <c r="C7" s="1003" t="s">
        <v>1072</v>
      </c>
      <c r="D7" s="1003" t="s">
        <v>1073</v>
      </c>
      <c r="E7" s="1004" t="s">
        <v>1074</v>
      </c>
      <c r="F7" s="1004" t="s">
        <v>1075</v>
      </c>
      <c r="G7" s="1005" t="s">
        <v>1076</v>
      </c>
      <c r="H7" s="1004" t="s">
        <v>29</v>
      </c>
      <c r="I7" s="1003" t="s">
        <v>1077</v>
      </c>
      <c r="J7" s="1003" t="s">
        <v>1078</v>
      </c>
    </row>
    <row r="8" spans="1:10" s="1011" customFormat="1" ht="46.5" x14ac:dyDescent="0.35">
      <c r="A8" s="1007" t="s">
        <v>6</v>
      </c>
      <c r="B8" s="1007" t="s">
        <v>19</v>
      </c>
      <c r="C8" s="1008" t="s">
        <v>422</v>
      </c>
      <c r="D8" s="1009" t="s">
        <v>115</v>
      </c>
      <c r="E8" s="1009" t="s">
        <v>116</v>
      </c>
      <c r="F8" s="1009" t="s">
        <v>117</v>
      </c>
      <c r="G8" s="1009" t="s">
        <v>118</v>
      </c>
      <c r="H8" s="1010" t="s">
        <v>1079</v>
      </c>
      <c r="I8" s="1008" t="s">
        <v>431</v>
      </c>
      <c r="J8" s="1008" t="s">
        <v>1080</v>
      </c>
    </row>
    <row r="9" spans="1:10" x14ac:dyDescent="0.25">
      <c r="A9" s="1002" t="s">
        <v>6</v>
      </c>
      <c r="B9" s="1012" t="s">
        <v>1081</v>
      </c>
      <c r="C9" s="1002"/>
      <c r="D9" s="1002"/>
      <c r="E9" s="1013"/>
      <c r="F9" s="1013"/>
      <c r="G9" s="1014"/>
      <c r="H9" s="1013">
        <f>+SUM(H10:H10)</f>
        <v>192150000</v>
      </c>
      <c r="I9" s="1015"/>
      <c r="J9" s="1016"/>
    </row>
    <row r="10" spans="1:10" ht="46.5" x14ac:dyDescent="0.25">
      <c r="A10" s="1017">
        <v>1</v>
      </c>
      <c r="B10" s="1018" t="s">
        <v>1082</v>
      </c>
      <c r="C10" s="1019" t="s">
        <v>1083</v>
      </c>
      <c r="D10" s="1019">
        <v>2</v>
      </c>
      <c r="E10" s="1020">
        <v>305</v>
      </c>
      <c r="F10" s="1020">
        <v>225000</v>
      </c>
      <c r="G10" s="1021">
        <v>1.4</v>
      </c>
      <c r="H10" s="1020">
        <f>+D10*E10*F10*G10</f>
        <v>192150000</v>
      </c>
      <c r="I10" s="1018" t="s">
        <v>1084</v>
      </c>
      <c r="J10" s="1018" t="s">
        <v>1085</v>
      </c>
    </row>
    <row r="11" spans="1:10" ht="45" x14ac:dyDescent="0.25">
      <c r="A11" s="1022" t="s">
        <v>19</v>
      </c>
      <c r="B11" s="1023" t="s">
        <v>1086</v>
      </c>
      <c r="C11" s="1022"/>
      <c r="D11" s="1022"/>
      <c r="E11" s="1024"/>
      <c r="F11" s="1024"/>
      <c r="G11" s="1025"/>
      <c r="H11" s="1026">
        <v>118300000</v>
      </c>
      <c r="I11" s="1023"/>
      <c r="J11" s="1563" t="s">
        <v>1087</v>
      </c>
    </row>
    <row r="12" spans="1:10" ht="30" x14ac:dyDescent="0.25">
      <c r="A12" s="1027" t="s">
        <v>7</v>
      </c>
      <c r="B12" s="1028" t="s">
        <v>1088</v>
      </c>
      <c r="C12" s="1027"/>
      <c r="D12" s="1027"/>
      <c r="E12" s="1029"/>
      <c r="F12" s="1029"/>
      <c r="G12" s="1030"/>
      <c r="H12" s="1031">
        <v>42962000</v>
      </c>
      <c r="I12" s="1032"/>
      <c r="J12" s="1563"/>
    </row>
    <row r="13" spans="1:10" x14ac:dyDescent="0.25">
      <c r="A13" s="1033">
        <v>1</v>
      </c>
      <c r="B13" s="1034" t="s">
        <v>1089</v>
      </c>
      <c r="C13" s="1033"/>
      <c r="D13" s="1033"/>
      <c r="E13" s="1031"/>
      <c r="F13" s="1031"/>
      <c r="G13" s="1035"/>
      <c r="H13" s="1036">
        <v>40462000</v>
      </c>
      <c r="I13" s="1028"/>
      <c r="J13" s="1023"/>
    </row>
    <row r="14" spans="1:10" x14ac:dyDescent="0.25">
      <c r="A14" s="1037" t="s">
        <v>124</v>
      </c>
      <c r="B14" s="1038" t="s">
        <v>1090</v>
      </c>
      <c r="C14" s="1037"/>
      <c r="D14" s="1037"/>
      <c r="E14" s="1039"/>
      <c r="F14" s="1039"/>
      <c r="G14" s="1040"/>
      <c r="H14" s="1039">
        <v>30000000</v>
      </c>
      <c r="I14" s="1041"/>
      <c r="J14" s="1041"/>
    </row>
    <row r="15" spans="1:10" x14ac:dyDescent="0.35">
      <c r="A15" s="1042"/>
      <c r="B15" s="1043" t="s">
        <v>1091</v>
      </c>
      <c r="C15" s="1042" t="s">
        <v>1020</v>
      </c>
      <c r="D15" s="1042">
        <v>1</v>
      </c>
      <c r="E15" s="1042">
        <v>4</v>
      </c>
      <c r="F15" s="1044">
        <v>70000</v>
      </c>
      <c r="G15" s="1045"/>
      <c r="H15" s="1046">
        <v>4200000</v>
      </c>
      <c r="I15" s="1564" t="s">
        <v>1092</v>
      </c>
      <c r="J15" s="1563" t="s">
        <v>1093</v>
      </c>
    </row>
    <row r="16" spans="1:10" x14ac:dyDescent="0.35">
      <c r="A16" s="1042"/>
      <c r="B16" s="1043" t="s">
        <v>1094</v>
      </c>
      <c r="C16" s="1042" t="s">
        <v>1020</v>
      </c>
      <c r="D16" s="1042">
        <v>1</v>
      </c>
      <c r="E16" s="1042">
        <v>4</v>
      </c>
      <c r="F16" s="1044">
        <v>70000</v>
      </c>
      <c r="G16" s="1045"/>
      <c r="H16" s="1046">
        <v>4200000</v>
      </c>
      <c r="I16" s="1565"/>
      <c r="J16" s="1563"/>
    </row>
    <row r="17" spans="1:10" ht="31" x14ac:dyDescent="0.35">
      <c r="A17" s="1042"/>
      <c r="B17" s="1043" t="s">
        <v>1095</v>
      </c>
      <c r="C17" s="1042" t="s">
        <v>1020</v>
      </c>
      <c r="D17" s="1042">
        <v>1</v>
      </c>
      <c r="E17" s="1042">
        <v>4</v>
      </c>
      <c r="F17" s="1044">
        <v>80000</v>
      </c>
      <c r="G17" s="1045"/>
      <c r="H17" s="1046">
        <v>4800000</v>
      </c>
      <c r="I17" s="1565"/>
      <c r="J17" s="1563"/>
    </row>
    <row r="18" spans="1:10" x14ac:dyDescent="0.35">
      <c r="A18" s="1042"/>
      <c r="B18" s="1043" t="s">
        <v>1096</v>
      </c>
      <c r="C18" s="1042" t="s">
        <v>1020</v>
      </c>
      <c r="D18" s="1042">
        <v>2</v>
      </c>
      <c r="E18" s="1042">
        <v>8</v>
      </c>
      <c r="F18" s="1044">
        <v>70000</v>
      </c>
      <c r="G18" s="1045"/>
      <c r="H18" s="1046">
        <v>8400000</v>
      </c>
      <c r="I18" s="1565"/>
      <c r="J18" s="1563"/>
    </row>
    <row r="19" spans="1:10" x14ac:dyDescent="0.35">
      <c r="A19" s="1042"/>
      <c r="B19" s="1043" t="s">
        <v>743</v>
      </c>
      <c r="C19" s="1042" t="s">
        <v>1020</v>
      </c>
      <c r="D19" s="1042">
        <v>2</v>
      </c>
      <c r="E19" s="1042">
        <v>8</v>
      </c>
      <c r="F19" s="1044">
        <v>70000</v>
      </c>
      <c r="G19" s="1045"/>
      <c r="H19" s="1046">
        <v>8400000</v>
      </c>
      <c r="I19" s="1565"/>
      <c r="J19" s="1563"/>
    </row>
    <row r="20" spans="1:10" x14ac:dyDescent="0.25">
      <c r="A20" s="1047" t="s">
        <v>578</v>
      </c>
      <c r="B20" s="1048" t="s">
        <v>1097</v>
      </c>
      <c r="C20" s="1049"/>
      <c r="D20" s="1049"/>
      <c r="E20" s="1049"/>
      <c r="F20" s="1049"/>
      <c r="G20" s="1049"/>
      <c r="H20" s="1050">
        <v>9262000</v>
      </c>
      <c r="I20" s="1049"/>
      <c r="J20" s="1051"/>
    </row>
    <row r="21" spans="1:10" x14ac:dyDescent="0.25">
      <c r="A21" s="1042" t="s">
        <v>147</v>
      </c>
      <c r="B21" s="1049" t="s">
        <v>1098</v>
      </c>
      <c r="C21" s="1042" t="s">
        <v>1099</v>
      </c>
      <c r="D21" s="1042"/>
      <c r="E21" s="1044">
        <v>285</v>
      </c>
      <c r="F21" s="1044">
        <v>6500</v>
      </c>
      <c r="G21" s="1045"/>
      <c r="H21" s="1052">
        <f>+F21*E21</f>
        <v>1852500</v>
      </c>
      <c r="I21" s="1043" t="s">
        <v>1100</v>
      </c>
      <c r="J21" s="1042"/>
    </row>
    <row r="22" spans="1:10" x14ac:dyDescent="0.25">
      <c r="A22" s="1042" t="s">
        <v>148</v>
      </c>
      <c r="B22" s="1049" t="s">
        <v>1101</v>
      </c>
      <c r="C22" s="1042" t="s">
        <v>1099</v>
      </c>
      <c r="D22" s="1042"/>
      <c r="E22" s="1044">
        <v>285</v>
      </c>
      <c r="F22" s="1044">
        <v>6500</v>
      </c>
      <c r="G22" s="1045"/>
      <c r="H22" s="1052">
        <f>+F22*E22</f>
        <v>1852500</v>
      </c>
      <c r="I22" s="1043" t="s">
        <v>1100</v>
      </c>
      <c r="J22" s="1042"/>
    </row>
    <row r="23" spans="1:10" x14ac:dyDescent="0.25">
      <c r="A23" s="1042" t="s">
        <v>169</v>
      </c>
      <c r="B23" s="1049" t="s">
        <v>1102</v>
      </c>
      <c r="C23" s="1042" t="s">
        <v>1099</v>
      </c>
      <c r="D23" s="1042"/>
      <c r="E23" s="1044">
        <v>285</v>
      </c>
      <c r="F23" s="1044">
        <v>6500</v>
      </c>
      <c r="G23" s="1045"/>
      <c r="H23" s="1052">
        <f>+F23*E23</f>
        <v>1852500</v>
      </c>
      <c r="I23" s="1043" t="s">
        <v>1100</v>
      </c>
      <c r="J23" s="1042"/>
    </row>
    <row r="24" spans="1:10" x14ac:dyDescent="0.25">
      <c r="A24" s="1042" t="s">
        <v>1103</v>
      </c>
      <c r="B24" s="1049" t="s">
        <v>1104</v>
      </c>
      <c r="C24" s="1042" t="s">
        <v>1099</v>
      </c>
      <c r="D24" s="1042"/>
      <c r="E24" s="1044">
        <v>285</v>
      </c>
      <c r="F24" s="1044">
        <v>6500</v>
      </c>
      <c r="G24" s="1045"/>
      <c r="H24" s="1052">
        <f>+F24*E24</f>
        <v>1852500</v>
      </c>
      <c r="I24" s="1043" t="s">
        <v>1100</v>
      </c>
      <c r="J24" s="1042"/>
    </row>
    <row r="25" spans="1:10" x14ac:dyDescent="0.25">
      <c r="A25" s="1042" t="s">
        <v>1105</v>
      </c>
      <c r="B25" s="1049" t="s">
        <v>1106</v>
      </c>
      <c r="C25" s="1042" t="s">
        <v>1099</v>
      </c>
      <c r="D25" s="1042"/>
      <c r="E25" s="1044">
        <v>285</v>
      </c>
      <c r="F25" s="1044">
        <v>6500</v>
      </c>
      <c r="G25" s="1045"/>
      <c r="H25" s="1052">
        <f>+F25*E25</f>
        <v>1852500</v>
      </c>
      <c r="I25" s="1043" t="s">
        <v>1100</v>
      </c>
      <c r="J25" s="1053"/>
    </row>
    <row r="26" spans="1:10" x14ac:dyDescent="0.25">
      <c r="A26" s="1054">
        <v>1.3</v>
      </c>
      <c r="B26" s="1055" t="s">
        <v>1107</v>
      </c>
      <c r="C26" s="1056" t="s">
        <v>1032</v>
      </c>
      <c r="D26" s="1042"/>
      <c r="E26" s="1057">
        <v>7</v>
      </c>
      <c r="F26" s="1057">
        <v>100000</v>
      </c>
      <c r="G26" s="1058"/>
      <c r="H26" s="1059">
        <v>700000</v>
      </c>
      <c r="I26" s="1043" t="s">
        <v>1100</v>
      </c>
      <c r="J26" s="1060"/>
    </row>
    <row r="27" spans="1:10" x14ac:dyDescent="0.25">
      <c r="A27" s="1061">
        <v>1.4</v>
      </c>
      <c r="B27" s="1062" t="s">
        <v>786</v>
      </c>
      <c r="C27" s="1042" t="s">
        <v>1108</v>
      </c>
      <c r="D27" s="1042"/>
      <c r="E27" s="1044">
        <v>1</v>
      </c>
      <c r="F27" s="1044">
        <v>500000</v>
      </c>
      <c r="G27" s="1045"/>
      <c r="H27" s="1063">
        <v>500000</v>
      </c>
      <c r="I27" s="1043" t="s">
        <v>1100</v>
      </c>
      <c r="J27" s="1060"/>
    </row>
    <row r="28" spans="1:10" x14ac:dyDescent="0.25">
      <c r="A28" s="1064">
        <v>2</v>
      </c>
      <c r="B28" s="1065" t="s">
        <v>1109</v>
      </c>
      <c r="C28" s="1056" t="s">
        <v>1054</v>
      </c>
      <c r="D28" s="1056"/>
      <c r="E28" s="1057">
        <v>2</v>
      </c>
      <c r="F28" s="1057">
        <v>500000</v>
      </c>
      <c r="G28" s="1058"/>
      <c r="H28" s="1066">
        <v>1000000</v>
      </c>
      <c r="I28" s="1067" t="s">
        <v>1100</v>
      </c>
      <c r="J28" s="1566" t="s">
        <v>1087</v>
      </c>
    </row>
    <row r="29" spans="1:10" x14ac:dyDescent="0.25">
      <c r="A29" s="1022">
        <v>3</v>
      </c>
      <c r="B29" s="1023" t="s">
        <v>1110</v>
      </c>
      <c r="C29" s="1042" t="s">
        <v>1042</v>
      </c>
      <c r="D29" s="1042"/>
      <c r="E29" s="1044">
        <v>3</v>
      </c>
      <c r="F29" s="1044">
        <v>500000</v>
      </c>
      <c r="G29" s="1045"/>
      <c r="H29" s="1068">
        <f>+F29*E29</f>
        <v>1500000</v>
      </c>
      <c r="I29" s="1043" t="s">
        <v>1100</v>
      </c>
      <c r="J29" s="1563"/>
    </row>
    <row r="30" spans="1:10" x14ac:dyDescent="0.3">
      <c r="A30" s="1022" t="s">
        <v>8</v>
      </c>
      <c r="B30" s="1023" t="s">
        <v>1111</v>
      </c>
      <c r="C30" s="1022"/>
      <c r="D30" s="1022"/>
      <c r="E30" s="1024"/>
      <c r="F30" s="1024"/>
      <c r="G30" s="1025"/>
      <c r="H30" s="1069">
        <v>72840000</v>
      </c>
      <c r="I30" s="1023"/>
      <c r="J30" s="1070"/>
    </row>
    <row r="31" spans="1:10" x14ac:dyDescent="0.35">
      <c r="A31" s="1071">
        <v>1</v>
      </c>
      <c r="B31" s="1072" t="s">
        <v>1112</v>
      </c>
      <c r="C31" s="1056" t="s">
        <v>1083</v>
      </c>
      <c r="D31" s="1042">
        <v>2</v>
      </c>
      <c r="E31" s="1073">
        <v>44</v>
      </c>
      <c r="F31" s="1044"/>
      <c r="G31" s="1045"/>
      <c r="H31" s="1074">
        <v>10320000</v>
      </c>
      <c r="I31" s="1075"/>
      <c r="J31" s="1018"/>
    </row>
    <row r="32" spans="1:10" x14ac:dyDescent="0.35">
      <c r="A32" s="1076">
        <v>2</v>
      </c>
      <c r="B32" s="1077" t="s">
        <v>1113</v>
      </c>
      <c r="C32" s="1056" t="s">
        <v>1083</v>
      </c>
      <c r="D32" s="1042">
        <v>2</v>
      </c>
      <c r="E32" s="1073">
        <v>44</v>
      </c>
      <c r="F32" s="1057"/>
      <c r="G32" s="1058"/>
      <c r="H32" s="1074">
        <v>10320000</v>
      </c>
      <c r="I32" s="1006" t="s">
        <v>1114</v>
      </c>
      <c r="J32" s="1078"/>
    </row>
    <row r="33" spans="1:10" x14ac:dyDescent="0.35">
      <c r="A33" s="1079">
        <v>3</v>
      </c>
      <c r="B33" s="1080" t="s">
        <v>1115</v>
      </c>
      <c r="C33" s="1056" t="s">
        <v>1083</v>
      </c>
      <c r="D33" s="1056">
        <v>2</v>
      </c>
      <c r="E33" s="1073">
        <v>37</v>
      </c>
      <c r="F33" s="1057"/>
      <c r="G33" s="1058"/>
      <c r="H33" s="1074">
        <v>9480000</v>
      </c>
      <c r="I33" s="1051" t="s">
        <v>1116</v>
      </c>
      <c r="J33" s="1081"/>
    </row>
    <row r="34" spans="1:10" x14ac:dyDescent="0.35">
      <c r="A34" s="1042">
        <v>4</v>
      </c>
      <c r="B34" s="1082" t="s">
        <v>1117</v>
      </c>
      <c r="C34" s="1042" t="s">
        <v>1083</v>
      </c>
      <c r="D34" s="1042">
        <v>1</v>
      </c>
      <c r="E34" s="1073">
        <v>45</v>
      </c>
      <c r="F34" s="1044"/>
      <c r="G34" s="1045"/>
      <c r="H34" s="1074">
        <v>10680000</v>
      </c>
      <c r="I34" s="1081"/>
      <c r="J34" s="1566" t="s">
        <v>1087</v>
      </c>
    </row>
    <row r="35" spans="1:10" x14ac:dyDescent="0.35">
      <c r="A35" s="1042">
        <v>5</v>
      </c>
      <c r="B35" s="1072" t="s">
        <v>1118</v>
      </c>
      <c r="C35" s="1056" t="s">
        <v>1083</v>
      </c>
      <c r="D35" s="1042">
        <v>1</v>
      </c>
      <c r="E35" s="1073">
        <v>45</v>
      </c>
      <c r="F35" s="1044"/>
      <c r="G35" s="1045"/>
      <c r="H35" s="1074">
        <v>10680000</v>
      </c>
      <c r="I35" s="1081"/>
      <c r="J35" s="1567"/>
    </row>
    <row r="36" spans="1:10" x14ac:dyDescent="0.35">
      <c r="A36" s="1042">
        <v>6</v>
      </c>
      <c r="B36" s="1082" t="s">
        <v>1119</v>
      </c>
      <c r="C36" s="1056" t="s">
        <v>1083</v>
      </c>
      <c r="D36" s="1042">
        <v>1</v>
      </c>
      <c r="E36" s="1073">
        <v>45</v>
      </c>
      <c r="F36" s="1044"/>
      <c r="G36" s="1045"/>
      <c r="H36" s="1074">
        <v>10680000</v>
      </c>
      <c r="I36" s="1083"/>
      <c r="J36" s="1051"/>
    </row>
    <row r="37" spans="1:10" x14ac:dyDescent="0.35">
      <c r="A37" s="1042">
        <v>7</v>
      </c>
      <c r="B37" s="1084" t="s">
        <v>1120</v>
      </c>
      <c r="C37" s="1056" t="s">
        <v>1083</v>
      </c>
      <c r="D37" s="1042">
        <v>1</v>
      </c>
      <c r="E37" s="1073">
        <v>45</v>
      </c>
      <c r="F37" s="1044"/>
      <c r="G37" s="1045"/>
      <c r="H37" s="1074">
        <v>10680000</v>
      </c>
      <c r="I37" s="1083"/>
      <c r="J37" s="1051"/>
    </row>
    <row r="38" spans="1:10" x14ac:dyDescent="0.25">
      <c r="A38" s="1022"/>
      <c r="B38" s="1085" t="s">
        <v>1121</v>
      </c>
      <c r="C38" s="1022"/>
      <c r="D38" s="1022"/>
      <c r="E38" s="1024"/>
      <c r="F38" s="1024"/>
      <c r="G38" s="1025"/>
      <c r="H38" s="1024">
        <v>73850000</v>
      </c>
      <c r="I38" s="1085"/>
      <c r="J38" s="1085"/>
    </row>
    <row r="39" spans="1:10" s="1090" customFormat="1" ht="16.5" x14ac:dyDescent="0.25">
      <c r="A39" s="42" t="s">
        <v>1122</v>
      </c>
      <c r="B39" s="811"/>
      <c r="C39" s="42"/>
      <c r="D39" s="42"/>
      <c r="E39" s="1086"/>
      <c r="F39" s="1087"/>
      <c r="G39" s="1088"/>
      <c r="H39" s="1087"/>
      <c r="I39" s="1089"/>
      <c r="J39" s="1089"/>
    </row>
    <row r="40" spans="1:10" s="44" customFormat="1" x14ac:dyDescent="0.25">
      <c r="A40" s="40"/>
      <c r="B40" s="811"/>
      <c r="C40" s="1086"/>
      <c r="D40" s="1086"/>
      <c r="E40" s="1086"/>
      <c r="F40" s="1087"/>
      <c r="G40" s="1088"/>
      <c r="H40" s="1087"/>
      <c r="I40" s="1568" t="s">
        <v>1123</v>
      </c>
      <c r="J40" s="1568"/>
    </row>
    <row r="41" spans="1:10" s="42" customFormat="1" ht="15" x14ac:dyDescent="0.25">
      <c r="A41" s="1549" t="s">
        <v>1124</v>
      </c>
      <c r="B41" s="1549"/>
      <c r="C41" s="1549" t="s">
        <v>1125</v>
      </c>
      <c r="D41" s="1549"/>
      <c r="E41" s="1549"/>
      <c r="F41" s="1549"/>
      <c r="G41" s="1549"/>
      <c r="H41" s="1549"/>
      <c r="I41" s="1549"/>
      <c r="J41" s="1549"/>
    </row>
    <row r="42" spans="1:10" s="42" customFormat="1" ht="15" x14ac:dyDescent="0.25">
      <c r="B42" s="40"/>
      <c r="G42" s="1088"/>
    </row>
    <row r="43" spans="1:10" s="44" customFormat="1" x14ac:dyDescent="0.25">
      <c r="A43" s="42"/>
      <c r="B43" s="40"/>
      <c r="C43" s="42"/>
      <c r="D43" s="42"/>
      <c r="E43" s="42"/>
      <c r="F43" s="42"/>
      <c r="G43" s="1088"/>
      <c r="H43" s="42"/>
      <c r="I43" s="42"/>
      <c r="J43" s="42"/>
    </row>
    <row r="44" spans="1:10" s="44" customFormat="1" x14ac:dyDescent="0.25">
      <c r="A44" s="42"/>
      <c r="B44" s="40"/>
      <c r="C44" s="42"/>
      <c r="D44" s="42"/>
      <c r="E44" s="42"/>
      <c r="F44" s="42"/>
      <c r="G44" s="1088"/>
      <c r="H44" s="42"/>
      <c r="I44" s="42"/>
      <c r="J44" s="42"/>
    </row>
    <row r="45" spans="1:10" s="1091" customFormat="1" x14ac:dyDescent="0.25">
      <c r="A45" s="42"/>
      <c r="B45" s="40"/>
      <c r="C45" s="42"/>
      <c r="D45" s="42"/>
      <c r="E45" s="42"/>
      <c r="F45" s="42"/>
      <c r="G45" s="1088"/>
      <c r="H45" s="42"/>
      <c r="I45" s="42"/>
      <c r="J45" s="42"/>
    </row>
    <row r="46" spans="1:10" x14ac:dyDescent="0.25">
      <c r="B46" s="40"/>
    </row>
  </sheetData>
  <mergeCells count="14">
    <mergeCell ref="A6:J6"/>
    <mergeCell ref="A1:B1"/>
    <mergeCell ref="A2:B2"/>
    <mergeCell ref="A3:B3"/>
    <mergeCell ref="A4:J4"/>
    <mergeCell ref="A5:J5"/>
    <mergeCell ref="A41:B41"/>
    <mergeCell ref="C41:J41"/>
    <mergeCell ref="J11:J12"/>
    <mergeCell ref="I15:I19"/>
    <mergeCell ref="J15:J19"/>
    <mergeCell ref="J28:J29"/>
    <mergeCell ref="J34:J35"/>
    <mergeCell ref="I40:J40"/>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6641-7FBF-CD49-82F7-EB110EA0B624}">
  <dimension ref="A1:M36"/>
  <sheetViews>
    <sheetView workbookViewId="0">
      <selection activeCell="I41" sqref="I41"/>
    </sheetView>
  </sheetViews>
  <sheetFormatPr defaultColWidth="10.90625" defaultRowHeight="12.5" x14ac:dyDescent="0.25"/>
  <cols>
    <col min="1" max="1" width="20.36328125" customWidth="1"/>
    <col min="2" max="2" width="11" customWidth="1"/>
    <col min="3" max="3" width="7" customWidth="1"/>
    <col min="4" max="4" width="5.453125" customWidth="1"/>
    <col min="5" max="5" width="10.1796875" customWidth="1"/>
    <col min="6" max="6" width="10.36328125" customWidth="1"/>
    <col min="7" max="7" width="11.6328125" customWidth="1"/>
    <col min="8" max="8" width="10.453125" customWidth="1"/>
    <col min="9" max="9" width="11.36328125" customWidth="1"/>
    <col min="10" max="10" width="10.6328125" customWidth="1"/>
    <col min="11" max="11" width="12" customWidth="1"/>
    <col min="12" max="12" width="11.36328125" customWidth="1"/>
    <col min="13" max="13" width="9.81640625" bestFit="1" customWidth="1"/>
    <col min="14" max="256" width="8.81640625" customWidth="1"/>
    <col min="257" max="257" width="20.36328125" customWidth="1"/>
    <col min="258" max="258" width="11" customWidth="1"/>
    <col min="259" max="259" width="7" customWidth="1"/>
    <col min="260" max="260" width="5.453125" customWidth="1"/>
    <col min="261" max="261" width="10.1796875" customWidth="1"/>
    <col min="262" max="262" width="10.36328125" customWidth="1"/>
    <col min="263" max="263" width="11.6328125" customWidth="1"/>
    <col min="264" max="264" width="10.453125" customWidth="1"/>
    <col min="265" max="265" width="11.36328125" customWidth="1"/>
    <col min="266" max="266" width="10.6328125" customWidth="1"/>
    <col min="267" max="267" width="12" customWidth="1"/>
    <col min="268" max="268" width="11.36328125" customWidth="1"/>
    <col min="269" max="269" width="9.81640625" bestFit="1" customWidth="1"/>
    <col min="270" max="512" width="8.81640625" customWidth="1"/>
    <col min="513" max="513" width="20.36328125" customWidth="1"/>
    <col min="514" max="514" width="11" customWidth="1"/>
    <col min="515" max="515" width="7" customWidth="1"/>
    <col min="516" max="516" width="5.453125" customWidth="1"/>
    <col min="517" max="517" width="10.1796875" customWidth="1"/>
    <col min="518" max="518" width="10.36328125" customWidth="1"/>
    <col min="519" max="519" width="11.6328125" customWidth="1"/>
    <col min="520" max="520" width="10.453125" customWidth="1"/>
    <col min="521" max="521" width="11.36328125" customWidth="1"/>
    <col min="522" max="522" width="10.6328125" customWidth="1"/>
    <col min="523" max="523" width="12" customWidth="1"/>
    <col min="524" max="524" width="11.36328125" customWidth="1"/>
    <col min="525" max="525" width="9.81640625" bestFit="1" customWidth="1"/>
    <col min="526" max="768" width="8.81640625" customWidth="1"/>
    <col min="769" max="769" width="20.36328125" customWidth="1"/>
    <col min="770" max="770" width="11" customWidth="1"/>
    <col min="771" max="771" width="7" customWidth="1"/>
    <col min="772" max="772" width="5.453125" customWidth="1"/>
    <col min="773" max="773" width="10.1796875" customWidth="1"/>
    <col min="774" max="774" width="10.36328125" customWidth="1"/>
    <col min="775" max="775" width="11.6328125" customWidth="1"/>
    <col min="776" max="776" width="10.453125" customWidth="1"/>
    <col min="777" max="777" width="11.36328125" customWidth="1"/>
    <col min="778" max="778" width="10.6328125" customWidth="1"/>
    <col min="779" max="779" width="12" customWidth="1"/>
    <col min="780" max="780" width="11.36328125" customWidth="1"/>
    <col min="781" max="781" width="9.81640625" bestFit="1" customWidth="1"/>
    <col min="782" max="1024" width="8.81640625" customWidth="1"/>
    <col min="1025" max="1025" width="20.36328125" customWidth="1"/>
    <col min="1026" max="1026" width="11" customWidth="1"/>
    <col min="1027" max="1027" width="7" customWidth="1"/>
    <col min="1028" max="1028" width="5.453125" customWidth="1"/>
    <col min="1029" max="1029" width="10.1796875" customWidth="1"/>
    <col min="1030" max="1030" width="10.36328125" customWidth="1"/>
    <col min="1031" max="1031" width="11.6328125" customWidth="1"/>
    <col min="1032" max="1032" width="10.453125" customWidth="1"/>
    <col min="1033" max="1033" width="11.36328125" customWidth="1"/>
    <col min="1034" max="1034" width="10.6328125" customWidth="1"/>
    <col min="1035" max="1035" width="12" customWidth="1"/>
    <col min="1036" max="1036" width="11.36328125" customWidth="1"/>
    <col min="1037" max="1037" width="9.81640625" bestFit="1" customWidth="1"/>
    <col min="1038" max="1280" width="8.81640625" customWidth="1"/>
    <col min="1281" max="1281" width="20.36328125" customWidth="1"/>
    <col min="1282" max="1282" width="11" customWidth="1"/>
    <col min="1283" max="1283" width="7" customWidth="1"/>
    <col min="1284" max="1284" width="5.453125" customWidth="1"/>
    <col min="1285" max="1285" width="10.1796875" customWidth="1"/>
    <col min="1286" max="1286" width="10.36328125" customWidth="1"/>
    <col min="1287" max="1287" width="11.6328125" customWidth="1"/>
    <col min="1288" max="1288" width="10.453125" customWidth="1"/>
    <col min="1289" max="1289" width="11.36328125" customWidth="1"/>
    <col min="1290" max="1290" width="10.6328125" customWidth="1"/>
    <col min="1291" max="1291" width="12" customWidth="1"/>
    <col min="1292" max="1292" width="11.36328125" customWidth="1"/>
    <col min="1293" max="1293" width="9.81640625" bestFit="1" customWidth="1"/>
    <col min="1294" max="1536" width="8.81640625" customWidth="1"/>
    <col min="1537" max="1537" width="20.36328125" customWidth="1"/>
    <col min="1538" max="1538" width="11" customWidth="1"/>
    <col min="1539" max="1539" width="7" customWidth="1"/>
    <col min="1540" max="1540" width="5.453125" customWidth="1"/>
    <col min="1541" max="1541" width="10.1796875" customWidth="1"/>
    <col min="1542" max="1542" width="10.36328125" customWidth="1"/>
    <col min="1543" max="1543" width="11.6328125" customWidth="1"/>
    <col min="1544" max="1544" width="10.453125" customWidth="1"/>
    <col min="1545" max="1545" width="11.36328125" customWidth="1"/>
    <col min="1546" max="1546" width="10.6328125" customWidth="1"/>
    <col min="1547" max="1547" width="12" customWidth="1"/>
    <col min="1548" max="1548" width="11.36328125" customWidth="1"/>
    <col min="1549" max="1549" width="9.81640625" bestFit="1" customWidth="1"/>
    <col min="1550" max="1792" width="8.81640625" customWidth="1"/>
    <col min="1793" max="1793" width="20.36328125" customWidth="1"/>
    <col min="1794" max="1794" width="11" customWidth="1"/>
    <col min="1795" max="1795" width="7" customWidth="1"/>
    <col min="1796" max="1796" width="5.453125" customWidth="1"/>
    <col min="1797" max="1797" width="10.1796875" customWidth="1"/>
    <col min="1798" max="1798" width="10.36328125" customWidth="1"/>
    <col min="1799" max="1799" width="11.6328125" customWidth="1"/>
    <col min="1800" max="1800" width="10.453125" customWidth="1"/>
    <col min="1801" max="1801" width="11.36328125" customWidth="1"/>
    <col min="1802" max="1802" width="10.6328125" customWidth="1"/>
    <col min="1803" max="1803" width="12" customWidth="1"/>
    <col min="1804" max="1804" width="11.36328125" customWidth="1"/>
    <col min="1805" max="1805" width="9.81640625" bestFit="1" customWidth="1"/>
    <col min="1806" max="2048" width="8.81640625" customWidth="1"/>
    <col min="2049" max="2049" width="20.36328125" customWidth="1"/>
    <col min="2050" max="2050" width="11" customWidth="1"/>
    <col min="2051" max="2051" width="7" customWidth="1"/>
    <col min="2052" max="2052" width="5.453125" customWidth="1"/>
    <col min="2053" max="2053" width="10.1796875" customWidth="1"/>
    <col min="2054" max="2054" width="10.36328125" customWidth="1"/>
    <col min="2055" max="2055" width="11.6328125" customWidth="1"/>
    <col min="2056" max="2056" width="10.453125" customWidth="1"/>
    <col min="2057" max="2057" width="11.36328125" customWidth="1"/>
    <col min="2058" max="2058" width="10.6328125" customWidth="1"/>
    <col min="2059" max="2059" width="12" customWidth="1"/>
    <col min="2060" max="2060" width="11.36328125" customWidth="1"/>
    <col min="2061" max="2061" width="9.81640625" bestFit="1" customWidth="1"/>
    <col min="2062" max="2304" width="8.81640625" customWidth="1"/>
    <col min="2305" max="2305" width="20.36328125" customWidth="1"/>
    <col min="2306" max="2306" width="11" customWidth="1"/>
    <col min="2307" max="2307" width="7" customWidth="1"/>
    <col min="2308" max="2308" width="5.453125" customWidth="1"/>
    <col min="2309" max="2309" width="10.1796875" customWidth="1"/>
    <col min="2310" max="2310" width="10.36328125" customWidth="1"/>
    <col min="2311" max="2311" width="11.6328125" customWidth="1"/>
    <col min="2312" max="2312" width="10.453125" customWidth="1"/>
    <col min="2313" max="2313" width="11.36328125" customWidth="1"/>
    <col min="2314" max="2314" width="10.6328125" customWidth="1"/>
    <col min="2315" max="2315" width="12" customWidth="1"/>
    <col min="2316" max="2316" width="11.36328125" customWidth="1"/>
    <col min="2317" max="2317" width="9.81640625" bestFit="1" customWidth="1"/>
    <col min="2318" max="2560" width="8.81640625" customWidth="1"/>
    <col min="2561" max="2561" width="20.36328125" customWidth="1"/>
    <col min="2562" max="2562" width="11" customWidth="1"/>
    <col min="2563" max="2563" width="7" customWidth="1"/>
    <col min="2564" max="2564" width="5.453125" customWidth="1"/>
    <col min="2565" max="2565" width="10.1796875" customWidth="1"/>
    <col min="2566" max="2566" width="10.36328125" customWidth="1"/>
    <col min="2567" max="2567" width="11.6328125" customWidth="1"/>
    <col min="2568" max="2568" width="10.453125" customWidth="1"/>
    <col min="2569" max="2569" width="11.36328125" customWidth="1"/>
    <col min="2570" max="2570" width="10.6328125" customWidth="1"/>
    <col min="2571" max="2571" width="12" customWidth="1"/>
    <col min="2572" max="2572" width="11.36328125" customWidth="1"/>
    <col min="2573" max="2573" width="9.81640625" bestFit="1" customWidth="1"/>
    <col min="2574" max="2816" width="8.81640625" customWidth="1"/>
    <col min="2817" max="2817" width="20.36328125" customWidth="1"/>
    <col min="2818" max="2818" width="11" customWidth="1"/>
    <col min="2819" max="2819" width="7" customWidth="1"/>
    <col min="2820" max="2820" width="5.453125" customWidth="1"/>
    <col min="2821" max="2821" width="10.1796875" customWidth="1"/>
    <col min="2822" max="2822" width="10.36328125" customWidth="1"/>
    <col min="2823" max="2823" width="11.6328125" customWidth="1"/>
    <col min="2824" max="2824" width="10.453125" customWidth="1"/>
    <col min="2825" max="2825" width="11.36328125" customWidth="1"/>
    <col min="2826" max="2826" width="10.6328125" customWidth="1"/>
    <col min="2827" max="2827" width="12" customWidth="1"/>
    <col min="2828" max="2828" width="11.36328125" customWidth="1"/>
    <col min="2829" max="2829" width="9.81640625" bestFit="1" customWidth="1"/>
    <col min="2830" max="3072" width="8.81640625" customWidth="1"/>
    <col min="3073" max="3073" width="20.36328125" customWidth="1"/>
    <col min="3074" max="3074" width="11" customWidth="1"/>
    <col min="3075" max="3075" width="7" customWidth="1"/>
    <col min="3076" max="3076" width="5.453125" customWidth="1"/>
    <col min="3077" max="3077" width="10.1796875" customWidth="1"/>
    <col min="3078" max="3078" width="10.36328125" customWidth="1"/>
    <col min="3079" max="3079" width="11.6328125" customWidth="1"/>
    <col min="3080" max="3080" width="10.453125" customWidth="1"/>
    <col min="3081" max="3081" width="11.36328125" customWidth="1"/>
    <col min="3082" max="3082" width="10.6328125" customWidth="1"/>
    <col min="3083" max="3083" width="12" customWidth="1"/>
    <col min="3084" max="3084" width="11.36328125" customWidth="1"/>
    <col min="3085" max="3085" width="9.81640625" bestFit="1" customWidth="1"/>
    <col min="3086" max="3328" width="8.81640625" customWidth="1"/>
    <col min="3329" max="3329" width="20.36328125" customWidth="1"/>
    <col min="3330" max="3330" width="11" customWidth="1"/>
    <col min="3331" max="3331" width="7" customWidth="1"/>
    <col min="3332" max="3332" width="5.453125" customWidth="1"/>
    <col min="3333" max="3333" width="10.1796875" customWidth="1"/>
    <col min="3334" max="3334" width="10.36328125" customWidth="1"/>
    <col min="3335" max="3335" width="11.6328125" customWidth="1"/>
    <col min="3336" max="3336" width="10.453125" customWidth="1"/>
    <col min="3337" max="3337" width="11.36328125" customWidth="1"/>
    <col min="3338" max="3338" width="10.6328125" customWidth="1"/>
    <col min="3339" max="3339" width="12" customWidth="1"/>
    <col min="3340" max="3340" width="11.36328125" customWidth="1"/>
    <col min="3341" max="3341" width="9.81640625" bestFit="1" customWidth="1"/>
    <col min="3342" max="3584" width="8.81640625" customWidth="1"/>
    <col min="3585" max="3585" width="20.36328125" customWidth="1"/>
    <col min="3586" max="3586" width="11" customWidth="1"/>
    <col min="3587" max="3587" width="7" customWidth="1"/>
    <col min="3588" max="3588" width="5.453125" customWidth="1"/>
    <col min="3589" max="3589" width="10.1796875" customWidth="1"/>
    <col min="3590" max="3590" width="10.36328125" customWidth="1"/>
    <col min="3591" max="3591" width="11.6328125" customWidth="1"/>
    <col min="3592" max="3592" width="10.453125" customWidth="1"/>
    <col min="3593" max="3593" width="11.36328125" customWidth="1"/>
    <col min="3594" max="3594" width="10.6328125" customWidth="1"/>
    <col min="3595" max="3595" width="12" customWidth="1"/>
    <col min="3596" max="3596" width="11.36328125" customWidth="1"/>
    <col min="3597" max="3597" width="9.81640625" bestFit="1" customWidth="1"/>
    <col min="3598" max="3840" width="8.81640625" customWidth="1"/>
    <col min="3841" max="3841" width="20.36328125" customWidth="1"/>
    <col min="3842" max="3842" width="11" customWidth="1"/>
    <col min="3843" max="3843" width="7" customWidth="1"/>
    <col min="3844" max="3844" width="5.453125" customWidth="1"/>
    <col min="3845" max="3845" width="10.1796875" customWidth="1"/>
    <col min="3846" max="3846" width="10.36328125" customWidth="1"/>
    <col min="3847" max="3847" width="11.6328125" customWidth="1"/>
    <col min="3848" max="3848" width="10.453125" customWidth="1"/>
    <col min="3849" max="3849" width="11.36328125" customWidth="1"/>
    <col min="3850" max="3850" width="10.6328125" customWidth="1"/>
    <col min="3851" max="3851" width="12" customWidth="1"/>
    <col min="3852" max="3852" width="11.36328125" customWidth="1"/>
    <col min="3853" max="3853" width="9.81640625" bestFit="1" customWidth="1"/>
    <col min="3854" max="4096" width="8.81640625" customWidth="1"/>
    <col min="4097" max="4097" width="20.36328125" customWidth="1"/>
    <col min="4098" max="4098" width="11" customWidth="1"/>
    <col min="4099" max="4099" width="7" customWidth="1"/>
    <col min="4100" max="4100" width="5.453125" customWidth="1"/>
    <col min="4101" max="4101" width="10.1796875" customWidth="1"/>
    <col min="4102" max="4102" width="10.36328125" customWidth="1"/>
    <col min="4103" max="4103" width="11.6328125" customWidth="1"/>
    <col min="4104" max="4104" width="10.453125" customWidth="1"/>
    <col min="4105" max="4105" width="11.36328125" customWidth="1"/>
    <col min="4106" max="4106" width="10.6328125" customWidth="1"/>
    <col min="4107" max="4107" width="12" customWidth="1"/>
    <col min="4108" max="4108" width="11.36328125" customWidth="1"/>
    <col min="4109" max="4109" width="9.81640625" bestFit="1" customWidth="1"/>
    <col min="4110" max="4352" width="8.81640625" customWidth="1"/>
    <col min="4353" max="4353" width="20.36328125" customWidth="1"/>
    <col min="4354" max="4354" width="11" customWidth="1"/>
    <col min="4355" max="4355" width="7" customWidth="1"/>
    <col min="4356" max="4356" width="5.453125" customWidth="1"/>
    <col min="4357" max="4357" width="10.1796875" customWidth="1"/>
    <col min="4358" max="4358" width="10.36328125" customWidth="1"/>
    <col min="4359" max="4359" width="11.6328125" customWidth="1"/>
    <col min="4360" max="4360" width="10.453125" customWidth="1"/>
    <col min="4361" max="4361" width="11.36328125" customWidth="1"/>
    <col min="4362" max="4362" width="10.6328125" customWidth="1"/>
    <col min="4363" max="4363" width="12" customWidth="1"/>
    <col min="4364" max="4364" width="11.36328125" customWidth="1"/>
    <col min="4365" max="4365" width="9.81640625" bestFit="1" customWidth="1"/>
    <col min="4366" max="4608" width="8.81640625" customWidth="1"/>
    <col min="4609" max="4609" width="20.36328125" customWidth="1"/>
    <col min="4610" max="4610" width="11" customWidth="1"/>
    <col min="4611" max="4611" width="7" customWidth="1"/>
    <col min="4612" max="4612" width="5.453125" customWidth="1"/>
    <col min="4613" max="4613" width="10.1796875" customWidth="1"/>
    <col min="4614" max="4614" width="10.36328125" customWidth="1"/>
    <col min="4615" max="4615" width="11.6328125" customWidth="1"/>
    <col min="4616" max="4616" width="10.453125" customWidth="1"/>
    <col min="4617" max="4617" width="11.36328125" customWidth="1"/>
    <col min="4618" max="4618" width="10.6328125" customWidth="1"/>
    <col min="4619" max="4619" width="12" customWidth="1"/>
    <col min="4620" max="4620" width="11.36328125" customWidth="1"/>
    <col min="4621" max="4621" width="9.81640625" bestFit="1" customWidth="1"/>
    <col min="4622" max="4864" width="8.81640625" customWidth="1"/>
    <col min="4865" max="4865" width="20.36328125" customWidth="1"/>
    <col min="4866" max="4866" width="11" customWidth="1"/>
    <col min="4867" max="4867" width="7" customWidth="1"/>
    <col min="4868" max="4868" width="5.453125" customWidth="1"/>
    <col min="4869" max="4869" width="10.1796875" customWidth="1"/>
    <col min="4870" max="4870" width="10.36328125" customWidth="1"/>
    <col min="4871" max="4871" width="11.6328125" customWidth="1"/>
    <col min="4872" max="4872" width="10.453125" customWidth="1"/>
    <col min="4873" max="4873" width="11.36328125" customWidth="1"/>
    <col min="4874" max="4874" width="10.6328125" customWidth="1"/>
    <col min="4875" max="4875" width="12" customWidth="1"/>
    <col min="4876" max="4876" width="11.36328125" customWidth="1"/>
    <col min="4877" max="4877" width="9.81640625" bestFit="1" customWidth="1"/>
    <col min="4878" max="5120" width="8.81640625" customWidth="1"/>
    <col min="5121" max="5121" width="20.36328125" customWidth="1"/>
    <col min="5122" max="5122" width="11" customWidth="1"/>
    <col min="5123" max="5123" width="7" customWidth="1"/>
    <col min="5124" max="5124" width="5.453125" customWidth="1"/>
    <col min="5125" max="5125" width="10.1796875" customWidth="1"/>
    <col min="5126" max="5126" width="10.36328125" customWidth="1"/>
    <col min="5127" max="5127" width="11.6328125" customWidth="1"/>
    <col min="5128" max="5128" width="10.453125" customWidth="1"/>
    <col min="5129" max="5129" width="11.36328125" customWidth="1"/>
    <col min="5130" max="5130" width="10.6328125" customWidth="1"/>
    <col min="5131" max="5131" width="12" customWidth="1"/>
    <col min="5132" max="5132" width="11.36328125" customWidth="1"/>
    <col min="5133" max="5133" width="9.81640625" bestFit="1" customWidth="1"/>
    <col min="5134" max="5376" width="8.81640625" customWidth="1"/>
    <col min="5377" max="5377" width="20.36328125" customWidth="1"/>
    <col min="5378" max="5378" width="11" customWidth="1"/>
    <col min="5379" max="5379" width="7" customWidth="1"/>
    <col min="5380" max="5380" width="5.453125" customWidth="1"/>
    <col min="5381" max="5381" width="10.1796875" customWidth="1"/>
    <col min="5382" max="5382" width="10.36328125" customWidth="1"/>
    <col min="5383" max="5383" width="11.6328125" customWidth="1"/>
    <col min="5384" max="5384" width="10.453125" customWidth="1"/>
    <col min="5385" max="5385" width="11.36328125" customWidth="1"/>
    <col min="5386" max="5386" width="10.6328125" customWidth="1"/>
    <col min="5387" max="5387" width="12" customWidth="1"/>
    <col min="5388" max="5388" width="11.36328125" customWidth="1"/>
    <col min="5389" max="5389" width="9.81640625" bestFit="1" customWidth="1"/>
    <col min="5390" max="5632" width="8.81640625" customWidth="1"/>
    <col min="5633" max="5633" width="20.36328125" customWidth="1"/>
    <col min="5634" max="5634" width="11" customWidth="1"/>
    <col min="5635" max="5635" width="7" customWidth="1"/>
    <col min="5636" max="5636" width="5.453125" customWidth="1"/>
    <col min="5637" max="5637" width="10.1796875" customWidth="1"/>
    <col min="5638" max="5638" width="10.36328125" customWidth="1"/>
    <col min="5639" max="5639" width="11.6328125" customWidth="1"/>
    <col min="5640" max="5640" width="10.453125" customWidth="1"/>
    <col min="5641" max="5641" width="11.36328125" customWidth="1"/>
    <col min="5642" max="5642" width="10.6328125" customWidth="1"/>
    <col min="5643" max="5643" width="12" customWidth="1"/>
    <col min="5644" max="5644" width="11.36328125" customWidth="1"/>
    <col min="5645" max="5645" width="9.81640625" bestFit="1" customWidth="1"/>
    <col min="5646" max="5888" width="8.81640625" customWidth="1"/>
    <col min="5889" max="5889" width="20.36328125" customWidth="1"/>
    <col min="5890" max="5890" width="11" customWidth="1"/>
    <col min="5891" max="5891" width="7" customWidth="1"/>
    <col min="5892" max="5892" width="5.453125" customWidth="1"/>
    <col min="5893" max="5893" width="10.1796875" customWidth="1"/>
    <col min="5894" max="5894" width="10.36328125" customWidth="1"/>
    <col min="5895" max="5895" width="11.6328125" customWidth="1"/>
    <col min="5896" max="5896" width="10.453125" customWidth="1"/>
    <col min="5897" max="5897" width="11.36328125" customWidth="1"/>
    <col min="5898" max="5898" width="10.6328125" customWidth="1"/>
    <col min="5899" max="5899" width="12" customWidth="1"/>
    <col min="5900" max="5900" width="11.36328125" customWidth="1"/>
    <col min="5901" max="5901" width="9.81640625" bestFit="1" customWidth="1"/>
    <col min="5902" max="6144" width="8.81640625" customWidth="1"/>
    <col min="6145" max="6145" width="20.36328125" customWidth="1"/>
    <col min="6146" max="6146" width="11" customWidth="1"/>
    <col min="6147" max="6147" width="7" customWidth="1"/>
    <col min="6148" max="6148" width="5.453125" customWidth="1"/>
    <col min="6149" max="6149" width="10.1796875" customWidth="1"/>
    <col min="6150" max="6150" width="10.36328125" customWidth="1"/>
    <col min="6151" max="6151" width="11.6328125" customWidth="1"/>
    <col min="6152" max="6152" width="10.453125" customWidth="1"/>
    <col min="6153" max="6153" width="11.36328125" customWidth="1"/>
    <col min="6154" max="6154" width="10.6328125" customWidth="1"/>
    <col min="6155" max="6155" width="12" customWidth="1"/>
    <col min="6156" max="6156" width="11.36328125" customWidth="1"/>
    <col min="6157" max="6157" width="9.81640625" bestFit="1" customWidth="1"/>
    <col min="6158" max="6400" width="8.81640625" customWidth="1"/>
    <col min="6401" max="6401" width="20.36328125" customWidth="1"/>
    <col min="6402" max="6402" width="11" customWidth="1"/>
    <col min="6403" max="6403" width="7" customWidth="1"/>
    <col min="6404" max="6404" width="5.453125" customWidth="1"/>
    <col min="6405" max="6405" width="10.1796875" customWidth="1"/>
    <col min="6406" max="6406" width="10.36328125" customWidth="1"/>
    <col min="6407" max="6407" width="11.6328125" customWidth="1"/>
    <col min="6408" max="6408" width="10.453125" customWidth="1"/>
    <col min="6409" max="6409" width="11.36328125" customWidth="1"/>
    <col min="6410" max="6410" width="10.6328125" customWidth="1"/>
    <col min="6411" max="6411" width="12" customWidth="1"/>
    <col min="6412" max="6412" width="11.36328125" customWidth="1"/>
    <col min="6413" max="6413" width="9.81640625" bestFit="1" customWidth="1"/>
    <col min="6414" max="6656" width="8.81640625" customWidth="1"/>
    <col min="6657" max="6657" width="20.36328125" customWidth="1"/>
    <col min="6658" max="6658" width="11" customWidth="1"/>
    <col min="6659" max="6659" width="7" customWidth="1"/>
    <col min="6660" max="6660" width="5.453125" customWidth="1"/>
    <col min="6661" max="6661" width="10.1796875" customWidth="1"/>
    <col min="6662" max="6662" width="10.36328125" customWidth="1"/>
    <col min="6663" max="6663" width="11.6328125" customWidth="1"/>
    <col min="6664" max="6664" width="10.453125" customWidth="1"/>
    <col min="6665" max="6665" width="11.36328125" customWidth="1"/>
    <col min="6666" max="6666" width="10.6328125" customWidth="1"/>
    <col min="6667" max="6667" width="12" customWidth="1"/>
    <col min="6668" max="6668" width="11.36328125" customWidth="1"/>
    <col min="6669" max="6669" width="9.81640625" bestFit="1" customWidth="1"/>
    <col min="6670" max="6912" width="8.81640625" customWidth="1"/>
    <col min="6913" max="6913" width="20.36328125" customWidth="1"/>
    <col min="6914" max="6914" width="11" customWidth="1"/>
    <col min="6915" max="6915" width="7" customWidth="1"/>
    <col min="6916" max="6916" width="5.453125" customWidth="1"/>
    <col min="6917" max="6917" width="10.1796875" customWidth="1"/>
    <col min="6918" max="6918" width="10.36328125" customWidth="1"/>
    <col min="6919" max="6919" width="11.6328125" customWidth="1"/>
    <col min="6920" max="6920" width="10.453125" customWidth="1"/>
    <col min="6921" max="6921" width="11.36328125" customWidth="1"/>
    <col min="6922" max="6922" width="10.6328125" customWidth="1"/>
    <col min="6923" max="6923" width="12" customWidth="1"/>
    <col min="6924" max="6924" width="11.36328125" customWidth="1"/>
    <col min="6925" max="6925" width="9.81640625" bestFit="1" customWidth="1"/>
    <col min="6926" max="7168" width="8.81640625" customWidth="1"/>
    <col min="7169" max="7169" width="20.36328125" customWidth="1"/>
    <col min="7170" max="7170" width="11" customWidth="1"/>
    <col min="7171" max="7171" width="7" customWidth="1"/>
    <col min="7172" max="7172" width="5.453125" customWidth="1"/>
    <col min="7173" max="7173" width="10.1796875" customWidth="1"/>
    <col min="7174" max="7174" width="10.36328125" customWidth="1"/>
    <col min="7175" max="7175" width="11.6328125" customWidth="1"/>
    <col min="7176" max="7176" width="10.453125" customWidth="1"/>
    <col min="7177" max="7177" width="11.36328125" customWidth="1"/>
    <col min="7178" max="7178" width="10.6328125" customWidth="1"/>
    <col min="7179" max="7179" width="12" customWidth="1"/>
    <col min="7180" max="7180" width="11.36328125" customWidth="1"/>
    <col min="7181" max="7181" width="9.81640625" bestFit="1" customWidth="1"/>
    <col min="7182" max="7424" width="8.81640625" customWidth="1"/>
    <col min="7425" max="7425" width="20.36328125" customWidth="1"/>
    <col min="7426" max="7426" width="11" customWidth="1"/>
    <col min="7427" max="7427" width="7" customWidth="1"/>
    <col min="7428" max="7428" width="5.453125" customWidth="1"/>
    <col min="7429" max="7429" width="10.1796875" customWidth="1"/>
    <col min="7430" max="7430" width="10.36328125" customWidth="1"/>
    <col min="7431" max="7431" width="11.6328125" customWidth="1"/>
    <col min="7432" max="7432" width="10.453125" customWidth="1"/>
    <col min="7433" max="7433" width="11.36328125" customWidth="1"/>
    <col min="7434" max="7434" width="10.6328125" customWidth="1"/>
    <col min="7435" max="7435" width="12" customWidth="1"/>
    <col min="7436" max="7436" width="11.36328125" customWidth="1"/>
    <col min="7437" max="7437" width="9.81640625" bestFit="1" customWidth="1"/>
    <col min="7438" max="7680" width="8.81640625" customWidth="1"/>
    <col min="7681" max="7681" width="20.36328125" customWidth="1"/>
    <col min="7682" max="7682" width="11" customWidth="1"/>
    <col min="7683" max="7683" width="7" customWidth="1"/>
    <col min="7684" max="7684" width="5.453125" customWidth="1"/>
    <col min="7685" max="7685" width="10.1796875" customWidth="1"/>
    <col min="7686" max="7686" width="10.36328125" customWidth="1"/>
    <col min="7687" max="7687" width="11.6328125" customWidth="1"/>
    <col min="7688" max="7688" width="10.453125" customWidth="1"/>
    <col min="7689" max="7689" width="11.36328125" customWidth="1"/>
    <col min="7690" max="7690" width="10.6328125" customWidth="1"/>
    <col min="7691" max="7691" width="12" customWidth="1"/>
    <col min="7692" max="7692" width="11.36328125" customWidth="1"/>
    <col min="7693" max="7693" width="9.81640625" bestFit="1" customWidth="1"/>
    <col min="7694" max="7936" width="8.81640625" customWidth="1"/>
    <col min="7937" max="7937" width="20.36328125" customWidth="1"/>
    <col min="7938" max="7938" width="11" customWidth="1"/>
    <col min="7939" max="7939" width="7" customWidth="1"/>
    <col min="7940" max="7940" width="5.453125" customWidth="1"/>
    <col min="7941" max="7941" width="10.1796875" customWidth="1"/>
    <col min="7942" max="7942" width="10.36328125" customWidth="1"/>
    <col min="7943" max="7943" width="11.6328125" customWidth="1"/>
    <col min="7944" max="7944" width="10.453125" customWidth="1"/>
    <col min="7945" max="7945" width="11.36328125" customWidth="1"/>
    <col min="7946" max="7946" width="10.6328125" customWidth="1"/>
    <col min="7947" max="7947" width="12" customWidth="1"/>
    <col min="7948" max="7948" width="11.36328125" customWidth="1"/>
    <col min="7949" max="7949" width="9.81640625" bestFit="1" customWidth="1"/>
    <col min="7950" max="8192" width="8.81640625" customWidth="1"/>
    <col min="8193" max="8193" width="20.36328125" customWidth="1"/>
    <col min="8194" max="8194" width="11" customWidth="1"/>
    <col min="8195" max="8195" width="7" customWidth="1"/>
    <col min="8196" max="8196" width="5.453125" customWidth="1"/>
    <col min="8197" max="8197" width="10.1796875" customWidth="1"/>
    <col min="8198" max="8198" width="10.36328125" customWidth="1"/>
    <col min="8199" max="8199" width="11.6328125" customWidth="1"/>
    <col min="8200" max="8200" width="10.453125" customWidth="1"/>
    <col min="8201" max="8201" width="11.36328125" customWidth="1"/>
    <col min="8202" max="8202" width="10.6328125" customWidth="1"/>
    <col min="8203" max="8203" width="12" customWidth="1"/>
    <col min="8204" max="8204" width="11.36328125" customWidth="1"/>
    <col min="8205" max="8205" width="9.81640625" bestFit="1" customWidth="1"/>
    <col min="8206" max="8448" width="8.81640625" customWidth="1"/>
    <col min="8449" max="8449" width="20.36328125" customWidth="1"/>
    <col min="8450" max="8450" width="11" customWidth="1"/>
    <col min="8451" max="8451" width="7" customWidth="1"/>
    <col min="8452" max="8452" width="5.453125" customWidth="1"/>
    <col min="8453" max="8453" width="10.1796875" customWidth="1"/>
    <col min="8454" max="8454" width="10.36328125" customWidth="1"/>
    <col min="8455" max="8455" width="11.6328125" customWidth="1"/>
    <col min="8456" max="8456" width="10.453125" customWidth="1"/>
    <col min="8457" max="8457" width="11.36328125" customWidth="1"/>
    <col min="8458" max="8458" width="10.6328125" customWidth="1"/>
    <col min="8459" max="8459" width="12" customWidth="1"/>
    <col min="8460" max="8460" width="11.36328125" customWidth="1"/>
    <col min="8461" max="8461" width="9.81640625" bestFit="1" customWidth="1"/>
    <col min="8462" max="8704" width="8.81640625" customWidth="1"/>
    <col min="8705" max="8705" width="20.36328125" customWidth="1"/>
    <col min="8706" max="8706" width="11" customWidth="1"/>
    <col min="8707" max="8707" width="7" customWidth="1"/>
    <col min="8708" max="8708" width="5.453125" customWidth="1"/>
    <col min="8709" max="8709" width="10.1796875" customWidth="1"/>
    <col min="8710" max="8710" width="10.36328125" customWidth="1"/>
    <col min="8711" max="8711" width="11.6328125" customWidth="1"/>
    <col min="8712" max="8712" width="10.453125" customWidth="1"/>
    <col min="8713" max="8713" width="11.36328125" customWidth="1"/>
    <col min="8714" max="8714" width="10.6328125" customWidth="1"/>
    <col min="8715" max="8715" width="12" customWidth="1"/>
    <col min="8716" max="8716" width="11.36328125" customWidth="1"/>
    <col min="8717" max="8717" width="9.81640625" bestFit="1" customWidth="1"/>
    <col min="8718" max="8960" width="8.81640625" customWidth="1"/>
    <col min="8961" max="8961" width="20.36328125" customWidth="1"/>
    <col min="8962" max="8962" width="11" customWidth="1"/>
    <col min="8963" max="8963" width="7" customWidth="1"/>
    <col min="8964" max="8964" width="5.453125" customWidth="1"/>
    <col min="8965" max="8965" width="10.1796875" customWidth="1"/>
    <col min="8966" max="8966" width="10.36328125" customWidth="1"/>
    <col min="8967" max="8967" width="11.6328125" customWidth="1"/>
    <col min="8968" max="8968" width="10.453125" customWidth="1"/>
    <col min="8969" max="8969" width="11.36328125" customWidth="1"/>
    <col min="8970" max="8970" width="10.6328125" customWidth="1"/>
    <col min="8971" max="8971" width="12" customWidth="1"/>
    <col min="8972" max="8972" width="11.36328125" customWidth="1"/>
    <col min="8973" max="8973" width="9.81640625" bestFit="1" customWidth="1"/>
    <col min="8974" max="9216" width="8.81640625" customWidth="1"/>
    <col min="9217" max="9217" width="20.36328125" customWidth="1"/>
    <col min="9218" max="9218" width="11" customWidth="1"/>
    <col min="9219" max="9219" width="7" customWidth="1"/>
    <col min="9220" max="9220" width="5.453125" customWidth="1"/>
    <col min="9221" max="9221" width="10.1796875" customWidth="1"/>
    <col min="9222" max="9222" width="10.36328125" customWidth="1"/>
    <col min="9223" max="9223" width="11.6328125" customWidth="1"/>
    <col min="9224" max="9224" width="10.453125" customWidth="1"/>
    <col min="9225" max="9225" width="11.36328125" customWidth="1"/>
    <col min="9226" max="9226" width="10.6328125" customWidth="1"/>
    <col min="9227" max="9227" width="12" customWidth="1"/>
    <col min="9228" max="9228" width="11.36328125" customWidth="1"/>
    <col min="9229" max="9229" width="9.81640625" bestFit="1" customWidth="1"/>
    <col min="9230" max="9472" width="8.81640625" customWidth="1"/>
    <col min="9473" max="9473" width="20.36328125" customWidth="1"/>
    <col min="9474" max="9474" width="11" customWidth="1"/>
    <col min="9475" max="9475" width="7" customWidth="1"/>
    <col min="9476" max="9476" width="5.453125" customWidth="1"/>
    <col min="9477" max="9477" width="10.1796875" customWidth="1"/>
    <col min="9478" max="9478" width="10.36328125" customWidth="1"/>
    <col min="9479" max="9479" width="11.6328125" customWidth="1"/>
    <col min="9480" max="9480" width="10.453125" customWidth="1"/>
    <col min="9481" max="9481" width="11.36328125" customWidth="1"/>
    <col min="9482" max="9482" width="10.6328125" customWidth="1"/>
    <col min="9483" max="9483" width="12" customWidth="1"/>
    <col min="9484" max="9484" width="11.36328125" customWidth="1"/>
    <col min="9485" max="9485" width="9.81640625" bestFit="1" customWidth="1"/>
    <col min="9486" max="9728" width="8.81640625" customWidth="1"/>
    <col min="9729" max="9729" width="20.36328125" customWidth="1"/>
    <col min="9730" max="9730" width="11" customWidth="1"/>
    <col min="9731" max="9731" width="7" customWidth="1"/>
    <col min="9732" max="9732" width="5.453125" customWidth="1"/>
    <col min="9733" max="9733" width="10.1796875" customWidth="1"/>
    <col min="9734" max="9734" width="10.36328125" customWidth="1"/>
    <col min="9735" max="9735" width="11.6328125" customWidth="1"/>
    <col min="9736" max="9736" width="10.453125" customWidth="1"/>
    <col min="9737" max="9737" width="11.36328125" customWidth="1"/>
    <col min="9738" max="9738" width="10.6328125" customWidth="1"/>
    <col min="9739" max="9739" width="12" customWidth="1"/>
    <col min="9740" max="9740" width="11.36328125" customWidth="1"/>
    <col min="9741" max="9741" width="9.81640625" bestFit="1" customWidth="1"/>
    <col min="9742" max="9984" width="8.81640625" customWidth="1"/>
    <col min="9985" max="9985" width="20.36328125" customWidth="1"/>
    <col min="9986" max="9986" width="11" customWidth="1"/>
    <col min="9987" max="9987" width="7" customWidth="1"/>
    <col min="9988" max="9988" width="5.453125" customWidth="1"/>
    <col min="9989" max="9989" width="10.1796875" customWidth="1"/>
    <col min="9990" max="9990" width="10.36328125" customWidth="1"/>
    <col min="9991" max="9991" width="11.6328125" customWidth="1"/>
    <col min="9992" max="9992" width="10.453125" customWidth="1"/>
    <col min="9993" max="9993" width="11.36328125" customWidth="1"/>
    <col min="9994" max="9994" width="10.6328125" customWidth="1"/>
    <col min="9995" max="9995" width="12" customWidth="1"/>
    <col min="9996" max="9996" width="11.36328125" customWidth="1"/>
    <col min="9997" max="9997" width="9.81640625" bestFit="1" customWidth="1"/>
    <col min="9998" max="10240" width="8.81640625" customWidth="1"/>
    <col min="10241" max="10241" width="20.36328125" customWidth="1"/>
    <col min="10242" max="10242" width="11" customWidth="1"/>
    <col min="10243" max="10243" width="7" customWidth="1"/>
    <col min="10244" max="10244" width="5.453125" customWidth="1"/>
    <col min="10245" max="10245" width="10.1796875" customWidth="1"/>
    <col min="10246" max="10246" width="10.36328125" customWidth="1"/>
    <col min="10247" max="10247" width="11.6328125" customWidth="1"/>
    <col min="10248" max="10248" width="10.453125" customWidth="1"/>
    <col min="10249" max="10249" width="11.36328125" customWidth="1"/>
    <col min="10250" max="10250" width="10.6328125" customWidth="1"/>
    <col min="10251" max="10251" width="12" customWidth="1"/>
    <col min="10252" max="10252" width="11.36328125" customWidth="1"/>
    <col min="10253" max="10253" width="9.81640625" bestFit="1" customWidth="1"/>
    <col min="10254" max="10496" width="8.81640625" customWidth="1"/>
    <col min="10497" max="10497" width="20.36328125" customWidth="1"/>
    <col min="10498" max="10498" width="11" customWidth="1"/>
    <col min="10499" max="10499" width="7" customWidth="1"/>
    <col min="10500" max="10500" width="5.453125" customWidth="1"/>
    <col min="10501" max="10501" width="10.1796875" customWidth="1"/>
    <col min="10502" max="10502" width="10.36328125" customWidth="1"/>
    <col min="10503" max="10503" width="11.6328125" customWidth="1"/>
    <col min="10504" max="10504" width="10.453125" customWidth="1"/>
    <col min="10505" max="10505" width="11.36328125" customWidth="1"/>
    <col min="10506" max="10506" width="10.6328125" customWidth="1"/>
    <col min="10507" max="10507" width="12" customWidth="1"/>
    <col min="10508" max="10508" width="11.36328125" customWidth="1"/>
    <col min="10509" max="10509" width="9.81640625" bestFit="1" customWidth="1"/>
    <col min="10510" max="10752" width="8.81640625" customWidth="1"/>
    <col min="10753" max="10753" width="20.36328125" customWidth="1"/>
    <col min="10754" max="10754" width="11" customWidth="1"/>
    <col min="10755" max="10755" width="7" customWidth="1"/>
    <col min="10756" max="10756" width="5.453125" customWidth="1"/>
    <col min="10757" max="10757" width="10.1796875" customWidth="1"/>
    <col min="10758" max="10758" width="10.36328125" customWidth="1"/>
    <col min="10759" max="10759" width="11.6328125" customWidth="1"/>
    <col min="10760" max="10760" width="10.453125" customWidth="1"/>
    <col min="10761" max="10761" width="11.36328125" customWidth="1"/>
    <col min="10762" max="10762" width="10.6328125" customWidth="1"/>
    <col min="10763" max="10763" width="12" customWidth="1"/>
    <col min="10764" max="10764" width="11.36328125" customWidth="1"/>
    <col min="10765" max="10765" width="9.81640625" bestFit="1" customWidth="1"/>
    <col min="10766" max="11008" width="8.81640625" customWidth="1"/>
    <col min="11009" max="11009" width="20.36328125" customWidth="1"/>
    <col min="11010" max="11010" width="11" customWidth="1"/>
    <col min="11011" max="11011" width="7" customWidth="1"/>
    <col min="11012" max="11012" width="5.453125" customWidth="1"/>
    <col min="11013" max="11013" width="10.1796875" customWidth="1"/>
    <col min="11014" max="11014" width="10.36328125" customWidth="1"/>
    <col min="11015" max="11015" width="11.6328125" customWidth="1"/>
    <col min="11016" max="11016" width="10.453125" customWidth="1"/>
    <col min="11017" max="11017" width="11.36328125" customWidth="1"/>
    <col min="11018" max="11018" width="10.6328125" customWidth="1"/>
    <col min="11019" max="11019" width="12" customWidth="1"/>
    <col min="11020" max="11020" width="11.36328125" customWidth="1"/>
    <col min="11021" max="11021" width="9.81640625" bestFit="1" customWidth="1"/>
    <col min="11022" max="11264" width="8.81640625" customWidth="1"/>
    <col min="11265" max="11265" width="20.36328125" customWidth="1"/>
    <col min="11266" max="11266" width="11" customWidth="1"/>
    <col min="11267" max="11267" width="7" customWidth="1"/>
    <col min="11268" max="11268" width="5.453125" customWidth="1"/>
    <col min="11269" max="11269" width="10.1796875" customWidth="1"/>
    <col min="11270" max="11270" width="10.36328125" customWidth="1"/>
    <col min="11271" max="11271" width="11.6328125" customWidth="1"/>
    <col min="11272" max="11272" width="10.453125" customWidth="1"/>
    <col min="11273" max="11273" width="11.36328125" customWidth="1"/>
    <col min="11274" max="11274" width="10.6328125" customWidth="1"/>
    <col min="11275" max="11275" width="12" customWidth="1"/>
    <col min="11276" max="11276" width="11.36328125" customWidth="1"/>
    <col min="11277" max="11277" width="9.81640625" bestFit="1" customWidth="1"/>
    <col min="11278" max="11520" width="8.81640625" customWidth="1"/>
    <col min="11521" max="11521" width="20.36328125" customWidth="1"/>
    <col min="11522" max="11522" width="11" customWidth="1"/>
    <col min="11523" max="11523" width="7" customWidth="1"/>
    <col min="11524" max="11524" width="5.453125" customWidth="1"/>
    <col min="11525" max="11525" width="10.1796875" customWidth="1"/>
    <col min="11526" max="11526" width="10.36328125" customWidth="1"/>
    <col min="11527" max="11527" width="11.6328125" customWidth="1"/>
    <col min="11528" max="11528" width="10.453125" customWidth="1"/>
    <col min="11529" max="11529" width="11.36328125" customWidth="1"/>
    <col min="11530" max="11530" width="10.6328125" customWidth="1"/>
    <col min="11531" max="11531" width="12" customWidth="1"/>
    <col min="11532" max="11532" width="11.36328125" customWidth="1"/>
    <col min="11533" max="11533" width="9.81640625" bestFit="1" customWidth="1"/>
    <col min="11534" max="11776" width="8.81640625" customWidth="1"/>
    <col min="11777" max="11777" width="20.36328125" customWidth="1"/>
    <col min="11778" max="11778" width="11" customWidth="1"/>
    <col min="11779" max="11779" width="7" customWidth="1"/>
    <col min="11780" max="11780" width="5.453125" customWidth="1"/>
    <col min="11781" max="11781" width="10.1796875" customWidth="1"/>
    <col min="11782" max="11782" width="10.36328125" customWidth="1"/>
    <col min="11783" max="11783" width="11.6328125" customWidth="1"/>
    <col min="11784" max="11784" width="10.453125" customWidth="1"/>
    <col min="11785" max="11785" width="11.36328125" customWidth="1"/>
    <col min="11786" max="11786" width="10.6328125" customWidth="1"/>
    <col min="11787" max="11787" width="12" customWidth="1"/>
    <col min="11788" max="11788" width="11.36328125" customWidth="1"/>
    <col min="11789" max="11789" width="9.81640625" bestFit="1" customWidth="1"/>
    <col min="11790" max="12032" width="8.81640625" customWidth="1"/>
    <col min="12033" max="12033" width="20.36328125" customWidth="1"/>
    <col min="12034" max="12034" width="11" customWidth="1"/>
    <col min="12035" max="12035" width="7" customWidth="1"/>
    <col min="12036" max="12036" width="5.453125" customWidth="1"/>
    <col min="12037" max="12037" width="10.1796875" customWidth="1"/>
    <col min="12038" max="12038" width="10.36328125" customWidth="1"/>
    <col min="12039" max="12039" width="11.6328125" customWidth="1"/>
    <col min="12040" max="12040" width="10.453125" customWidth="1"/>
    <col min="12041" max="12041" width="11.36328125" customWidth="1"/>
    <col min="12042" max="12042" width="10.6328125" customWidth="1"/>
    <col min="12043" max="12043" width="12" customWidth="1"/>
    <col min="12044" max="12044" width="11.36328125" customWidth="1"/>
    <col min="12045" max="12045" width="9.81640625" bestFit="1" customWidth="1"/>
    <col min="12046" max="12288" width="8.81640625" customWidth="1"/>
    <col min="12289" max="12289" width="20.36328125" customWidth="1"/>
    <col min="12290" max="12290" width="11" customWidth="1"/>
    <col min="12291" max="12291" width="7" customWidth="1"/>
    <col min="12292" max="12292" width="5.453125" customWidth="1"/>
    <col min="12293" max="12293" width="10.1796875" customWidth="1"/>
    <col min="12294" max="12294" width="10.36328125" customWidth="1"/>
    <col min="12295" max="12295" width="11.6328125" customWidth="1"/>
    <col min="12296" max="12296" width="10.453125" customWidth="1"/>
    <col min="12297" max="12297" width="11.36328125" customWidth="1"/>
    <col min="12298" max="12298" width="10.6328125" customWidth="1"/>
    <col min="12299" max="12299" width="12" customWidth="1"/>
    <col min="12300" max="12300" width="11.36328125" customWidth="1"/>
    <col min="12301" max="12301" width="9.81640625" bestFit="1" customWidth="1"/>
    <col min="12302" max="12544" width="8.81640625" customWidth="1"/>
    <col min="12545" max="12545" width="20.36328125" customWidth="1"/>
    <col min="12546" max="12546" width="11" customWidth="1"/>
    <col min="12547" max="12547" width="7" customWidth="1"/>
    <col min="12548" max="12548" width="5.453125" customWidth="1"/>
    <col min="12549" max="12549" width="10.1796875" customWidth="1"/>
    <col min="12550" max="12550" width="10.36328125" customWidth="1"/>
    <col min="12551" max="12551" width="11.6328125" customWidth="1"/>
    <col min="12552" max="12552" width="10.453125" customWidth="1"/>
    <col min="12553" max="12553" width="11.36328125" customWidth="1"/>
    <col min="12554" max="12554" width="10.6328125" customWidth="1"/>
    <col min="12555" max="12555" width="12" customWidth="1"/>
    <col min="12556" max="12556" width="11.36328125" customWidth="1"/>
    <col min="12557" max="12557" width="9.81640625" bestFit="1" customWidth="1"/>
    <col min="12558" max="12800" width="8.81640625" customWidth="1"/>
    <col min="12801" max="12801" width="20.36328125" customWidth="1"/>
    <col min="12802" max="12802" width="11" customWidth="1"/>
    <col min="12803" max="12803" width="7" customWidth="1"/>
    <col min="12804" max="12804" width="5.453125" customWidth="1"/>
    <col min="12805" max="12805" width="10.1796875" customWidth="1"/>
    <col min="12806" max="12806" width="10.36328125" customWidth="1"/>
    <col min="12807" max="12807" width="11.6328125" customWidth="1"/>
    <col min="12808" max="12808" width="10.453125" customWidth="1"/>
    <col min="12809" max="12809" width="11.36328125" customWidth="1"/>
    <col min="12810" max="12810" width="10.6328125" customWidth="1"/>
    <col min="12811" max="12811" width="12" customWidth="1"/>
    <col min="12812" max="12812" width="11.36328125" customWidth="1"/>
    <col min="12813" max="12813" width="9.81640625" bestFit="1" customWidth="1"/>
    <col min="12814" max="13056" width="8.81640625" customWidth="1"/>
    <col min="13057" max="13057" width="20.36328125" customWidth="1"/>
    <col min="13058" max="13058" width="11" customWidth="1"/>
    <col min="13059" max="13059" width="7" customWidth="1"/>
    <col min="13060" max="13060" width="5.453125" customWidth="1"/>
    <col min="13061" max="13061" width="10.1796875" customWidth="1"/>
    <col min="13062" max="13062" width="10.36328125" customWidth="1"/>
    <col min="13063" max="13063" width="11.6328125" customWidth="1"/>
    <col min="13064" max="13064" width="10.453125" customWidth="1"/>
    <col min="13065" max="13065" width="11.36328125" customWidth="1"/>
    <col min="13066" max="13066" width="10.6328125" customWidth="1"/>
    <col min="13067" max="13067" width="12" customWidth="1"/>
    <col min="13068" max="13068" width="11.36328125" customWidth="1"/>
    <col min="13069" max="13069" width="9.81640625" bestFit="1" customWidth="1"/>
    <col min="13070" max="13312" width="8.81640625" customWidth="1"/>
    <col min="13313" max="13313" width="20.36328125" customWidth="1"/>
    <col min="13314" max="13314" width="11" customWidth="1"/>
    <col min="13315" max="13315" width="7" customWidth="1"/>
    <col min="13316" max="13316" width="5.453125" customWidth="1"/>
    <col min="13317" max="13317" width="10.1796875" customWidth="1"/>
    <col min="13318" max="13318" width="10.36328125" customWidth="1"/>
    <col min="13319" max="13319" width="11.6328125" customWidth="1"/>
    <col min="13320" max="13320" width="10.453125" customWidth="1"/>
    <col min="13321" max="13321" width="11.36328125" customWidth="1"/>
    <col min="13322" max="13322" width="10.6328125" customWidth="1"/>
    <col min="13323" max="13323" width="12" customWidth="1"/>
    <col min="13324" max="13324" width="11.36328125" customWidth="1"/>
    <col min="13325" max="13325" width="9.81640625" bestFit="1" customWidth="1"/>
    <col min="13326" max="13568" width="8.81640625" customWidth="1"/>
    <col min="13569" max="13569" width="20.36328125" customWidth="1"/>
    <col min="13570" max="13570" width="11" customWidth="1"/>
    <col min="13571" max="13571" width="7" customWidth="1"/>
    <col min="13572" max="13572" width="5.453125" customWidth="1"/>
    <col min="13573" max="13573" width="10.1796875" customWidth="1"/>
    <col min="13574" max="13574" width="10.36328125" customWidth="1"/>
    <col min="13575" max="13575" width="11.6328125" customWidth="1"/>
    <col min="13576" max="13576" width="10.453125" customWidth="1"/>
    <col min="13577" max="13577" width="11.36328125" customWidth="1"/>
    <col min="13578" max="13578" width="10.6328125" customWidth="1"/>
    <col min="13579" max="13579" width="12" customWidth="1"/>
    <col min="13580" max="13580" width="11.36328125" customWidth="1"/>
    <col min="13581" max="13581" width="9.81640625" bestFit="1" customWidth="1"/>
    <col min="13582" max="13824" width="8.81640625" customWidth="1"/>
    <col min="13825" max="13825" width="20.36328125" customWidth="1"/>
    <col min="13826" max="13826" width="11" customWidth="1"/>
    <col min="13827" max="13827" width="7" customWidth="1"/>
    <col min="13828" max="13828" width="5.453125" customWidth="1"/>
    <col min="13829" max="13829" width="10.1796875" customWidth="1"/>
    <col min="13830" max="13830" width="10.36328125" customWidth="1"/>
    <col min="13831" max="13831" width="11.6328125" customWidth="1"/>
    <col min="13832" max="13832" width="10.453125" customWidth="1"/>
    <col min="13833" max="13833" width="11.36328125" customWidth="1"/>
    <col min="13834" max="13834" width="10.6328125" customWidth="1"/>
    <col min="13835" max="13835" width="12" customWidth="1"/>
    <col min="13836" max="13836" width="11.36328125" customWidth="1"/>
    <col min="13837" max="13837" width="9.81640625" bestFit="1" customWidth="1"/>
    <col min="13838" max="14080" width="8.81640625" customWidth="1"/>
    <col min="14081" max="14081" width="20.36328125" customWidth="1"/>
    <col min="14082" max="14082" width="11" customWidth="1"/>
    <col min="14083" max="14083" width="7" customWidth="1"/>
    <col min="14084" max="14084" width="5.453125" customWidth="1"/>
    <col min="14085" max="14085" width="10.1796875" customWidth="1"/>
    <col min="14086" max="14086" width="10.36328125" customWidth="1"/>
    <col min="14087" max="14087" width="11.6328125" customWidth="1"/>
    <col min="14088" max="14088" width="10.453125" customWidth="1"/>
    <col min="14089" max="14089" width="11.36328125" customWidth="1"/>
    <col min="14090" max="14090" width="10.6328125" customWidth="1"/>
    <col min="14091" max="14091" width="12" customWidth="1"/>
    <col min="14092" max="14092" width="11.36328125" customWidth="1"/>
    <col min="14093" max="14093" width="9.81640625" bestFit="1" customWidth="1"/>
    <col min="14094" max="14336" width="8.81640625" customWidth="1"/>
    <col min="14337" max="14337" width="20.36328125" customWidth="1"/>
    <col min="14338" max="14338" width="11" customWidth="1"/>
    <col min="14339" max="14339" width="7" customWidth="1"/>
    <col min="14340" max="14340" width="5.453125" customWidth="1"/>
    <col min="14341" max="14341" width="10.1796875" customWidth="1"/>
    <col min="14342" max="14342" width="10.36328125" customWidth="1"/>
    <col min="14343" max="14343" width="11.6328125" customWidth="1"/>
    <col min="14344" max="14344" width="10.453125" customWidth="1"/>
    <col min="14345" max="14345" width="11.36328125" customWidth="1"/>
    <col min="14346" max="14346" width="10.6328125" customWidth="1"/>
    <col min="14347" max="14347" width="12" customWidth="1"/>
    <col min="14348" max="14348" width="11.36328125" customWidth="1"/>
    <col min="14349" max="14349" width="9.81640625" bestFit="1" customWidth="1"/>
    <col min="14350" max="14592" width="8.81640625" customWidth="1"/>
    <col min="14593" max="14593" width="20.36328125" customWidth="1"/>
    <col min="14594" max="14594" width="11" customWidth="1"/>
    <col min="14595" max="14595" width="7" customWidth="1"/>
    <col min="14596" max="14596" width="5.453125" customWidth="1"/>
    <col min="14597" max="14597" width="10.1796875" customWidth="1"/>
    <col min="14598" max="14598" width="10.36328125" customWidth="1"/>
    <col min="14599" max="14599" width="11.6328125" customWidth="1"/>
    <col min="14600" max="14600" width="10.453125" customWidth="1"/>
    <col min="14601" max="14601" width="11.36328125" customWidth="1"/>
    <col min="14602" max="14602" width="10.6328125" customWidth="1"/>
    <col min="14603" max="14603" width="12" customWidth="1"/>
    <col min="14604" max="14604" width="11.36328125" customWidth="1"/>
    <col min="14605" max="14605" width="9.81640625" bestFit="1" customWidth="1"/>
    <col min="14606" max="14848" width="8.81640625" customWidth="1"/>
    <col min="14849" max="14849" width="20.36328125" customWidth="1"/>
    <col min="14850" max="14850" width="11" customWidth="1"/>
    <col min="14851" max="14851" width="7" customWidth="1"/>
    <col min="14852" max="14852" width="5.453125" customWidth="1"/>
    <col min="14853" max="14853" width="10.1796875" customWidth="1"/>
    <col min="14854" max="14854" width="10.36328125" customWidth="1"/>
    <col min="14855" max="14855" width="11.6328125" customWidth="1"/>
    <col min="14856" max="14856" width="10.453125" customWidth="1"/>
    <col min="14857" max="14857" width="11.36328125" customWidth="1"/>
    <col min="14858" max="14858" width="10.6328125" customWidth="1"/>
    <col min="14859" max="14859" width="12" customWidth="1"/>
    <col min="14860" max="14860" width="11.36328125" customWidth="1"/>
    <col min="14861" max="14861" width="9.81640625" bestFit="1" customWidth="1"/>
    <col min="14862" max="15104" width="8.81640625" customWidth="1"/>
    <col min="15105" max="15105" width="20.36328125" customWidth="1"/>
    <col min="15106" max="15106" width="11" customWidth="1"/>
    <col min="15107" max="15107" width="7" customWidth="1"/>
    <col min="15108" max="15108" width="5.453125" customWidth="1"/>
    <col min="15109" max="15109" width="10.1796875" customWidth="1"/>
    <col min="15110" max="15110" width="10.36328125" customWidth="1"/>
    <col min="15111" max="15111" width="11.6328125" customWidth="1"/>
    <col min="15112" max="15112" width="10.453125" customWidth="1"/>
    <col min="15113" max="15113" width="11.36328125" customWidth="1"/>
    <col min="15114" max="15114" width="10.6328125" customWidth="1"/>
    <col min="15115" max="15115" width="12" customWidth="1"/>
    <col min="15116" max="15116" width="11.36328125" customWidth="1"/>
    <col min="15117" max="15117" width="9.81640625" bestFit="1" customWidth="1"/>
    <col min="15118" max="15360" width="8.81640625" customWidth="1"/>
    <col min="15361" max="15361" width="20.36328125" customWidth="1"/>
    <col min="15362" max="15362" width="11" customWidth="1"/>
    <col min="15363" max="15363" width="7" customWidth="1"/>
    <col min="15364" max="15364" width="5.453125" customWidth="1"/>
    <col min="15365" max="15365" width="10.1796875" customWidth="1"/>
    <col min="15366" max="15366" width="10.36328125" customWidth="1"/>
    <col min="15367" max="15367" width="11.6328125" customWidth="1"/>
    <col min="15368" max="15368" width="10.453125" customWidth="1"/>
    <col min="15369" max="15369" width="11.36328125" customWidth="1"/>
    <col min="15370" max="15370" width="10.6328125" customWidth="1"/>
    <col min="15371" max="15371" width="12" customWidth="1"/>
    <col min="15372" max="15372" width="11.36328125" customWidth="1"/>
    <col min="15373" max="15373" width="9.81640625" bestFit="1" customWidth="1"/>
    <col min="15374" max="15616" width="8.81640625" customWidth="1"/>
    <col min="15617" max="15617" width="20.36328125" customWidth="1"/>
    <col min="15618" max="15618" width="11" customWidth="1"/>
    <col min="15619" max="15619" width="7" customWidth="1"/>
    <col min="15620" max="15620" width="5.453125" customWidth="1"/>
    <col min="15621" max="15621" width="10.1796875" customWidth="1"/>
    <col min="15622" max="15622" width="10.36328125" customWidth="1"/>
    <col min="15623" max="15623" width="11.6328125" customWidth="1"/>
    <col min="15624" max="15624" width="10.453125" customWidth="1"/>
    <col min="15625" max="15625" width="11.36328125" customWidth="1"/>
    <col min="15626" max="15626" width="10.6328125" customWidth="1"/>
    <col min="15627" max="15627" width="12" customWidth="1"/>
    <col min="15628" max="15628" width="11.36328125" customWidth="1"/>
    <col min="15629" max="15629" width="9.81640625" bestFit="1" customWidth="1"/>
    <col min="15630" max="15872" width="8.81640625" customWidth="1"/>
    <col min="15873" max="15873" width="20.36328125" customWidth="1"/>
    <col min="15874" max="15874" width="11" customWidth="1"/>
    <col min="15875" max="15875" width="7" customWidth="1"/>
    <col min="15876" max="15876" width="5.453125" customWidth="1"/>
    <col min="15877" max="15877" width="10.1796875" customWidth="1"/>
    <col min="15878" max="15878" width="10.36328125" customWidth="1"/>
    <col min="15879" max="15879" width="11.6328125" customWidth="1"/>
    <col min="15880" max="15880" width="10.453125" customWidth="1"/>
    <col min="15881" max="15881" width="11.36328125" customWidth="1"/>
    <col min="15882" max="15882" width="10.6328125" customWidth="1"/>
    <col min="15883" max="15883" width="12" customWidth="1"/>
    <col min="15884" max="15884" width="11.36328125" customWidth="1"/>
    <col min="15885" max="15885" width="9.81640625" bestFit="1" customWidth="1"/>
    <col min="15886" max="16128" width="8.81640625" customWidth="1"/>
    <col min="16129" max="16129" width="20.36328125" customWidth="1"/>
    <col min="16130" max="16130" width="11" customWidth="1"/>
    <col min="16131" max="16131" width="7" customWidth="1"/>
    <col min="16132" max="16132" width="5.453125" customWidth="1"/>
    <col min="16133" max="16133" width="10.1796875" customWidth="1"/>
    <col min="16134" max="16134" width="10.36328125" customWidth="1"/>
    <col min="16135" max="16135" width="11.6328125" customWidth="1"/>
    <col min="16136" max="16136" width="10.453125" customWidth="1"/>
    <col min="16137" max="16137" width="11.36328125" customWidth="1"/>
    <col min="16138" max="16138" width="10.6328125" customWidth="1"/>
    <col min="16139" max="16139" width="12" customWidth="1"/>
    <col min="16140" max="16140" width="11.36328125" customWidth="1"/>
    <col min="16141" max="16141" width="9.81640625" bestFit="1" customWidth="1"/>
    <col min="16142" max="16384" width="8.81640625" customWidth="1"/>
  </cols>
  <sheetData>
    <row r="1" spans="1:13" ht="17.5" x14ac:dyDescent="0.45">
      <c r="A1" s="1124"/>
      <c r="B1" s="1131" t="s">
        <v>1011</v>
      </c>
      <c r="C1" s="1131"/>
      <c r="D1" s="1131"/>
      <c r="E1" s="1131"/>
      <c r="F1" s="810"/>
      <c r="G1" s="810"/>
      <c r="H1" s="810" t="s">
        <v>1012</v>
      </c>
      <c r="I1" s="810"/>
      <c r="J1" s="810"/>
      <c r="K1" s="1132"/>
      <c r="L1" s="1132"/>
    </row>
    <row r="2" spans="1:13" ht="18" x14ac:dyDescent="0.4">
      <c r="A2" s="1124"/>
      <c r="B2" s="810" t="s">
        <v>138</v>
      </c>
      <c r="C2" s="810"/>
      <c r="D2" s="810"/>
      <c r="E2" s="810"/>
      <c r="F2" s="810"/>
      <c r="G2" s="810"/>
      <c r="H2" s="1133" t="s">
        <v>1013</v>
      </c>
      <c r="I2" s="1133"/>
      <c r="J2" s="1134"/>
      <c r="K2" s="1134"/>
      <c r="L2" s="1134"/>
    </row>
    <row r="3" spans="1:13" ht="18.5" hidden="1" x14ac:dyDescent="0.45">
      <c r="A3" s="1135"/>
      <c r="B3" s="1132"/>
      <c r="C3" s="1132"/>
      <c r="D3" s="1132"/>
      <c r="E3" s="1132"/>
      <c r="F3" s="1136"/>
      <c r="G3" s="1136"/>
      <c r="H3" s="1134"/>
      <c r="I3" s="1134"/>
      <c r="J3" s="1134"/>
      <c r="K3" s="1134"/>
      <c r="L3" s="1134"/>
    </row>
    <row r="4" spans="1:13" ht="25" x14ac:dyDescent="0.6">
      <c r="A4" s="109"/>
      <c r="B4" s="1137" t="s">
        <v>1163</v>
      </c>
      <c r="C4" s="1137"/>
      <c r="D4" s="1138"/>
      <c r="E4" s="1138"/>
      <c r="F4" s="1138"/>
      <c r="G4" s="1139"/>
      <c r="H4" s="1139"/>
      <c r="I4" s="1139"/>
      <c r="J4" s="1139"/>
      <c r="K4" s="1140"/>
      <c r="L4" s="1140"/>
    </row>
    <row r="5" spans="1:13" ht="21" x14ac:dyDescent="0.5">
      <c r="A5" s="454" t="s">
        <v>1164</v>
      </c>
      <c r="B5" s="1141"/>
      <c r="C5" s="1141"/>
      <c r="D5" s="1141" t="s">
        <v>1165</v>
      </c>
      <c r="E5" s="1141"/>
      <c r="F5" s="1141"/>
      <c r="G5" s="1142"/>
      <c r="H5" s="1142"/>
      <c r="I5" s="1143"/>
      <c r="J5" s="1143"/>
      <c r="K5" s="1144"/>
      <c r="L5" s="1144"/>
    </row>
    <row r="6" spans="1:13" ht="15" x14ac:dyDescent="0.25">
      <c r="D6" s="1145"/>
      <c r="E6" s="1146"/>
      <c r="F6" s="1146"/>
      <c r="G6" s="1146"/>
      <c r="H6" s="1146"/>
      <c r="I6" s="1146"/>
      <c r="J6" s="1146"/>
      <c r="K6" s="1"/>
    </row>
    <row r="7" spans="1:13" hidden="1" x14ac:dyDescent="0.25">
      <c r="E7" s="1"/>
      <c r="F7" s="1"/>
      <c r="G7" s="1"/>
      <c r="H7" s="1"/>
      <c r="I7" s="1"/>
      <c r="J7" s="1"/>
      <c r="K7" s="1"/>
    </row>
    <row r="8" spans="1:13" ht="34.5" x14ac:dyDescent="0.25">
      <c r="A8" s="1095" t="s">
        <v>1126</v>
      </c>
      <c r="B8" s="1096" t="s">
        <v>1127</v>
      </c>
      <c r="C8" s="1096" t="s">
        <v>1128</v>
      </c>
      <c r="D8" s="1096" t="s">
        <v>1129</v>
      </c>
      <c r="E8" s="1097" t="s">
        <v>1130</v>
      </c>
      <c r="F8" s="1097" t="s">
        <v>1131</v>
      </c>
      <c r="G8" s="1097" t="s">
        <v>1132</v>
      </c>
      <c r="H8" s="1097" t="s">
        <v>1133</v>
      </c>
      <c r="I8" s="1097" t="s">
        <v>1134</v>
      </c>
      <c r="J8" s="1097" t="s">
        <v>1135</v>
      </c>
      <c r="K8" s="1098" t="s">
        <v>1136</v>
      </c>
      <c r="L8" s="1097" t="s">
        <v>1137</v>
      </c>
    </row>
    <row r="9" spans="1:13" ht="13" x14ac:dyDescent="0.3">
      <c r="A9" s="1099"/>
      <c r="B9" s="1100"/>
      <c r="C9" s="1101"/>
      <c r="D9" s="1102"/>
      <c r="E9" s="1103" t="s">
        <v>1138</v>
      </c>
      <c r="F9" s="1104" t="s">
        <v>1139</v>
      </c>
      <c r="G9" s="1104" t="s">
        <v>1140</v>
      </c>
      <c r="H9" s="1104" t="s">
        <v>1141</v>
      </c>
      <c r="I9" s="1104" t="s">
        <v>1142</v>
      </c>
      <c r="J9" s="1104" t="s">
        <v>1143</v>
      </c>
      <c r="K9" s="1105" t="s">
        <v>1144</v>
      </c>
      <c r="L9" s="1106"/>
    </row>
    <row r="10" spans="1:13" ht="14" x14ac:dyDescent="0.3">
      <c r="A10" s="1575" t="s">
        <v>1112</v>
      </c>
      <c r="B10" s="1107" t="s">
        <v>1145</v>
      </c>
      <c r="C10" s="1108">
        <v>20</v>
      </c>
      <c r="D10" s="1109">
        <v>2</v>
      </c>
      <c r="E10" s="1110">
        <v>900000</v>
      </c>
      <c r="F10" s="1110">
        <v>200000</v>
      </c>
      <c r="G10" s="1111">
        <v>1200000</v>
      </c>
      <c r="H10" s="1112">
        <v>1000000</v>
      </c>
      <c r="I10" s="1110">
        <v>320000</v>
      </c>
      <c r="J10" s="1111">
        <v>1200000</v>
      </c>
      <c r="K10" s="1110">
        <v>700000</v>
      </c>
      <c r="L10" s="1113">
        <f>SUM(E10:K10)</f>
        <v>5520000</v>
      </c>
    </row>
    <row r="11" spans="1:13" ht="14" x14ac:dyDescent="0.3">
      <c r="A11" s="1575"/>
      <c r="B11" s="1107" t="s">
        <v>1146</v>
      </c>
      <c r="C11" s="1108">
        <v>20</v>
      </c>
      <c r="D11" s="1109">
        <v>2</v>
      </c>
      <c r="E11" s="1110"/>
      <c r="F11" s="1110">
        <v>200000</v>
      </c>
      <c r="G11" s="1111">
        <v>1200000</v>
      </c>
      <c r="H11" s="1112">
        <v>1000000</v>
      </c>
      <c r="I11" s="1110">
        <v>320000</v>
      </c>
      <c r="J11" s="1111">
        <v>1200000</v>
      </c>
      <c r="K11" s="1114"/>
      <c r="L11" s="1115">
        <f>SUM(F11:J11)</f>
        <v>3920000</v>
      </c>
      <c r="M11" s="1147"/>
    </row>
    <row r="12" spans="1:13" ht="14" x14ac:dyDescent="0.3">
      <c r="A12" s="1574" t="s">
        <v>1113</v>
      </c>
      <c r="B12" s="1107" t="s">
        <v>1147</v>
      </c>
      <c r="C12" s="1108">
        <v>20</v>
      </c>
      <c r="D12" s="1109">
        <v>2</v>
      </c>
      <c r="E12" s="1110">
        <v>900000</v>
      </c>
      <c r="F12" s="1110">
        <v>200000</v>
      </c>
      <c r="G12" s="1111">
        <v>1200000</v>
      </c>
      <c r="H12" s="1112">
        <v>1000000</v>
      </c>
      <c r="I12" s="1110">
        <v>320000</v>
      </c>
      <c r="J12" s="1111">
        <v>1200000</v>
      </c>
      <c r="K12" s="1110">
        <v>700000</v>
      </c>
      <c r="L12" s="1113">
        <f>SUM(E12:K12)</f>
        <v>5520000</v>
      </c>
    </row>
    <row r="13" spans="1:13" ht="14" x14ac:dyDescent="0.3">
      <c r="A13" s="1574"/>
      <c r="B13" s="1107" t="s">
        <v>1148</v>
      </c>
      <c r="C13" s="1108">
        <v>20</v>
      </c>
      <c r="D13" s="1109">
        <v>2</v>
      </c>
      <c r="E13" s="1110"/>
      <c r="F13" s="1110">
        <v>200000</v>
      </c>
      <c r="G13" s="1111">
        <v>1200000</v>
      </c>
      <c r="H13" s="1112">
        <v>1000000</v>
      </c>
      <c r="I13" s="1110">
        <v>320000</v>
      </c>
      <c r="J13" s="1111">
        <v>1200000</v>
      </c>
      <c r="K13" s="1114"/>
      <c r="L13" s="1115">
        <f>SUM(F13:J13)</f>
        <v>3920000</v>
      </c>
      <c r="M13" s="1147"/>
    </row>
    <row r="14" spans="1:13" ht="14" x14ac:dyDescent="0.3">
      <c r="A14" s="1574" t="s">
        <v>1149</v>
      </c>
      <c r="B14" s="1107" t="s">
        <v>1147</v>
      </c>
      <c r="C14" s="1108">
        <v>20</v>
      </c>
      <c r="D14" s="1109">
        <v>2</v>
      </c>
      <c r="E14" s="1110">
        <v>900000</v>
      </c>
      <c r="F14" s="1110">
        <v>200000</v>
      </c>
      <c r="G14" s="1111">
        <v>1200000</v>
      </c>
      <c r="H14" s="1112">
        <v>1000000</v>
      </c>
      <c r="I14" s="1110">
        <v>320000</v>
      </c>
      <c r="J14" s="1111">
        <v>1200000</v>
      </c>
      <c r="K14" s="1110">
        <v>700000</v>
      </c>
      <c r="L14" s="1113">
        <f>SUM(E14:K14)</f>
        <v>5520000</v>
      </c>
      <c r="M14" s="1147"/>
    </row>
    <row r="15" spans="1:13" ht="14" x14ac:dyDescent="0.3">
      <c r="A15" s="1574"/>
      <c r="B15" s="1107" t="s">
        <v>1148</v>
      </c>
      <c r="C15" s="1108">
        <v>20</v>
      </c>
      <c r="D15" s="1109">
        <v>2</v>
      </c>
      <c r="E15" s="1110"/>
      <c r="F15" s="1110">
        <v>200000</v>
      </c>
      <c r="G15" s="1111">
        <v>1200000</v>
      </c>
      <c r="H15" s="1112">
        <v>1000000</v>
      </c>
      <c r="I15" s="1110">
        <v>320000</v>
      </c>
      <c r="J15" s="1111">
        <v>1200000</v>
      </c>
      <c r="K15" s="1114"/>
      <c r="L15" s="1115">
        <f>SUM(F15:J15)</f>
        <v>3920000</v>
      </c>
      <c r="M15" s="1147"/>
    </row>
    <row r="16" spans="1:13" ht="14" x14ac:dyDescent="0.3">
      <c r="A16" s="1574" t="s">
        <v>1150</v>
      </c>
      <c r="B16" s="1107" t="s">
        <v>1147</v>
      </c>
      <c r="C16" s="1108">
        <v>20</v>
      </c>
      <c r="D16" s="1109">
        <v>2</v>
      </c>
      <c r="E16" s="1110">
        <v>900000</v>
      </c>
      <c r="F16" s="1110">
        <v>200000</v>
      </c>
      <c r="G16" s="1111">
        <v>1200000</v>
      </c>
      <c r="H16" s="1112">
        <v>1000000</v>
      </c>
      <c r="I16" s="1110">
        <v>320000</v>
      </c>
      <c r="J16" s="1111">
        <v>1200000</v>
      </c>
      <c r="K16" s="1110">
        <v>700000</v>
      </c>
      <c r="L16" s="1113">
        <f>SUM(E16:K16)</f>
        <v>5520000</v>
      </c>
      <c r="M16" s="1147"/>
    </row>
    <row r="17" spans="1:13" ht="14" x14ac:dyDescent="0.3">
      <c r="A17" s="1574"/>
      <c r="B17" s="1107" t="s">
        <v>1148</v>
      </c>
      <c r="C17" s="1108">
        <v>20</v>
      </c>
      <c r="D17" s="1109">
        <v>2</v>
      </c>
      <c r="E17" s="1110"/>
      <c r="F17" s="1110">
        <v>200000</v>
      </c>
      <c r="G17" s="1111">
        <v>1200000</v>
      </c>
      <c r="H17" s="1112">
        <v>1000000</v>
      </c>
      <c r="I17" s="1110">
        <v>320000</v>
      </c>
      <c r="J17" s="1111">
        <v>1200000</v>
      </c>
      <c r="K17" s="1114"/>
      <c r="L17" s="1115">
        <f>SUM(F17:J17)</f>
        <v>3920000</v>
      </c>
      <c r="M17" s="1147"/>
    </row>
    <row r="18" spans="1:13" ht="15" x14ac:dyDescent="0.3">
      <c r="A18" s="1116" t="s">
        <v>1115</v>
      </c>
      <c r="B18" s="1107" t="s">
        <v>1151</v>
      </c>
      <c r="C18" s="1108">
        <v>20</v>
      </c>
      <c r="D18" s="1109">
        <v>2</v>
      </c>
      <c r="E18" s="1110">
        <v>900000</v>
      </c>
      <c r="F18" s="1110">
        <v>200000</v>
      </c>
      <c r="G18" s="1111">
        <v>1200000</v>
      </c>
      <c r="H18" s="1112">
        <v>1000000</v>
      </c>
      <c r="I18" s="1110">
        <v>320000</v>
      </c>
      <c r="J18" s="1111">
        <v>1200000</v>
      </c>
      <c r="K18" s="1110">
        <v>700000</v>
      </c>
      <c r="L18" s="1117">
        <f>SUM(E18:K18)</f>
        <v>5520000</v>
      </c>
    </row>
    <row r="19" spans="1:13" ht="15" x14ac:dyDescent="0.3">
      <c r="A19" s="1116"/>
      <c r="B19" s="1107" t="s">
        <v>1152</v>
      </c>
      <c r="C19" s="1108">
        <v>20</v>
      </c>
      <c r="D19" s="1109">
        <v>2</v>
      </c>
      <c r="E19" s="1110"/>
      <c r="F19" s="1110">
        <v>200000</v>
      </c>
      <c r="G19" s="1111">
        <v>1200000</v>
      </c>
      <c r="H19" s="1112">
        <v>1000000</v>
      </c>
      <c r="I19" s="1110">
        <v>320000</v>
      </c>
      <c r="J19" s="1111">
        <v>1200000</v>
      </c>
      <c r="K19" s="1114"/>
      <c r="L19" s="1113">
        <f>SUM(F19:J19)</f>
        <v>3920000</v>
      </c>
      <c r="M19" s="1147"/>
    </row>
    <row r="20" spans="1:13" ht="14" x14ac:dyDescent="0.3">
      <c r="A20" s="1575" t="s">
        <v>1117</v>
      </c>
      <c r="B20" s="1118" t="s">
        <v>1153</v>
      </c>
      <c r="C20" s="1108">
        <v>22</v>
      </c>
      <c r="D20" s="1109">
        <v>2</v>
      </c>
      <c r="E20" s="1110">
        <v>900000</v>
      </c>
      <c r="F20" s="1110">
        <v>200000</v>
      </c>
      <c r="G20" s="1111">
        <v>1320000</v>
      </c>
      <c r="H20" s="1112">
        <v>1200000</v>
      </c>
      <c r="I20" s="1110">
        <v>640000</v>
      </c>
      <c r="J20" s="1111">
        <v>1320000</v>
      </c>
      <c r="K20" s="1110">
        <v>700000</v>
      </c>
      <c r="L20" s="1113">
        <f>SUM(E20:K20)</f>
        <v>6280000</v>
      </c>
    </row>
    <row r="21" spans="1:13" ht="14" x14ac:dyDescent="0.3">
      <c r="A21" s="1575"/>
      <c r="B21" s="1107" t="s">
        <v>1154</v>
      </c>
      <c r="C21" s="1108">
        <v>23</v>
      </c>
      <c r="D21" s="1109">
        <v>2</v>
      </c>
      <c r="E21" s="1119"/>
      <c r="F21" s="1110">
        <v>200000</v>
      </c>
      <c r="G21" s="1110">
        <v>1380000</v>
      </c>
      <c r="H21" s="1112">
        <v>1200000</v>
      </c>
      <c r="I21" s="1110">
        <v>640000</v>
      </c>
      <c r="J21" s="1110">
        <v>1380000</v>
      </c>
      <c r="L21" s="1115">
        <f>SUM(F21:J21)</f>
        <v>4800000</v>
      </c>
      <c r="M21" s="1147"/>
    </row>
    <row r="22" spans="1:13" ht="14" x14ac:dyDescent="0.3">
      <c r="A22" s="1575" t="s">
        <v>1118</v>
      </c>
      <c r="B22" s="1107" t="s">
        <v>1155</v>
      </c>
      <c r="C22" s="1108">
        <v>22</v>
      </c>
      <c r="D22" s="1109">
        <v>2</v>
      </c>
      <c r="E22" s="1110">
        <v>900000</v>
      </c>
      <c r="F22" s="1110">
        <v>200000</v>
      </c>
      <c r="G22" s="1120">
        <v>1320000</v>
      </c>
      <c r="H22" s="1112">
        <v>1200000</v>
      </c>
      <c r="I22" s="1110">
        <v>640000</v>
      </c>
      <c r="J22" s="1120">
        <v>1320000</v>
      </c>
      <c r="K22" s="1110">
        <v>700000</v>
      </c>
      <c r="L22" s="1113">
        <f>SUM(E22:K22)</f>
        <v>6280000</v>
      </c>
    </row>
    <row r="23" spans="1:13" ht="14" x14ac:dyDescent="0.3">
      <c r="A23" s="1575"/>
      <c r="B23" s="1107" t="s">
        <v>1156</v>
      </c>
      <c r="C23" s="1108">
        <v>23</v>
      </c>
      <c r="D23" s="1109">
        <v>2</v>
      </c>
      <c r="F23" s="1110">
        <v>200000</v>
      </c>
      <c r="G23" s="1110">
        <v>1380000</v>
      </c>
      <c r="H23" s="1112">
        <v>1200000</v>
      </c>
      <c r="I23" s="1110">
        <v>640000</v>
      </c>
      <c r="J23" s="1110">
        <v>1380000</v>
      </c>
      <c r="L23" s="1113">
        <f>SUM(E23:K23)</f>
        <v>4800000</v>
      </c>
      <c r="M23" s="1147"/>
    </row>
    <row r="24" spans="1:13" ht="14" x14ac:dyDescent="0.3">
      <c r="A24" s="1575" t="s">
        <v>1119</v>
      </c>
      <c r="B24" s="1107" t="s">
        <v>1157</v>
      </c>
      <c r="C24" s="1108">
        <v>22</v>
      </c>
      <c r="D24" s="1109">
        <v>2</v>
      </c>
      <c r="E24" s="1110">
        <v>900000</v>
      </c>
      <c r="F24" s="1110">
        <v>200000</v>
      </c>
      <c r="G24" s="1120">
        <v>1320000</v>
      </c>
      <c r="H24" s="1112">
        <v>1200000</v>
      </c>
      <c r="I24" s="1110">
        <v>640000</v>
      </c>
      <c r="J24" s="1120">
        <v>1320000</v>
      </c>
      <c r="K24" s="1110">
        <v>700000</v>
      </c>
      <c r="L24" s="1113">
        <f>SUM(E24:K24)</f>
        <v>6280000</v>
      </c>
      <c r="M24" s="1147"/>
    </row>
    <row r="25" spans="1:13" ht="14" x14ac:dyDescent="0.3">
      <c r="A25" s="1575"/>
      <c r="B25" s="1107" t="s">
        <v>1158</v>
      </c>
      <c r="C25" s="1108">
        <v>23</v>
      </c>
      <c r="D25" s="1109">
        <v>2</v>
      </c>
      <c r="E25" s="1119"/>
      <c r="F25" s="1110">
        <v>200000</v>
      </c>
      <c r="G25" s="1110">
        <v>1380000</v>
      </c>
      <c r="H25" s="1112">
        <v>1200000</v>
      </c>
      <c r="I25" s="1110">
        <v>640000</v>
      </c>
      <c r="J25" s="1110">
        <v>1380000</v>
      </c>
      <c r="K25" s="1114"/>
      <c r="L25" s="1115">
        <f>SUM(F25:J25)</f>
        <v>4800000</v>
      </c>
    </row>
    <row r="26" spans="1:13" ht="15" x14ac:dyDescent="0.3">
      <c r="A26" s="1116" t="s">
        <v>1120</v>
      </c>
      <c r="B26" s="1107" t="s">
        <v>1159</v>
      </c>
      <c r="C26" s="1108">
        <v>22</v>
      </c>
      <c r="D26" s="1109">
        <v>2</v>
      </c>
      <c r="E26" s="1110">
        <v>900000</v>
      </c>
      <c r="F26" s="1110">
        <v>200000</v>
      </c>
      <c r="G26" s="1120">
        <v>1320000</v>
      </c>
      <c r="H26" s="1112">
        <v>1200000</v>
      </c>
      <c r="I26" s="1110">
        <v>640000</v>
      </c>
      <c r="J26" s="1120">
        <v>1320000</v>
      </c>
      <c r="K26" s="1110">
        <v>700000</v>
      </c>
      <c r="L26" s="1113">
        <f>SUM(E26:K26)</f>
        <v>6280000</v>
      </c>
    </row>
    <row r="27" spans="1:13" ht="14" x14ac:dyDescent="0.3">
      <c r="A27" s="1121"/>
      <c r="B27" s="1107" t="s">
        <v>1160</v>
      </c>
      <c r="C27" s="1108">
        <v>23</v>
      </c>
      <c r="D27" s="1109">
        <v>2</v>
      </c>
      <c r="E27" s="1119"/>
      <c r="F27" s="1110">
        <v>200000</v>
      </c>
      <c r="G27" s="1110">
        <v>1380000</v>
      </c>
      <c r="H27" s="1112">
        <v>1200000</v>
      </c>
      <c r="I27" s="1110">
        <v>640000</v>
      </c>
      <c r="J27" s="1110">
        <v>1380000</v>
      </c>
      <c r="K27" s="1114"/>
      <c r="L27" s="1115">
        <f>SUM(F27:J27)</f>
        <v>4800000</v>
      </c>
      <c r="M27" s="1147"/>
    </row>
    <row r="28" spans="1:13" ht="15" x14ac:dyDescent="0.3">
      <c r="A28" s="1122" t="s">
        <v>353</v>
      </c>
      <c r="B28" s="1101"/>
      <c r="C28" s="1123">
        <v>380</v>
      </c>
      <c r="D28" s="1123">
        <v>36</v>
      </c>
      <c r="E28" s="1074">
        <v>8100000</v>
      </c>
      <c r="F28" s="1074">
        <v>3600000</v>
      </c>
      <c r="G28" s="1074">
        <v>22800000</v>
      </c>
      <c r="H28" s="1074">
        <v>19600000</v>
      </c>
      <c r="I28" s="1074">
        <v>8320000</v>
      </c>
      <c r="J28" s="1074">
        <v>22800000</v>
      </c>
      <c r="K28" s="1074">
        <v>6300000</v>
      </c>
      <c r="L28" s="1069">
        <v>91520000</v>
      </c>
    </row>
    <row r="29" spans="1:13" ht="15.5" x14ac:dyDescent="0.25">
      <c r="A29" s="40"/>
      <c r="B29" s="811"/>
      <c r="C29" s="1086"/>
      <c r="D29" s="1086"/>
      <c r="E29" s="1086"/>
      <c r="F29" s="1087"/>
      <c r="G29" s="1088"/>
      <c r="H29" s="1087"/>
      <c r="I29" s="1573" t="s">
        <v>1161</v>
      </c>
      <c r="J29" s="1573"/>
    </row>
    <row r="30" spans="1:13" ht="17.5" x14ac:dyDescent="0.35">
      <c r="A30" s="1124" t="s">
        <v>1162</v>
      </c>
      <c r="B30" s="1125"/>
      <c r="C30" s="1126"/>
      <c r="D30" s="1127"/>
      <c r="E30" s="1128"/>
      <c r="F30" s="1129"/>
      <c r="G30" s="1128"/>
      <c r="H30" s="1128"/>
      <c r="I30" s="1130"/>
      <c r="J30" s="1"/>
      <c r="K30" s="1"/>
      <c r="L30" s="1"/>
    </row>
    <row r="31" spans="1:13" ht="15" x14ac:dyDescent="0.25">
      <c r="A31" s="42"/>
      <c r="B31" s="40"/>
      <c r="C31" s="42"/>
      <c r="D31" s="42"/>
      <c r="E31" s="42"/>
      <c r="F31" s="42"/>
      <c r="G31" s="1088"/>
      <c r="H31" s="42"/>
      <c r="I31" s="42"/>
      <c r="J31" s="42"/>
    </row>
    <row r="32" spans="1:13" ht="15" x14ac:dyDescent="0.25">
      <c r="A32" s="42"/>
      <c r="B32" s="40"/>
      <c r="C32" s="42"/>
      <c r="D32" s="42"/>
      <c r="E32" s="42"/>
      <c r="F32" s="42"/>
      <c r="G32" s="1088"/>
      <c r="H32" s="42"/>
      <c r="I32" s="42"/>
      <c r="J32" s="42"/>
    </row>
    <row r="33" spans="1:10" ht="15" x14ac:dyDescent="0.25">
      <c r="A33" s="42"/>
      <c r="B33" s="40"/>
      <c r="C33" s="42"/>
      <c r="D33" s="42"/>
      <c r="E33" s="42"/>
      <c r="F33" s="42"/>
      <c r="G33" s="1088"/>
      <c r="H33" s="42"/>
      <c r="I33" s="42"/>
      <c r="J33" s="42"/>
    </row>
    <row r="34" spans="1:10" ht="15" x14ac:dyDescent="0.25">
      <c r="A34" s="42"/>
      <c r="B34" s="40"/>
      <c r="C34" s="42"/>
      <c r="D34" s="42"/>
      <c r="E34" s="42"/>
      <c r="F34" s="42"/>
      <c r="G34" s="1088"/>
      <c r="H34" s="42"/>
      <c r="I34" s="42"/>
      <c r="J34" s="42"/>
    </row>
    <row r="35" spans="1:10" ht="15.5" x14ac:dyDescent="0.25">
      <c r="A35" s="1006"/>
      <c r="B35" s="40"/>
      <c r="C35" s="1092"/>
      <c r="D35" s="1092"/>
      <c r="E35" s="1093"/>
      <c r="F35" s="1093"/>
      <c r="G35" s="1094"/>
      <c r="H35" s="1093"/>
      <c r="I35" s="1006"/>
      <c r="J35" s="1006"/>
    </row>
    <row r="36" spans="1:10" ht="15.5" x14ac:dyDescent="0.25">
      <c r="A36" s="1006"/>
      <c r="B36" s="1006"/>
      <c r="C36" s="1092"/>
      <c r="D36" s="1092"/>
      <c r="E36" s="1093"/>
      <c r="F36" s="1093"/>
      <c r="G36" s="1094"/>
      <c r="H36" s="1093"/>
      <c r="I36" s="1006"/>
      <c r="J36" s="1006"/>
    </row>
  </sheetData>
  <mergeCells count="8">
    <mergeCell ref="I29:J29"/>
    <mergeCell ref="A16:A17"/>
    <mergeCell ref="A10:A11"/>
    <mergeCell ref="A20:A21"/>
    <mergeCell ref="A22:A23"/>
    <mergeCell ref="A24:A25"/>
    <mergeCell ref="A12:A13"/>
    <mergeCell ref="A14:A15"/>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CA51-0788-E443-8C83-7E238882B59A}">
  <dimension ref="A1:H46"/>
  <sheetViews>
    <sheetView topLeftCell="A8" workbookViewId="0">
      <selection sqref="A1:XFD1048576"/>
    </sheetView>
  </sheetViews>
  <sheetFormatPr defaultColWidth="9.1796875" defaultRowHeight="16.5" customHeight="1" x14ac:dyDescent="0.25"/>
  <cols>
    <col min="1" max="1" width="6.453125" style="1" customWidth="1"/>
    <col min="2" max="2" width="35" style="1193" customWidth="1"/>
    <col min="3" max="3" width="11" customWidth="1"/>
    <col min="4" max="4" width="11.1796875" customWidth="1"/>
    <col min="5" max="5" width="13.1796875" customWidth="1"/>
    <col min="6" max="6" width="16.36328125" customWidth="1"/>
    <col min="7" max="7" width="32.6328125" customWidth="1"/>
    <col min="10" max="10" width="19.453125" customWidth="1"/>
    <col min="257" max="257" width="6.453125" customWidth="1"/>
    <col min="258" max="258" width="35" customWidth="1"/>
    <col min="259" max="259" width="11" customWidth="1"/>
    <col min="260" max="260" width="11.1796875" customWidth="1"/>
    <col min="261" max="261" width="13.1796875" customWidth="1"/>
    <col min="262" max="262" width="16.36328125" customWidth="1"/>
    <col min="263" max="263" width="32.6328125" customWidth="1"/>
    <col min="266" max="266" width="19.453125" customWidth="1"/>
    <col min="513" max="513" width="6.453125" customWidth="1"/>
    <col min="514" max="514" width="35" customWidth="1"/>
    <col min="515" max="515" width="11" customWidth="1"/>
    <col min="516" max="516" width="11.1796875" customWidth="1"/>
    <col min="517" max="517" width="13.1796875" customWidth="1"/>
    <col min="518" max="518" width="16.36328125" customWidth="1"/>
    <col min="519" max="519" width="32.6328125" customWidth="1"/>
    <col min="522" max="522" width="19.453125" customWidth="1"/>
    <col min="769" max="769" width="6.453125" customWidth="1"/>
    <col min="770" max="770" width="35" customWidth="1"/>
    <col min="771" max="771" width="11" customWidth="1"/>
    <col min="772" max="772" width="11.1796875" customWidth="1"/>
    <col min="773" max="773" width="13.1796875" customWidth="1"/>
    <col min="774" max="774" width="16.36328125" customWidth="1"/>
    <col min="775" max="775" width="32.6328125" customWidth="1"/>
    <col min="778" max="778" width="19.453125" customWidth="1"/>
    <col min="1025" max="1025" width="6.453125" customWidth="1"/>
    <col min="1026" max="1026" width="35" customWidth="1"/>
    <col min="1027" max="1027" width="11" customWidth="1"/>
    <col min="1028" max="1028" width="11.1796875" customWidth="1"/>
    <col min="1029" max="1029" width="13.1796875" customWidth="1"/>
    <col min="1030" max="1030" width="16.36328125" customWidth="1"/>
    <col min="1031" max="1031" width="32.6328125" customWidth="1"/>
    <col min="1034" max="1034" width="19.453125" customWidth="1"/>
    <col min="1281" max="1281" width="6.453125" customWidth="1"/>
    <col min="1282" max="1282" width="35" customWidth="1"/>
    <col min="1283" max="1283" width="11" customWidth="1"/>
    <col min="1284" max="1284" width="11.1796875" customWidth="1"/>
    <col min="1285" max="1285" width="13.1796875" customWidth="1"/>
    <col min="1286" max="1286" width="16.36328125" customWidth="1"/>
    <col min="1287" max="1287" width="32.6328125" customWidth="1"/>
    <col min="1290" max="1290" width="19.453125" customWidth="1"/>
    <col min="1537" max="1537" width="6.453125" customWidth="1"/>
    <col min="1538" max="1538" width="35" customWidth="1"/>
    <col min="1539" max="1539" width="11" customWidth="1"/>
    <col min="1540" max="1540" width="11.1796875" customWidth="1"/>
    <col min="1541" max="1541" width="13.1796875" customWidth="1"/>
    <col min="1542" max="1542" width="16.36328125" customWidth="1"/>
    <col min="1543" max="1543" width="32.6328125" customWidth="1"/>
    <col min="1546" max="1546" width="19.453125" customWidth="1"/>
    <col min="1793" max="1793" width="6.453125" customWidth="1"/>
    <col min="1794" max="1794" width="35" customWidth="1"/>
    <col min="1795" max="1795" width="11" customWidth="1"/>
    <col min="1796" max="1796" width="11.1796875" customWidth="1"/>
    <col min="1797" max="1797" width="13.1796875" customWidth="1"/>
    <col min="1798" max="1798" width="16.36328125" customWidth="1"/>
    <col min="1799" max="1799" width="32.6328125" customWidth="1"/>
    <col min="1802" max="1802" width="19.453125" customWidth="1"/>
    <col min="2049" max="2049" width="6.453125" customWidth="1"/>
    <col min="2050" max="2050" width="35" customWidth="1"/>
    <col min="2051" max="2051" width="11" customWidth="1"/>
    <col min="2052" max="2052" width="11.1796875" customWidth="1"/>
    <col min="2053" max="2053" width="13.1796875" customWidth="1"/>
    <col min="2054" max="2054" width="16.36328125" customWidth="1"/>
    <col min="2055" max="2055" width="32.6328125" customWidth="1"/>
    <col min="2058" max="2058" width="19.453125" customWidth="1"/>
    <col min="2305" max="2305" width="6.453125" customWidth="1"/>
    <col min="2306" max="2306" width="35" customWidth="1"/>
    <col min="2307" max="2307" width="11" customWidth="1"/>
    <col min="2308" max="2308" width="11.1796875" customWidth="1"/>
    <col min="2309" max="2309" width="13.1796875" customWidth="1"/>
    <col min="2310" max="2310" width="16.36328125" customWidth="1"/>
    <col min="2311" max="2311" width="32.6328125" customWidth="1"/>
    <col min="2314" max="2314" width="19.453125" customWidth="1"/>
    <col min="2561" max="2561" width="6.453125" customWidth="1"/>
    <col min="2562" max="2562" width="35" customWidth="1"/>
    <col min="2563" max="2563" width="11" customWidth="1"/>
    <col min="2564" max="2564" width="11.1796875" customWidth="1"/>
    <col min="2565" max="2565" width="13.1796875" customWidth="1"/>
    <col min="2566" max="2566" width="16.36328125" customWidth="1"/>
    <col min="2567" max="2567" width="32.6328125" customWidth="1"/>
    <col min="2570" max="2570" width="19.453125" customWidth="1"/>
    <col min="2817" max="2817" width="6.453125" customWidth="1"/>
    <col min="2818" max="2818" width="35" customWidth="1"/>
    <col min="2819" max="2819" width="11" customWidth="1"/>
    <col min="2820" max="2820" width="11.1796875" customWidth="1"/>
    <col min="2821" max="2821" width="13.1796875" customWidth="1"/>
    <col min="2822" max="2822" width="16.36328125" customWidth="1"/>
    <col min="2823" max="2823" width="32.6328125" customWidth="1"/>
    <col min="2826" max="2826" width="19.453125" customWidth="1"/>
    <col min="3073" max="3073" width="6.453125" customWidth="1"/>
    <col min="3074" max="3074" width="35" customWidth="1"/>
    <col min="3075" max="3075" width="11" customWidth="1"/>
    <col min="3076" max="3076" width="11.1796875" customWidth="1"/>
    <col min="3077" max="3077" width="13.1796875" customWidth="1"/>
    <col min="3078" max="3078" width="16.36328125" customWidth="1"/>
    <col min="3079" max="3079" width="32.6328125" customWidth="1"/>
    <col min="3082" max="3082" width="19.453125" customWidth="1"/>
    <col min="3329" max="3329" width="6.453125" customWidth="1"/>
    <col min="3330" max="3330" width="35" customWidth="1"/>
    <col min="3331" max="3331" width="11" customWidth="1"/>
    <col min="3332" max="3332" width="11.1796875" customWidth="1"/>
    <col min="3333" max="3333" width="13.1796875" customWidth="1"/>
    <col min="3334" max="3334" width="16.36328125" customWidth="1"/>
    <col min="3335" max="3335" width="32.6328125" customWidth="1"/>
    <col min="3338" max="3338" width="19.453125" customWidth="1"/>
    <col min="3585" max="3585" width="6.453125" customWidth="1"/>
    <col min="3586" max="3586" width="35" customWidth="1"/>
    <col min="3587" max="3587" width="11" customWidth="1"/>
    <col min="3588" max="3588" width="11.1796875" customWidth="1"/>
    <col min="3589" max="3589" width="13.1796875" customWidth="1"/>
    <col min="3590" max="3590" width="16.36328125" customWidth="1"/>
    <col min="3591" max="3591" width="32.6328125" customWidth="1"/>
    <col min="3594" max="3594" width="19.453125" customWidth="1"/>
    <col min="3841" max="3841" width="6.453125" customWidth="1"/>
    <col min="3842" max="3842" width="35" customWidth="1"/>
    <col min="3843" max="3843" width="11" customWidth="1"/>
    <col min="3844" max="3844" width="11.1796875" customWidth="1"/>
    <col min="3845" max="3845" width="13.1796875" customWidth="1"/>
    <col min="3846" max="3846" width="16.36328125" customWidth="1"/>
    <col min="3847" max="3847" width="32.6328125" customWidth="1"/>
    <col min="3850" max="3850" width="19.453125" customWidth="1"/>
    <col min="4097" max="4097" width="6.453125" customWidth="1"/>
    <col min="4098" max="4098" width="35" customWidth="1"/>
    <col min="4099" max="4099" width="11" customWidth="1"/>
    <col min="4100" max="4100" width="11.1796875" customWidth="1"/>
    <col min="4101" max="4101" width="13.1796875" customWidth="1"/>
    <col min="4102" max="4102" width="16.36328125" customWidth="1"/>
    <col min="4103" max="4103" width="32.6328125" customWidth="1"/>
    <col min="4106" max="4106" width="19.453125" customWidth="1"/>
    <col min="4353" max="4353" width="6.453125" customWidth="1"/>
    <col min="4354" max="4354" width="35" customWidth="1"/>
    <col min="4355" max="4355" width="11" customWidth="1"/>
    <col min="4356" max="4356" width="11.1796875" customWidth="1"/>
    <col min="4357" max="4357" width="13.1796875" customWidth="1"/>
    <col min="4358" max="4358" width="16.36328125" customWidth="1"/>
    <col min="4359" max="4359" width="32.6328125" customWidth="1"/>
    <col min="4362" max="4362" width="19.453125" customWidth="1"/>
    <col min="4609" max="4609" width="6.453125" customWidth="1"/>
    <col min="4610" max="4610" width="35" customWidth="1"/>
    <col min="4611" max="4611" width="11" customWidth="1"/>
    <col min="4612" max="4612" width="11.1796875" customWidth="1"/>
    <col min="4613" max="4613" width="13.1796875" customWidth="1"/>
    <col min="4614" max="4614" width="16.36328125" customWidth="1"/>
    <col min="4615" max="4615" width="32.6328125" customWidth="1"/>
    <col min="4618" max="4618" width="19.453125" customWidth="1"/>
    <col min="4865" max="4865" width="6.453125" customWidth="1"/>
    <col min="4866" max="4866" width="35" customWidth="1"/>
    <col min="4867" max="4867" width="11" customWidth="1"/>
    <col min="4868" max="4868" width="11.1796875" customWidth="1"/>
    <col min="4869" max="4869" width="13.1796875" customWidth="1"/>
    <col min="4870" max="4870" width="16.36328125" customWidth="1"/>
    <col min="4871" max="4871" width="32.6328125" customWidth="1"/>
    <col min="4874" max="4874" width="19.453125" customWidth="1"/>
    <col min="5121" max="5121" width="6.453125" customWidth="1"/>
    <col min="5122" max="5122" width="35" customWidth="1"/>
    <col min="5123" max="5123" width="11" customWidth="1"/>
    <col min="5124" max="5124" width="11.1796875" customWidth="1"/>
    <col min="5125" max="5125" width="13.1796875" customWidth="1"/>
    <col min="5126" max="5126" width="16.36328125" customWidth="1"/>
    <col min="5127" max="5127" width="32.6328125" customWidth="1"/>
    <col min="5130" max="5130" width="19.453125" customWidth="1"/>
    <col min="5377" max="5377" width="6.453125" customWidth="1"/>
    <col min="5378" max="5378" width="35" customWidth="1"/>
    <col min="5379" max="5379" width="11" customWidth="1"/>
    <col min="5380" max="5380" width="11.1796875" customWidth="1"/>
    <col min="5381" max="5381" width="13.1796875" customWidth="1"/>
    <col min="5382" max="5382" width="16.36328125" customWidth="1"/>
    <col min="5383" max="5383" width="32.6328125" customWidth="1"/>
    <col min="5386" max="5386" width="19.453125" customWidth="1"/>
    <col min="5633" max="5633" width="6.453125" customWidth="1"/>
    <col min="5634" max="5634" width="35" customWidth="1"/>
    <col min="5635" max="5635" width="11" customWidth="1"/>
    <col min="5636" max="5636" width="11.1796875" customWidth="1"/>
    <col min="5637" max="5637" width="13.1796875" customWidth="1"/>
    <col min="5638" max="5638" width="16.36328125" customWidth="1"/>
    <col min="5639" max="5639" width="32.6328125" customWidth="1"/>
    <col min="5642" max="5642" width="19.453125" customWidth="1"/>
    <col min="5889" max="5889" width="6.453125" customWidth="1"/>
    <col min="5890" max="5890" width="35" customWidth="1"/>
    <col min="5891" max="5891" width="11" customWidth="1"/>
    <col min="5892" max="5892" width="11.1796875" customWidth="1"/>
    <col min="5893" max="5893" width="13.1796875" customWidth="1"/>
    <col min="5894" max="5894" width="16.36328125" customWidth="1"/>
    <col min="5895" max="5895" width="32.6328125" customWidth="1"/>
    <col min="5898" max="5898" width="19.453125" customWidth="1"/>
    <col min="6145" max="6145" width="6.453125" customWidth="1"/>
    <col min="6146" max="6146" width="35" customWidth="1"/>
    <col min="6147" max="6147" width="11" customWidth="1"/>
    <col min="6148" max="6148" width="11.1796875" customWidth="1"/>
    <col min="6149" max="6149" width="13.1796875" customWidth="1"/>
    <col min="6150" max="6150" width="16.36328125" customWidth="1"/>
    <col min="6151" max="6151" width="32.6328125" customWidth="1"/>
    <col min="6154" max="6154" width="19.453125" customWidth="1"/>
    <col min="6401" max="6401" width="6.453125" customWidth="1"/>
    <col min="6402" max="6402" width="35" customWidth="1"/>
    <col min="6403" max="6403" width="11" customWidth="1"/>
    <col min="6404" max="6404" width="11.1796875" customWidth="1"/>
    <col min="6405" max="6405" width="13.1796875" customWidth="1"/>
    <col min="6406" max="6406" width="16.36328125" customWidth="1"/>
    <col min="6407" max="6407" width="32.6328125" customWidth="1"/>
    <col min="6410" max="6410" width="19.453125" customWidth="1"/>
    <col min="6657" max="6657" width="6.453125" customWidth="1"/>
    <col min="6658" max="6658" width="35" customWidth="1"/>
    <col min="6659" max="6659" width="11" customWidth="1"/>
    <col min="6660" max="6660" width="11.1796875" customWidth="1"/>
    <col min="6661" max="6661" width="13.1796875" customWidth="1"/>
    <col min="6662" max="6662" width="16.36328125" customWidth="1"/>
    <col min="6663" max="6663" width="32.6328125" customWidth="1"/>
    <col min="6666" max="6666" width="19.453125" customWidth="1"/>
    <col min="6913" max="6913" width="6.453125" customWidth="1"/>
    <col min="6914" max="6914" width="35" customWidth="1"/>
    <col min="6915" max="6915" width="11" customWidth="1"/>
    <col min="6916" max="6916" width="11.1796875" customWidth="1"/>
    <col min="6917" max="6917" width="13.1796875" customWidth="1"/>
    <col min="6918" max="6918" width="16.36328125" customWidth="1"/>
    <col min="6919" max="6919" width="32.6328125" customWidth="1"/>
    <col min="6922" max="6922" width="19.453125" customWidth="1"/>
    <col min="7169" max="7169" width="6.453125" customWidth="1"/>
    <col min="7170" max="7170" width="35" customWidth="1"/>
    <col min="7171" max="7171" width="11" customWidth="1"/>
    <col min="7172" max="7172" width="11.1796875" customWidth="1"/>
    <col min="7173" max="7173" width="13.1796875" customWidth="1"/>
    <col min="7174" max="7174" width="16.36328125" customWidth="1"/>
    <col min="7175" max="7175" width="32.6328125" customWidth="1"/>
    <col min="7178" max="7178" width="19.453125" customWidth="1"/>
    <col min="7425" max="7425" width="6.453125" customWidth="1"/>
    <col min="7426" max="7426" width="35" customWidth="1"/>
    <col min="7427" max="7427" width="11" customWidth="1"/>
    <col min="7428" max="7428" width="11.1796875" customWidth="1"/>
    <col min="7429" max="7429" width="13.1796875" customWidth="1"/>
    <col min="7430" max="7430" width="16.36328125" customWidth="1"/>
    <col min="7431" max="7431" width="32.6328125" customWidth="1"/>
    <col min="7434" max="7434" width="19.453125" customWidth="1"/>
    <col min="7681" max="7681" width="6.453125" customWidth="1"/>
    <col min="7682" max="7682" width="35" customWidth="1"/>
    <col min="7683" max="7683" width="11" customWidth="1"/>
    <col min="7684" max="7684" width="11.1796875" customWidth="1"/>
    <col min="7685" max="7685" width="13.1796875" customWidth="1"/>
    <col min="7686" max="7686" width="16.36328125" customWidth="1"/>
    <col min="7687" max="7687" width="32.6328125" customWidth="1"/>
    <col min="7690" max="7690" width="19.453125" customWidth="1"/>
    <col min="7937" max="7937" width="6.453125" customWidth="1"/>
    <col min="7938" max="7938" width="35" customWidth="1"/>
    <col min="7939" max="7939" width="11" customWidth="1"/>
    <col min="7940" max="7940" width="11.1796875" customWidth="1"/>
    <col min="7941" max="7941" width="13.1796875" customWidth="1"/>
    <col min="7942" max="7942" width="16.36328125" customWidth="1"/>
    <col min="7943" max="7943" width="32.6328125" customWidth="1"/>
    <col min="7946" max="7946" width="19.453125" customWidth="1"/>
    <col min="8193" max="8193" width="6.453125" customWidth="1"/>
    <col min="8194" max="8194" width="35" customWidth="1"/>
    <col min="8195" max="8195" width="11" customWidth="1"/>
    <col min="8196" max="8196" width="11.1796875" customWidth="1"/>
    <col min="8197" max="8197" width="13.1796875" customWidth="1"/>
    <col min="8198" max="8198" width="16.36328125" customWidth="1"/>
    <col min="8199" max="8199" width="32.6328125" customWidth="1"/>
    <col min="8202" max="8202" width="19.453125" customWidth="1"/>
    <col min="8449" max="8449" width="6.453125" customWidth="1"/>
    <col min="8450" max="8450" width="35" customWidth="1"/>
    <col min="8451" max="8451" width="11" customWidth="1"/>
    <col min="8452" max="8452" width="11.1796875" customWidth="1"/>
    <col min="8453" max="8453" width="13.1796875" customWidth="1"/>
    <col min="8454" max="8454" width="16.36328125" customWidth="1"/>
    <col min="8455" max="8455" width="32.6328125" customWidth="1"/>
    <col min="8458" max="8458" width="19.453125" customWidth="1"/>
    <col min="8705" max="8705" width="6.453125" customWidth="1"/>
    <col min="8706" max="8706" width="35" customWidth="1"/>
    <col min="8707" max="8707" width="11" customWidth="1"/>
    <col min="8708" max="8708" width="11.1796875" customWidth="1"/>
    <col min="8709" max="8709" width="13.1796875" customWidth="1"/>
    <col min="8710" max="8710" width="16.36328125" customWidth="1"/>
    <col min="8711" max="8711" width="32.6328125" customWidth="1"/>
    <col min="8714" max="8714" width="19.453125" customWidth="1"/>
    <col min="8961" max="8961" width="6.453125" customWidth="1"/>
    <col min="8962" max="8962" width="35" customWidth="1"/>
    <col min="8963" max="8963" width="11" customWidth="1"/>
    <col min="8964" max="8964" width="11.1796875" customWidth="1"/>
    <col min="8965" max="8965" width="13.1796875" customWidth="1"/>
    <col min="8966" max="8966" width="16.36328125" customWidth="1"/>
    <col min="8967" max="8967" width="32.6328125" customWidth="1"/>
    <col min="8970" max="8970" width="19.453125" customWidth="1"/>
    <col min="9217" max="9217" width="6.453125" customWidth="1"/>
    <col min="9218" max="9218" width="35" customWidth="1"/>
    <col min="9219" max="9219" width="11" customWidth="1"/>
    <col min="9220" max="9220" width="11.1796875" customWidth="1"/>
    <col min="9221" max="9221" width="13.1796875" customWidth="1"/>
    <col min="9222" max="9222" width="16.36328125" customWidth="1"/>
    <col min="9223" max="9223" width="32.6328125" customWidth="1"/>
    <col min="9226" max="9226" width="19.453125" customWidth="1"/>
    <col min="9473" max="9473" width="6.453125" customWidth="1"/>
    <col min="9474" max="9474" width="35" customWidth="1"/>
    <col min="9475" max="9475" width="11" customWidth="1"/>
    <col min="9476" max="9476" width="11.1796875" customWidth="1"/>
    <col min="9477" max="9477" width="13.1796875" customWidth="1"/>
    <col min="9478" max="9478" width="16.36328125" customWidth="1"/>
    <col min="9479" max="9479" width="32.6328125" customWidth="1"/>
    <col min="9482" max="9482" width="19.453125" customWidth="1"/>
    <col min="9729" max="9729" width="6.453125" customWidth="1"/>
    <col min="9730" max="9730" width="35" customWidth="1"/>
    <col min="9731" max="9731" width="11" customWidth="1"/>
    <col min="9732" max="9732" width="11.1796875" customWidth="1"/>
    <col min="9733" max="9733" width="13.1796875" customWidth="1"/>
    <col min="9734" max="9734" width="16.36328125" customWidth="1"/>
    <col min="9735" max="9735" width="32.6328125" customWidth="1"/>
    <col min="9738" max="9738" width="19.453125" customWidth="1"/>
    <col min="9985" max="9985" width="6.453125" customWidth="1"/>
    <col min="9986" max="9986" width="35" customWidth="1"/>
    <col min="9987" max="9987" width="11" customWidth="1"/>
    <col min="9988" max="9988" width="11.1796875" customWidth="1"/>
    <col min="9989" max="9989" width="13.1796875" customWidth="1"/>
    <col min="9990" max="9990" width="16.36328125" customWidth="1"/>
    <col min="9991" max="9991" width="32.6328125" customWidth="1"/>
    <col min="9994" max="9994" width="19.453125" customWidth="1"/>
    <col min="10241" max="10241" width="6.453125" customWidth="1"/>
    <col min="10242" max="10242" width="35" customWidth="1"/>
    <col min="10243" max="10243" width="11" customWidth="1"/>
    <col min="10244" max="10244" width="11.1796875" customWidth="1"/>
    <col min="10245" max="10245" width="13.1796875" customWidth="1"/>
    <col min="10246" max="10246" width="16.36328125" customWidth="1"/>
    <col min="10247" max="10247" width="32.6328125" customWidth="1"/>
    <col min="10250" max="10250" width="19.453125" customWidth="1"/>
    <col min="10497" max="10497" width="6.453125" customWidth="1"/>
    <col min="10498" max="10498" width="35" customWidth="1"/>
    <col min="10499" max="10499" width="11" customWidth="1"/>
    <col min="10500" max="10500" width="11.1796875" customWidth="1"/>
    <col min="10501" max="10501" width="13.1796875" customWidth="1"/>
    <col min="10502" max="10502" width="16.36328125" customWidth="1"/>
    <col min="10503" max="10503" width="32.6328125" customWidth="1"/>
    <col min="10506" max="10506" width="19.453125" customWidth="1"/>
    <col min="10753" max="10753" width="6.453125" customWidth="1"/>
    <col min="10754" max="10754" width="35" customWidth="1"/>
    <col min="10755" max="10755" width="11" customWidth="1"/>
    <col min="10756" max="10756" width="11.1796875" customWidth="1"/>
    <col min="10757" max="10757" width="13.1796875" customWidth="1"/>
    <col min="10758" max="10758" width="16.36328125" customWidth="1"/>
    <col min="10759" max="10759" width="32.6328125" customWidth="1"/>
    <col min="10762" max="10762" width="19.453125" customWidth="1"/>
    <col min="11009" max="11009" width="6.453125" customWidth="1"/>
    <col min="11010" max="11010" width="35" customWidth="1"/>
    <col min="11011" max="11011" width="11" customWidth="1"/>
    <col min="11012" max="11012" width="11.1796875" customWidth="1"/>
    <col min="11013" max="11013" width="13.1796875" customWidth="1"/>
    <col min="11014" max="11014" width="16.36328125" customWidth="1"/>
    <col min="11015" max="11015" width="32.6328125" customWidth="1"/>
    <col min="11018" max="11018" width="19.453125" customWidth="1"/>
    <col min="11265" max="11265" width="6.453125" customWidth="1"/>
    <col min="11266" max="11266" width="35" customWidth="1"/>
    <col min="11267" max="11267" width="11" customWidth="1"/>
    <col min="11268" max="11268" width="11.1796875" customWidth="1"/>
    <col min="11269" max="11269" width="13.1796875" customWidth="1"/>
    <col min="11270" max="11270" width="16.36328125" customWidth="1"/>
    <col min="11271" max="11271" width="32.6328125" customWidth="1"/>
    <col min="11274" max="11274" width="19.453125" customWidth="1"/>
    <col min="11521" max="11521" width="6.453125" customWidth="1"/>
    <col min="11522" max="11522" width="35" customWidth="1"/>
    <col min="11523" max="11523" width="11" customWidth="1"/>
    <col min="11524" max="11524" width="11.1796875" customWidth="1"/>
    <col min="11525" max="11525" width="13.1796875" customWidth="1"/>
    <col min="11526" max="11526" width="16.36328125" customWidth="1"/>
    <col min="11527" max="11527" width="32.6328125" customWidth="1"/>
    <col min="11530" max="11530" width="19.453125" customWidth="1"/>
    <col min="11777" max="11777" width="6.453125" customWidth="1"/>
    <col min="11778" max="11778" width="35" customWidth="1"/>
    <col min="11779" max="11779" width="11" customWidth="1"/>
    <col min="11780" max="11780" width="11.1796875" customWidth="1"/>
    <col min="11781" max="11781" width="13.1796875" customWidth="1"/>
    <col min="11782" max="11782" width="16.36328125" customWidth="1"/>
    <col min="11783" max="11783" width="32.6328125" customWidth="1"/>
    <col min="11786" max="11786" width="19.453125" customWidth="1"/>
    <col min="12033" max="12033" width="6.453125" customWidth="1"/>
    <col min="12034" max="12034" width="35" customWidth="1"/>
    <col min="12035" max="12035" width="11" customWidth="1"/>
    <col min="12036" max="12036" width="11.1796875" customWidth="1"/>
    <col min="12037" max="12037" width="13.1796875" customWidth="1"/>
    <col min="12038" max="12038" width="16.36328125" customWidth="1"/>
    <col min="12039" max="12039" width="32.6328125" customWidth="1"/>
    <col min="12042" max="12042" width="19.453125" customWidth="1"/>
    <col min="12289" max="12289" width="6.453125" customWidth="1"/>
    <col min="12290" max="12290" width="35" customWidth="1"/>
    <col min="12291" max="12291" width="11" customWidth="1"/>
    <col min="12292" max="12292" width="11.1796875" customWidth="1"/>
    <col min="12293" max="12293" width="13.1796875" customWidth="1"/>
    <col min="12294" max="12294" width="16.36328125" customWidth="1"/>
    <col min="12295" max="12295" width="32.6328125" customWidth="1"/>
    <col min="12298" max="12298" width="19.453125" customWidth="1"/>
    <col min="12545" max="12545" width="6.453125" customWidth="1"/>
    <col min="12546" max="12546" width="35" customWidth="1"/>
    <col min="12547" max="12547" width="11" customWidth="1"/>
    <col min="12548" max="12548" width="11.1796875" customWidth="1"/>
    <col min="12549" max="12549" width="13.1796875" customWidth="1"/>
    <col min="12550" max="12550" width="16.36328125" customWidth="1"/>
    <col min="12551" max="12551" width="32.6328125" customWidth="1"/>
    <col min="12554" max="12554" width="19.453125" customWidth="1"/>
    <col min="12801" max="12801" width="6.453125" customWidth="1"/>
    <col min="12802" max="12802" width="35" customWidth="1"/>
    <col min="12803" max="12803" width="11" customWidth="1"/>
    <col min="12804" max="12804" width="11.1796875" customWidth="1"/>
    <col min="12805" max="12805" width="13.1796875" customWidth="1"/>
    <col min="12806" max="12806" width="16.36328125" customWidth="1"/>
    <col min="12807" max="12807" width="32.6328125" customWidth="1"/>
    <col min="12810" max="12810" width="19.453125" customWidth="1"/>
    <col min="13057" max="13057" width="6.453125" customWidth="1"/>
    <col min="13058" max="13058" width="35" customWidth="1"/>
    <col min="13059" max="13059" width="11" customWidth="1"/>
    <col min="13060" max="13060" width="11.1796875" customWidth="1"/>
    <col min="13061" max="13061" width="13.1796875" customWidth="1"/>
    <col min="13062" max="13062" width="16.36328125" customWidth="1"/>
    <col min="13063" max="13063" width="32.6328125" customWidth="1"/>
    <col min="13066" max="13066" width="19.453125" customWidth="1"/>
    <col min="13313" max="13313" width="6.453125" customWidth="1"/>
    <col min="13314" max="13314" width="35" customWidth="1"/>
    <col min="13315" max="13315" width="11" customWidth="1"/>
    <col min="13316" max="13316" width="11.1796875" customWidth="1"/>
    <col min="13317" max="13317" width="13.1796875" customWidth="1"/>
    <col min="13318" max="13318" width="16.36328125" customWidth="1"/>
    <col min="13319" max="13319" width="32.6328125" customWidth="1"/>
    <col min="13322" max="13322" width="19.453125" customWidth="1"/>
    <col min="13569" max="13569" width="6.453125" customWidth="1"/>
    <col min="13570" max="13570" width="35" customWidth="1"/>
    <col min="13571" max="13571" width="11" customWidth="1"/>
    <col min="13572" max="13572" width="11.1796875" customWidth="1"/>
    <col min="13573" max="13573" width="13.1796875" customWidth="1"/>
    <col min="13574" max="13574" width="16.36328125" customWidth="1"/>
    <col min="13575" max="13575" width="32.6328125" customWidth="1"/>
    <col min="13578" max="13578" width="19.453125" customWidth="1"/>
    <col min="13825" max="13825" width="6.453125" customWidth="1"/>
    <col min="13826" max="13826" width="35" customWidth="1"/>
    <col min="13827" max="13827" width="11" customWidth="1"/>
    <col min="13828" max="13828" width="11.1796875" customWidth="1"/>
    <col min="13829" max="13829" width="13.1796875" customWidth="1"/>
    <col min="13830" max="13830" width="16.36328125" customWidth="1"/>
    <col min="13831" max="13831" width="32.6328125" customWidth="1"/>
    <col min="13834" max="13834" width="19.453125" customWidth="1"/>
    <col min="14081" max="14081" width="6.453125" customWidth="1"/>
    <col min="14082" max="14082" width="35" customWidth="1"/>
    <col min="14083" max="14083" width="11" customWidth="1"/>
    <col min="14084" max="14084" width="11.1796875" customWidth="1"/>
    <col min="14085" max="14085" width="13.1796875" customWidth="1"/>
    <col min="14086" max="14086" width="16.36328125" customWidth="1"/>
    <col min="14087" max="14087" width="32.6328125" customWidth="1"/>
    <col min="14090" max="14090" width="19.453125" customWidth="1"/>
    <col min="14337" max="14337" width="6.453125" customWidth="1"/>
    <col min="14338" max="14338" width="35" customWidth="1"/>
    <col min="14339" max="14339" width="11" customWidth="1"/>
    <col min="14340" max="14340" width="11.1796875" customWidth="1"/>
    <col min="14341" max="14341" width="13.1796875" customWidth="1"/>
    <col min="14342" max="14342" width="16.36328125" customWidth="1"/>
    <col min="14343" max="14343" width="32.6328125" customWidth="1"/>
    <col min="14346" max="14346" width="19.453125" customWidth="1"/>
    <col min="14593" max="14593" width="6.453125" customWidth="1"/>
    <col min="14594" max="14594" width="35" customWidth="1"/>
    <col min="14595" max="14595" width="11" customWidth="1"/>
    <col min="14596" max="14596" width="11.1796875" customWidth="1"/>
    <col min="14597" max="14597" width="13.1796875" customWidth="1"/>
    <col min="14598" max="14598" width="16.36328125" customWidth="1"/>
    <col min="14599" max="14599" width="32.6328125" customWidth="1"/>
    <col min="14602" max="14602" width="19.453125" customWidth="1"/>
    <col min="14849" max="14849" width="6.453125" customWidth="1"/>
    <col min="14850" max="14850" width="35" customWidth="1"/>
    <col min="14851" max="14851" width="11" customWidth="1"/>
    <col min="14852" max="14852" width="11.1796875" customWidth="1"/>
    <col min="14853" max="14853" width="13.1796875" customWidth="1"/>
    <col min="14854" max="14854" width="16.36328125" customWidth="1"/>
    <col min="14855" max="14855" width="32.6328125" customWidth="1"/>
    <col min="14858" max="14858" width="19.453125" customWidth="1"/>
    <col min="15105" max="15105" width="6.453125" customWidth="1"/>
    <col min="15106" max="15106" width="35" customWidth="1"/>
    <col min="15107" max="15107" width="11" customWidth="1"/>
    <col min="15108" max="15108" width="11.1796875" customWidth="1"/>
    <col min="15109" max="15109" width="13.1796875" customWidth="1"/>
    <col min="15110" max="15110" width="16.36328125" customWidth="1"/>
    <col min="15111" max="15111" width="32.6328125" customWidth="1"/>
    <col min="15114" max="15114" width="19.453125" customWidth="1"/>
    <col min="15361" max="15361" width="6.453125" customWidth="1"/>
    <col min="15362" max="15362" width="35" customWidth="1"/>
    <col min="15363" max="15363" width="11" customWidth="1"/>
    <col min="15364" max="15364" width="11.1796875" customWidth="1"/>
    <col min="15365" max="15365" width="13.1796875" customWidth="1"/>
    <col min="15366" max="15366" width="16.36328125" customWidth="1"/>
    <col min="15367" max="15367" width="32.6328125" customWidth="1"/>
    <col min="15370" max="15370" width="19.453125" customWidth="1"/>
    <col min="15617" max="15617" width="6.453125" customWidth="1"/>
    <col min="15618" max="15618" width="35" customWidth="1"/>
    <col min="15619" max="15619" width="11" customWidth="1"/>
    <col min="15620" max="15620" width="11.1796875" customWidth="1"/>
    <col min="15621" max="15621" width="13.1796875" customWidth="1"/>
    <col min="15622" max="15622" width="16.36328125" customWidth="1"/>
    <col min="15623" max="15623" width="32.6328125" customWidth="1"/>
    <col min="15626" max="15626" width="19.453125" customWidth="1"/>
    <col min="15873" max="15873" width="6.453125" customWidth="1"/>
    <col min="15874" max="15874" width="35" customWidth="1"/>
    <col min="15875" max="15875" width="11" customWidth="1"/>
    <col min="15876" max="15876" width="11.1796875" customWidth="1"/>
    <col min="15877" max="15877" width="13.1796875" customWidth="1"/>
    <col min="15878" max="15878" width="16.36328125" customWidth="1"/>
    <col min="15879" max="15879" width="32.6328125" customWidth="1"/>
    <col min="15882" max="15882" width="19.453125" customWidth="1"/>
    <col min="16129" max="16129" width="6.453125" customWidth="1"/>
    <col min="16130" max="16130" width="35" customWidth="1"/>
    <col min="16131" max="16131" width="11" customWidth="1"/>
    <col min="16132" max="16132" width="11.1796875" customWidth="1"/>
    <col min="16133" max="16133" width="13.1796875" customWidth="1"/>
    <col min="16134" max="16134" width="16.36328125" customWidth="1"/>
    <col min="16135" max="16135" width="32.6328125" customWidth="1"/>
    <col min="16138" max="16138" width="19.453125" customWidth="1"/>
  </cols>
  <sheetData>
    <row r="1" spans="1:8" ht="15.5" x14ac:dyDescent="0.35">
      <c r="B1" s="454" t="s">
        <v>3</v>
      </c>
      <c r="C1" s="1577"/>
      <c r="D1" s="1577"/>
      <c r="E1" s="1577"/>
      <c r="F1" s="1577"/>
      <c r="G1" s="1577"/>
      <c r="H1" s="1148"/>
    </row>
    <row r="2" spans="1:8" ht="15" x14ac:dyDescent="0.3">
      <c r="A2" s="453"/>
      <c r="B2" s="1149" t="s">
        <v>1068</v>
      </c>
      <c r="C2" s="1577"/>
      <c r="D2" s="1577"/>
      <c r="E2" s="1577"/>
      <c r="F2" s="1577"/>
      <c r="G2" s="1577"/>
      <c r="H2" s="1148"/>
    </row>
    <row r="3" spans="1:8" ht="15.5" x14ac:dyDescent="0.35">
      <c r="B3" s="1150"/>
      <c r="C3" s="454"/>
      <c r="D3" s="809"/>
      <c r="E3" s="809"/>
      <c r="F3" s="454"/>
      <c r="G3" s="454"/>
      <c r="H3" s="454"/>
    </row>
    <row r="4" spans="1:8" ht="17.5" x14ac:dyDescent="0.35">
      <c r="A4" s="1578" t="s">
        <v>1166</v>
      </c>
      <c r="B4" s="1578"/>
      <c r="C4" s="1578"/>
      <c r="D4" s="1578"/>
      <c r="E4" s="1578"/>
      <c r="F4" s="1578"/>
      <c r="G4" s="1578"/>
      <c r="H4" s="1151"/>
    </row>
    <row r="5" spans="1:8" s="702" customFormat="1" ht="15.5" x14ac:dyDescent="0.35">
      <c r="A5" s="1150"/>
      <c r="B5" s="1150"/>
      <c r="C5" s="453" t="s">
        <v>1167</v>
      </c>
      <c r="F5" s="1150"/>
      <c r="G5" s="1150"/>
      <c r="H5" s="1152"/>
    </row>
    <row r="6" spans="1:8" ht="17.5" x14ac:dyDescent="0.35">
      <c r="A6" s="1153"/>
      <c r="B6" s="1153"/>
      <c r="C6" s="453" t="s">
        <v>1168</v>
      </c>
      <c r="D6" s="1150"/>
      <c r="E6" s="1153"/>
      <c r="F6" s="1153"/>
      <c r="G6" s="1153"/>
      <c r="H6" s="1151"/>
    </row>
    <row r="7" spans="1:8" ht="30" x14ac:dyDescent="0.25">
      <c r="A7" s="1154" t="s">
        <v>0</v>
      </c>
      <c r="B7" s="1155" t="s">
        <v>41</v>
      </c>
      <c r="C7" s="1154" t="s">
        <v>1</v>
      </c>
      <c r="D7" s="1154" t="s">
        <v>373</v>
      </c>
      <c r="E7" s="1154" t="s">
        <v>28</v>
      </c>
      <c r="F7" s="1154" t="s">
        <v>29</v>
      </c>
      <c r="G7" s="1154" t="s">
        <v>1077</v>
      </c>
    </row>
    <row r="8" spans="1:8" s="1158" customFormat="1" x14ac:dyDescent="0.35">
      <c r="A8" s="1154">
        <v>1</v>
      </c>
      <c r="B8" s="1579" t="s">
        <v>1169</v>
      </c>
      <c r="C8" s="1580"/>
      <c r="D8" s="1580"/>
      <c r="E8" s="1580"/>
      <c r="F8" s="1156">
        <f>SUM(F9:F12)</f>
        <v>1200000</v>
      </c>
      <c r="G8" s="1157"/>
    </row>
    <row r="9" spans="1:8" s="1158" customFormat="1" x14ac:dyDescent="0.35">
      <c r="A9" s="1159" t="s">
        <v>124</v>
      </c>
      <c r="B9" s="1160" t="s">
        <v>1025</v>
      </c>
      <c r="C9" s="1161" t="s">
        <v>1042</v>
      </c>
      <c r="D9" s="1162">
        <v>1</v>
      </c>
      <c r="E9" s="1163">
        <v>200000</v>
      </c>
      <c r="F9" s="1164">
        <f>D9*E9</f>
        <v>200000</v>
      </c>
      <c r="G9" s="1165" t="s">
        <v>1170</v>
      </c>
    </row>
    <row r="10" spans="1:8" s="1158" customFormat="1" x14ac:dyDescent="0.35">
      <c r="A10" s="1161" t="s">
        <v>578</v>
      </c>
      <c r="B10" s="1160" t="s">
        <v>1171</v>
      </c>
      <c r="C10" s="1161" t="s">
        <v>1042</v>
      </c>
      <c r="D10" s="1162">
        <v>2</v>
      </c>
      <c r="E10" s="1163">
        <v>100000</v>
      </c>
      <c r="F10" s="1164">
        <f>D10*E10</f>
        <v>200000</v>
      </c>
      <c r="G10" s="1165" t="s">
        <v>1170</v>
      </c>
    </row>
    <row r="11" spans="1:8" s="1158" customFormat="1" x14ac:dyDescent="0.35">
      <c r="A11" s="1159" t="s">
        <v>1172</v>
      </c>
      <c r="B11" s="1160" t="s">
        <v>1173</v>
      </c>
      <c r="C11" s="1161" t="s">
        <v>1042</v>
      </c>
      <c r="D11" s="1162">
        <v>2</v>
      </c>
      <c r="E11" s="1163">
        <v>200000</v>
      </c>
      <c r="F11" s="1164">
        <v>400000</v>
      </c>
      <c r="G11" s="1165" t="s">
        <v>1170</v>
      </c>
    </row>
    <row r="12" spans="1:8" s="1158" customFormat="1" x14ac:dyDescent="0.35">
      <c r="A12" s="1161" t="s">
        <v>1174</v>
      </c>
      <c r="B12" s="1160" t="s">
        <v>1175</v>
      </c>
      <c r="C12" s="1161" t="s">
        <v>1042</v>
      </c>
      <c r="D12" s="1162">
        <v>4</v>
      </c>
      <c r="E12" s="1163">
        <v>100000</v>
      </c>
      <c r="F12" s="1164">
        <v>400000</v>
      </c>
      <c r="G12" s="1165" t="s">
        <v>1170</v>
      </c>
    </row>
    <row r="13" spans="1:8" s="1158" customFormat="1" x14ac:dyDescent="0.35">
      <c r="A13" s="1154">
        <v>2</v>
      </c>
      <c r="B13" s="1579" t="s">
        <v>1176</v>
      </c>
      <c r="C13" s="1580"/>
      <c r="D13" s="1580"/>
      <c r="E13" s="1580"/>
      <c r="F13" s="1166">
        <f>SUM(F14:F16)</f>
        <v>800000</v>
      </c>
      <c r="G13" s="1167"/>
    </row>
    <row r="14" spans="1:8" s="1158" customFormat="1" x14ac:dyDescent="0.35">
      <c r="A14" s="1161" t="s">
        <v>131</v>
      </c>
      <c r="B14" s="1160" t="s">
        <v>1025</v>
      </c>
      <c r="C14" s="1161" t="s">
        <v>1042</v>
      </c>
      <c r="D14" s="1162">
        <v>1</v>
      </c>
      <c r="E14" s="1163">
        <v>200000</v>
      </c>
      <c r="F14" s="1163">
        <v>200000</v>
      </c>
      <c r="G14" s="1165" t="s">
        <v>1170</v>
      </c>
    </row>
    <row r="15" spans="1:8" s="1158" customFormat="1" x14ac:dyDescent="0.35">
      <c r="A15" s="1161" t="s">
        <v>132</v>
      </c>
      <c r="B15" s="1160" t="s">
        <v>1171</v>
      </c>
      <c r="C15" s="1161" t="s">
        <v>1042</v>
      </c>
      <c r="D15" s="1162">
        <v>2</v>
      </c>
      <c r="E15" s="1163">
        <v>100000</v>
      </c>
      <c r="F15" s="1164">
        <v>200000</v>
      </c>
      <c r="G15" s="1165" t="s">
        <v>1170</v>
      </c>
    </row>
    <row r="16" spans="1:8" s="1158" customFormat="1" x14ac:dyDescent="0.35">
      <c r="A16" s="1161" t="s">
        <v>133</v>
      </c>
      <c r="B16" s="1160" t="s">
        <v>1175</v>
      </c>
      <c r="C16" s="1161" t="s">
        <v>1042</v>
      </c>
      <c r="D16" s="1162">
        <v>4</v>
      </c>
      <c r="E16" s="1163">
        <v>100000</v>
      </c>
      <c r="F16" s="1164">
        <v>400000</v>
      </c>
      <c r="G16" s="1165" t="s">
        <v>1170</v>
      </c>
    </row>
    <row r="17" spans="1:7" s="1158" customFormat="1" x14ac:dyDescent="0.35">
      <c r="A17" s="1154">
        <v>3</v>
      </c>
      <c r="B17" s="1579" t="s">
        <v>1177</v>
      </c>
      <c r="C17" s="1580"/>
      <c r="D17" s="1580"/>
      <c r="E17" s="1580"/>
      <c r="F17" s="1166">
        <f>SUM(F18:F21)</f>
        <v>1400000</v>
      </c>
      <c r="G17" s="1167"/>
    </row>
    <row r="18" spans="1:7" s="1158" customFormat="1" x14ac:dyDescent="0.35">
      <c r="A18" s="1161" t="s">
        <v>1178</v>
      </c>
      <c r="B18" s="1160" t="s">
        <v>1179</v>
      </c>
      <c r="C18" s="1161" t="s">
        <v>1180</v>
      </c>
      <c r="D18" s="1161">
        <v>1</v>
      </c>
      <c r="E18" s="1163">
        <v>500000</v>
      </c>
      <c r="F18" s="1163">
        <v>500000</v>
      </c>
      <c r="G18" s="1165" t="s">
        <v>1170</v>
      </c>
    </row>
    <row r="19" spans="1:7" s="1158" customFormat="1" x14ac:dyDescent="0.35">
      <c r="A19" s="1161" t="s">
        <v>1181</v>
      </c>
      <c r="B19" s="1160" t="s">
        <v>1182</v>
      </c>
      <c r="C19" s="1161" t="s">
        <v>1180</v>
      </c>
      <c r="D19" s="1161">
        <v>1</v>
      </c>
      <c r="E19" s="1163">
        <v>400000</v>
      </c>
      <c r="F19" s="1163">
        <v>400000</v>
      </c>
      <c r="G19" s="1165" t="s">
        <v>1170</v>
      </c>
    </row>
    <row r="20" spans="1:7" s="1158" customFormat="1" x14ac:dyDescent="0.35">
      <c r="A20" s="1161" t="s">
        <v>1183</v>
      </c>
      <c r="B20" s="1160" t="s">
        <v>1184</v>
      </c>
      <c r="C20" s="1161" t="s">
        <v>1180</v>
      </c>
      <c r="D20" s="1161">
        <v>1</v>
      </c>
      <c r="E20" s="1163">
        <v>300000</v>
      </c>
      <c r="F20" s="1163">
        <v>300000</v>
      </c>
      <c r="G20" s="1165" t="s">
        <v>1170</v>
      </c>
    </row>
    <row r="21" spans="1:7" s="1158" customFormat="1" x14ac:dyDescent="0.35">
      <c r="A21" s="1161">
        <v>3.4</v>
      </c>
      <c r="B21" s="1160" t="s">
        <v>1185</v>
      </c>
      <c r="C21" s="1161" t="s">
        <v>1180</v>
      </c>
      <c r="D21" s="1161">
        <v>1</v>
      </c>
      <c r="E21" s="1163">
        <v>200000</v>
      </c>
      <c r="F21" s="1163">
        <v>200000</v>
      </c>
      <c r="G21" s="1165" t="s">
        <v>1170</v>
      </c>
    </row>
    <row r="22" spans="1:7" s="1158" customFormat="1" x14ac:dyDescent="0.35">
      <c r="A22" s="1154">
        <v>4</v>
      </c>
      <c r="B22" s="1168" t="s">
        <v>1186</v>
      </c>
      <c r="C22" s="1165"/>
      <c r="D22" s="1169"/>
      <c r="E22" s="1170"/>
      <c r="F22" s="1166">
        <v>1600000</v>
      </c>
      <c r="G22" s="1165"/>
    </row>
    <row r="23" spans="1:7" s="1158" customFormat="1" x14ac:dyDescent="0.35">
      <c r="A23" s="1171">
        <v>4.0999999999999996</v>
      </c>
      <c r="B23" s="1172" t="s">
        <v>1187</v>
      </c>
      <c r="C23" s="1173" t="s">
        <v>1188</v>
      </c>
      <c r="D23" s="1174">
        <v>2</v>
      </c>
      <c r="E23" s="1175">
        <v>500000</v>
      </c>
      <c r="F23" s="1176">
        <v>1000000</v>
      </c>
      <c r="G23" s="1165" t="s">
        <v>1170</v>
      </c>
    </row>
    <row r="24" spans="1:7" s="1158" customFormat="1" x14ac:dyDescent="0.35">
      <c r="A24" s="1171">
        <v>4.0999999999999996</v>
      </c>
      <c r="B24" s="1172" t="s">
        <v>1189</v>
      </c>
      <c r="C24" s="1173" t="s">
        <v>1188</v>
      </c>
      <c r="D24" s="1174">
        <v>2</v>
      </c>
      <c r="E24" s="1175">
        <v>500000</v>
      </c>
      <c r="F24" s="1176">
        <v>1000000</v>
      </c>
      <c r="G24" s="1165" t="s">
        <v>1170</v>
      </c>
    </row>
    <row r="25" spans="1:7" s="1158" customFormat="1" x14ac:dyDescent="0.35">
      <c r="A25" s="1154">
        <v>5</v>
      </c>
      <c r="B25" s="1167" t="s">
        <v>1190</v>
      </c>
      <c r="C25" s="1173" t="s">
        <v>1180</v>
      </c>
      <c r="D25" s="1174">
        <v>4</v>
      </c>
      <c r="E25" s="1175">
        <v>1000000</v>
      </c>
      <c r="F25" s="1166">
        <v>4000000</v>
      </c>
      <c r="G25" s="1165" t="s">
        <v>1170</v>
      </c>
    </row>
    <row r="26" spans="1:7" s="1158" customFormat="1" ht="17" thickBot="1" x14ac:dyDescent="0.4">
      <c r="A26" s="1171">
        <v>6</v>
      </c>
      <c r="B26" s="1177" t="s">
        <v>105</v>
      </c>
      <c r="C26" s="1173"/>
      <c r="D26" s="1174"/>
      <c r="E26" s="1175"/>
      <c r="F26" s="1166">
        <v>4160000</v>
      </c>
      <c r="G26" s="1165"/>
    </row>
    <row r="27" spans="1:7" s="1158" customFormat="1" ht="17" thickBot="1" x14ac:dyDescent="0.4">
      <c r="A27" s="1171">
        <v>6.1</v>
      </c>
      <c r="B27" s="1178" t="s">
        <v>1191</v>
      </c>
      <c r="C27" s="1173" t="s">
        <v>1042</v>
      </c>
      <c r="D27" s="1174">
        <v>10</v>
      </c>
      <c r="E27" s="1175">
        <v>100000</v>
      </c>
      <c r="F27" s="1176">
        <v>1000000</v>
      </c>
      <c r="G27" s="1165" t="s">
        <v>1170</v>
      </c>
    </row>
    <row r="28" spans="1:7" s="1158" customFormat="1" x14ac:dyDescent="0.35">
      <c r="A28" s="1171">
        <v>6.2</v>
      </c>
      <c r="B28" s="1179" t="s">
        <v>1192</v>
      </c>
      <c r="C28" s="1173" t="s">
        <v>370</v>
      </c>
      <c r="D28" s="1174">
        <v>30</v>
      </c>
      <c r="E28" s="1175">
        <v>20</v>
      </c>
      <c r="F28" s="1176">
        <v>600000</v>
      </c>
      <c r="G28" s="1165" t="s">
        <v>1193</v>
      </c>
    </row>
    <row r="29" spans="1:7" s="1158" customFormat="1" x14ac:dyDescent="0.35">
      <c r="A29" s="1180">
        <v>6.3</v>
      </c>
      <c r="B29" s="1181" t="s">
        <v>1194</v>
      </c>
      <c r="C29" s="1182" t="s">
        <v>1195</v>
      </c>
      <c r="D29" s="1174">
        <v>7</v>
      </c>
      <c r="E29" s="1175">
        <v>50000</v>
      </c>
      <c r="F29" s="1183">
        <v>350000</v>
      </c>
      <c r="G29" s="1165" t="s">
        <v>1193</v>
      </c>
    </row>
    <row r="30" spans="1:7" s="1158" customFormat="1" x14ac:dyDescent="0.35">
      <c r="A30" s="1171">
        <v>6.4</v>
      </c>
      <c r="B30" s="1181" t="s">
        <v>1196</v>
      </c>
      <c r="C30" s="1182" t="s">
        <v>370</v>
      </c>
      <c r="D30" s="1174">
        <v>1</v>
      </c>
      <c r="E30" s="1175">
        <v>315000</v>
      </c>
      <c r="F30" s="1175">
        <v>315000</v>
      </c>
      <c r="G30" s="1165" t="s">
        <v>1193</v>
      </c>
    </row>
    <row r="31" spans="1:7" s="1158" customFormat="1" ht="31" x14ac:dyDescent="0.35">
      <c r="A31" s="1180">
        <v>6.5</v>
      </c>
      <c r="B31" s="1179" t="s">
        <v>1197</v>
      </c>
      <c r="C31" s="1173" t="s">
        <v>1042</v>
      </c>
      <c r="D31" s="1174">
        <v>4</v>
      </c>
      <c r="E31" s="1175">
        <v>50000</v>
      </c>
      <c r="F31" s="1184">
        <v>200000</v>
      </c>
      <c r="G31" s="1165" t="s">
        <v>1170</v>
      </c>
    </row>
    <row r="32" spans="1:7" s="1158" customFormat="1" x14ac:dyDescent="0.35">
      <c r="A32" s="1180">
        <v>6.6</v>
      </c>
      <c r="B32" s="1181" t="s">
        <v>1198</v>
      </c>
      <c r="C32" s="1182" t="s">
        <v>1199</v>
      </c>
      <c r="D32" s="1174">
        <v>2</v>
      </c>
      <c r="E32" s="1175">
        <v>97000</v>
      </c>
      <c r="F32" s="1176">
        <v>195000</v>
      </c>
      <c r="G32" s="1165" t="s">
        <v>1193</v>
      </c>
    </row>
    <row r="33" spans="1:7" s="1158" customFormat="1" x14ac:dyDescent="0.35">
      <c r="A33" s="1180">
        <v>6.7</v>
      </c>
      <c r="B33" s="1181" t="s">
        <v>1200</v>
      </c>
      <c r="C33" s="1182" t="s">
        <v>1201</v>
      </c>
      <c r="D33" s="1180">
        <v>1</v>
      </c>
      <c r="E33" s="1175"/>
      <c r="F33" s="1176">
        <v>500000</v>
      </c>
      <c r="G33" s="1165" t="s">
        <v>1193</v>
      </c>
    </row>
    <row r="34" spans="1:7" s="1158" customFormat="1" x14ac:dyDescent="0.35">
      <c r="A34" s="1174">
        <v>6.8</v>
      </c>
      <c r="B34" s="1181" t="s">
        <v>1202</v>
      </c>
      <c r="C34" s="1182" t="s">
        <v>370</v>
      </c>
      <c r="D34" s="1174">
        <v>20</v>
      </c>
      <c r="E34" s="1175">
        <v>30000</v>
      </c>
      <c r="F34" s="1176">
        <v>600000</v>
      </c>
      <c r="G34" s="1165" t="s">
        <v>1193</v>
      </c>
    </row>
    <row r="35" spans="1:7" s="1158" customFormat="1" x14ac:dyDescent="0.35">
      <c r="A35" s="1165">
        <v>6.9</v>
      </c>
      <c r="B35" s="1185" t="s">
        <v>1203</v>
      </c>
      <c r="C35" s="1182" t="s">
        <v>370</v>
      </c>
      <c r="D35" s="1174">
        <v>4</v>
      </c>
      <c r="E35" s="1175">
        <v>100000</v>
      </c>
      <c r="F35" s="1176">
        <v>400000</v>
      </c>
      <c r="G35" s="1165" t="s">
        <v>1193</v>
      </c>
    </row>
    <row r="36" spans="1:7" s="1158" customFormat="1" x14ac:dyDescent="0.35">
      <c r="A36" s="1174"/>
      <c r="B36" s="1167" t="s">
        <v>353</v>
      </c>
      <c r="C36" s="1186"/>
      <c r="D36" s="1187"/>
      <c r="E36" s="1187"/>
      <c r="F36" s="1166">
        <v>13160000</v>
      </c>
      <c r="G36" s="1165"/>
    </row>
    <row r="37" spans="1:7" s="1158" customFormat="1" x14ac:dyDescent="0.35">
      <c r="A37" s="1188"/>
      <c r="B37" s="1189" t="s">
        <v>1204</v>
      </c>
      <c r="C37" s="1190" t="s">
        <v>1205</v>
      </c>
      <c r="D37" s="1190" t="s">
        <v>1206</v>
      </c>
      <c r="E37" s="1190" t="s">
        <v>1207</v>
      </c>
      <c r="F37" s="1191"/>
    </row>
    <row r="38" spans="1:7" s="1194" customFormat="1" x14ac:dyDescent="0.35">
      <c r="A38" s="1192"/>
      <c r="B38" s="1193"/>
      <c r="C38" s="1576" t="s">
        <v>1208</v>
      </c>
      <c r="D38" s="1576"/>
      <c r="E38" s="1576"/>
      <c r="F38" s="1576"/>
      <c r="G38" s="1576"/>
    </row>
    <row r="39" spans="1:7" ht="15" x14ac:dyDescent="0.3">
      <c r="B39" s="1195" t="s">
        <v>1068</v>
      </c>
      <c r="D39" s="1124"/>
      <c r="E39" s="1124"/>
      <c r="F39" s="1124" t="s">
        <v>1209</v>
      </c>
      <c r="G39" s="1124"/>
    </row>
    <row r="42" spans="1:7" ht="15" x14ac:dyDescent="0.3">
      <c r="A42" s="1196"/>
      <c r="B42" s="1124"/>
      <c r="C42" s="810"/>
      <c r="D42" s="1124"/>
      <c r="E42" s="1124"/>
      <c r="F42" s="1124"/>
    </row>
    <row r="43" spans="1:7" ht="15" x14ac:dyDescent="0.3">
      <c r="B43" s="1124"/>
      <c r="C43" s="810"/>
      <c r="D43" s="1124"/>
      <c r="E43" s="1124"/>
      <c r="F43" s="1124"/>
    </row>
    <row r="44" spans="1:7" ht="15" x14ac:dyDescent="0.3">
      <c r="B44" s="1124"/>
      <c r="C44" s="810"/>
      <c r="D44" s="1124"/>
      <c r="E44" s="1124"/>
      <c r="F44" s="1124" t="s">
        <v>301</v>
      </c>
    </row>
    <row r="45" spans="1:7" ht="15" x14ac:dyDescent="0.3">
      <c r="B45" s="1197"/>
      <c r="C45" s="810"/>
      <c r="D45" s="1124"/>
      <c r="E45" s="1124"/>
      <c r="F45" s="1124"/>
    </row>
    <row r="46" spans="1:7" ht="15" x14ac:dyDescent="0.3">
      <c r="B46" s="810" t="s">
        <v>1210</v>
      </c>
      <c r="C46" s="1124"/>
      <c r="D46" s="1124" t="s">
        <v>1211</v>
      </c>
      <c r="E46" s="1124"/>
      <c r="F46" s="1124"/>
      <c r="G46" s="1124" t="s">
        <v>1212</v>
      </c>
    </row>
  </sheetData>
  <mergeCells count="7">
    <mergeCell ref="C38:G38"/>
    <mergeCell ref="C1:G1"/>
    <mergeCell ref="C2:G2"/>
    <mergeCell ref="A4:G4"/>
    <mergeCell ref="B8:E8"/>
    <mergeCell ref="B13:E13"/>
    <mergeCell ref="B17:E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08"/>
  <sheetViews>
    <sheetView tabSelected="1" zoomScale="110" zoomScaleNormal="110" workbookViewId="0">
      <pane xSplit="2" ySplit="7" topLeftCell="C295" activePane="bottomRight" state="frozen"/>
      <selection pane="topRight" activeCell="C1" sqref="C1"/>
      <selection pane="bottomLeft" activeCell="A8" sqref="A8"/>
      <selection pane="bottomRight" activeCell="N300" sqref="N300:Q300"/>
    </sheetView>
  </sheetViews>
  <sheetFormatPr defaultColWidth="9.1796875" defaultRowHeight="13" x14ac:dyDescent="0.3"/>
  <cols>
    <col min="1" max="1" width="5.453125" style="925" customWidth="1"/>
    <col min="2" max="2" width="41.1796875" style="925" customWidth="1"/>
    <col min="3" max="3" width="7" style="927" customWidth="1"/>
    <col min="4" max="4" width="6.453125" style="927" customWidth="1"/>
    <col min="5" max="5" width="6" style="927" customWidth="1"/>
    <col min="6" max="6" width="7.453125" style="174" customWidth="1"/>
    <col min="7" max="7" width="6.81640625" style="927" customWidth="1"/>
    <col min="8" max="8" width="11.1796875" style="927" customWidth="1"/>
    <col min="9" max="10" width="8.36328125" style="927" customWidth="1"/>
    <col min="11" max="11" width="6.453125" style="926" customWidth="1"/>
    <col min="12" max="12" width="7.6328125" style="926" customWidth="1"/>
    <col min="13" max="13" width="9.453125" style="926" customWidth="1"/>
    <col min="14" max="14" width="11" style="926" customWidth="1"/>
    <col min="15" max="15" width="6.6328125" style="926" customWidth="1"/>
    <col min="16" max="16" width="9.6328125" style="926" customWidth="1"/>
    <col min="17" max="17" width="12.6328125" style="822" customWidth="1"/>
    <col min="18" max="16384" width="9.1796875" style="822"/>
  </cols>
  <sheetData>
    <row r="1" spans="1:17" ht="14.25" customHeight="1" x14ac:dyDescent="0.3">
      <c r="A1" s="1459" t="s">
        <v>3</v>
      </c>
      <c r="B1" s="1459"/>
      <c r="C1" s="1459"/>
      <c r="D1" s="14"/>
      <c r="E1" s="14"/>
      <c r="F1" s="14"/>
      <c r="G1" s="14"/>
      <c r="H1" s="174"/>
      <c r="I1" s="1435"/>
      <c r="J1" s="1435"/>
      <c r="K1" s="1435"/>
      <c r="L1" s="1435"/>
      <c r="M1" s="1435"/>
      <c r="N1" s="1435"/>
      <c r="O1" s="15"/>
      <c r="P1" s="15"/>
      <c r="Q1" s="320" t="s">
        <v>30</v>
      </c>
    </row>
    <row r="2" spans="1:17" x14ac:dyDescent="0.3">
      <c r="A2" s="1439" t="s">
        <v>530</v>
      </c>
      <c r="B2" s="1439"/>
      <c r="C2" s="1439"/>
      <c r="D2" s="153"/>
      <c r="E2" s="153"/>
      <c r="F2" s="14"/>
      <c r="G2" s="153"/>
      <c r="H2" s="174"/>
      <c r="I2" s="1435"/>
      <c r="J2" s="1435"/>
      <c r="K2" s="1435"/>
      <c r="L2" s="1435"/>
      <c r="M2" s="1435"/>
      <c r="N2" s="1435"/>
      <c r="O2" s="15"/>
      <c r="P2" s="15"/>
      <c r="Q2" s="15"/>
    </row>
    <row r="3" spans="1:17" ht="30" customHeight="1" x14ac:dyDescent="0.25">
      <c r="A3" s="1460" t="s">
        <v>981</v>
      </c>
      <c r="B3" s="1460"/>
      <c r="C3" s="1460"/>
      <c r="D3" s="1460"/>
      <c r="E3" s="1460"/>
      <c r="F3" s="1460"/>
      <c r="G3" s="1460"/>
      <c r="H3" s="1460"/>
      <c r="I3" s="1460"/>
      <c r="J3" s="1460"/>
      <c r="K3" s="1460"/>
      <c r="L3" s="1460"/>
      <c r="M3" s="1460"/>
      <c r="N3" s="1460"/>
      <c r="O3" s="1460"/>
      <c r="P3" s="1460"/>
      <c r="Q3" s="1460"/>
    </row>
    <row r="4" spans="1:17" ht="13.5" thickBot="1" x14ac:dyDescent="0.35">
      <c r="A4" s="51"/>
      <c r="B4" s="51"/>
      <c r="C4" s="61"/>
      <c r="D4" s="61"/>
      <c r="E4" s="61"/>
      <c r="F4" s="61"/>
      <c r="G4" s="61"/>
      <c r="H4" s="61"/>
      <c r="I4" s="61"/>
      <c r="J4" s="61"/>
      <c r="K4" s="51"/>
      <c r="L4" s="51"/>
      <c r="M4" s="51"/>
      <c r="N4" s="51" t="s">
        <v>20</v>
      </c>
      <c r="O4" s="51"/>
      <c r="P4" s="51"/>
      <c r="Q4" s="61"/>
    </row>
    <row r="5" spans="1:17" ht="99" customHeight="1" thickTop="1" x14ac:dyDescent="0.25">
      <c r="A5" s="1461" t="s">
        <v>0</v>
      </c>
      <c r="B5" s="1443" t="s">
        <v>171</v>
      </c>
      <c r="C5" s="1443" t="s">
        <v>204</v>
      </c>
      <c r="D5" s="792" t="s">
        <v>205</v>
      </c>
      <c r="E5" s="1443" t="s">
        <v>152</v>
      </c>
      <c r="F5" s="1443" t="s">
        <v>159</v>
      </c>
      <c r="G5" s="1443" t="s">
        <v>208</v>
      </c>
      <c r="H5" s="1454" t="s">
        <v>207</v>
      </c>
      <c r="I5" s="1456" t="s">
        <v>209</v>
      </c>
      <c r="J5" s="1457"/>
      <c r="K5" s="1458"/>
      <c r="L5" s="1443" t="s">
        <v>210</v>
      </c>
      <c r="M5" s="1443" t="s">
        <v>211</v>
      </c>
      <c r="N5" s="1443" t="s">
        <v>39</v>
      </c>
      <c r="O5" s="1443" t="s">
        <v>86</v>
      </c>
      <c r="P5" s="1443" t="s">
        <v>87</v>
      </c>
      <c r="Q5" s="1445" t="s">
        <v>2</v>
      </c>
    </row>
    <row r="6" spans="1:17" ht="50" customHeight="1" x14ac:dyDescent="0.25">
      <c r="A6" s="1462"/>
      <c r="B6" s="1444"/>
      <c r="C6" s="1444"/>
      <c r="D6" s="793"/>
      <c r="E6" s="1444"/>
      <c r="F6" s="1444"/>
      <c r="G6" s="1444"/>
      <c r="H6" s="1455"/>
      <c r="I6" s="609" t="s">
        <v>160</v>
      </c>
      <c r="J6" s="609" t="s">
        <v>101</v>
      </c>
      <c r="K6" s="609" t="s">
        <v>158</v>
      </c>
      <c r="L6" s="1444"/>
      <c r="M6" s="1444"/>
      <c r="N6" s="1444"/>
      <c r="O6" s="1444"/>
      <c r="P6" s="1444"/>
      <c r="Q6" s="1446"/>
    </row>
    <row r="7" spans="1:17" s="823" customFormat="1" ht="30" customHeight="1" x14ac:dyDescent="0.25">
      <c r="A7" s="62" t="s">
        <v>115</v>
      </c>
      <c r="B7" s="610" t="s">
        <v>116</v>
      </c>
      <c r="C7" s="610" t="s">
        <v>117</v>
      </c>
      <c r="D7" s="611" t="s">
        <v>118</v>
      </c>
      <c r="E7" s="611" t="s">
        <v>119</v>
      </c>
      <c r="F7" s="612" t="s">
        <v>768</v>
      </c>
      <c r="G7" s="611" t="s">
        <v>121</v>
      </c>
      <c r="H7" s="611" t="s">
        <v>769</v>
      </c>
      <c r="I7" s="611" t="s">
        <v>770</v>
      </c>
      <c r="J7" s="611" t="s">
        <v>125</v>
      </c>
      <c r="K7" s="611" t="s">
        <v>134</v>
      </c>
      <c r="L7" s="611" t="s">
        <v>126</v>
      </c>
      <c r="M7" s="611" t="s">
        <v>127</v>
      </c>
      <c r="N7" s="611" t="s">
        <v>128</v>
      </c>
      <c r="O7" s="611" t="s">
        <v>129</v>
      </c>
      <c r="P7" s="202" t="s">
        <v>130</v>
      </c>
      <c r="Q7" s="202" t="s">
        <v>206</v>
      </c>
    </row>
    <row r="8" spans="1:17" ht="25" customHeight="1" x14ac:dyDescent="0.25">
      <c r="A8" s="209" t="s">
        <v>6</v>
      </c>
      <c r="B8" s="824" t="s">
        <v>294</v>
      </c>
      <c r="C8" s="210"/>
      <c r="D8" s="210"/>
      <c r="E8" s="210"/>
      <c r="F8" s="314"/>
      <c r="G8" s="210"/>
      <c r="H8" s="210"/>
      <c r="I8" s="210"/>
      <c r="J8" s="210"/>
      <c r="K8" s="209"/>
      <c r="L8" s="209"/>
      <c r="M8" s="209"/>
      <c r="N8" s="209"/>
      <c r="O8" s="209"/>
      <c r="P8" s="209"/>
      <c r="Q8" s="209"/>
    </row>
    <row r="9" spans="1:17" ht="25" customHeight="1" x14ac:dyDescent="0.25">
      <c r="A9" s="242" t="s">
        <v>7</v>
      </c>
      <c r="B9" s="242" t="s">
        <v>591</v>
      </c>
      <c r="C9" s="243"/>
      <c r="D9" s="243"/>
      <c r="E9" s="243"/>
      <c r="F9" s="315"/>
      <c r="G9" s="243"/>
      <c r="H9" s="243"/>
      <c r="I9" s="243"/>
      <c r="J9" s="243"/>
      <c r="K9" s="242"/>
      <c r="L9" s="242"/>
      <c r="M9" s="242"/>
      <c r="N9" s="242"/>
      <c r="O9" s="242"/>
      <c r="P9" s="242"/>
      <c r="Q9" s="242"/>
    </row>
    <row r="10" spans="1:17" ht="25" customHeight="1" x14ac:dyDescent="0.25">
      <c r="A10" s="242">
        <v>1</v>
      </c>
      <c r="B10" s="242" t="s">
        <v>4</v>
      </c>
      <c r="C10" s="243"/>
      <c r="D10" s="243"/>
      <c r="E10" s="243"/>
      <c r="F10" s="315"/>
      <c r="G10" s="243"/>
      <c r="H10" s="243"/>
      <c r="I10" s="243"/>
      <c r="J10" s="243"/>
      <c r="K10" s="242"/>
      <c r="L10" s="242"/>
      <c r="M10" s="242"/>
      <c r="N10" s="242"/>
      <c r="O10" s="242"/>
      <c r="P10" s="242"/>
      <c r="Q10" s="242"/>
    </row>
    <row r="11" spans="1:17" s="825" customFormat="1" ht="25" customHeight="1" x14ac:dyDescent="0.25">
      <c r="A11" s="244" t="s">
        <v>147</v>
      </c>
      <c r="B11" s="245" t="s">
        <v>161</v>
      </c>
      <c r="C11" s="246"/>
      <c r="D11" s="246"/>
      <c r="E11" s="246"/>
      <c r="F11" s="249"/>
      <c r="G11" s="246"/>
      <c r="H11" s="246"/>
      <c r="I11" s="247"/>
      <c r="J11" s="247"/>
      <c r="K11" s="247"/>
      <c r="L11" s="247"/>
      <c r="M11" s="247"/>
      <c r="N11" s="247"/>
      <c r="O11" s="247"/>
      <c r="P11" s="247"/>
      <c r="Q11" s="248"/>
    </row>
    <row r="12" spans="1:17" s="825" customFormat="1" ht="25" customHeight="1" x14ac:dyDescent="0.25">
      <c r="A12" s="826" t="s">
        <v>226</v>
      </c>
      <c r="B12" s="827" t="s">
        <v>910</v>
      </c>
      <c r="C12" s="797">
        <v>4</v>
      </c>
      <c r="D12" s="800">
        <v>1</v>
      </c>
      <c r="E12" s="797">
        <v>2</v>
      </c>
      <c r="F12" s="253">
        <f>I12+J12+K12</f>
        <v>132</v>
      </c>
      <c r="G12" s="796">
        <v>40</v>
      </c>
      <c r="H12" s="249">
        <f>C12*E12*G12</f>
        <v>320</v>
      </c>
      <c r="I12" s="251">
        <f>IF(G12&lt;70, C12*E12*16.5*1, C12*E12*16.5*1.3)</f>
        <v>132</v>
      </c>
      <c r="J12" s="247"/>
      <c r="K12" s="247"/>
      <c r="L12" s="247"/>
      <c r="M12" s="247"/>
      <c r="N12" s="247"/>
      <c r="O12" s="247"/>
      <c r="P12" s="247"/>
      <c r="Q12" s="248"/>
    </row>
    <row r="13" spans="1:17" s="825" customFormat="1" ht="25" customHeight="1" x14ac:dyDescent="0.25">
      <c r="A13" s="826" t="s">
        <v>227</v>
      </c>
      <c r="B13" s="827" t="s">
        <v>911</v>
      </c>
      <c r="C13" s="797">
        <v>4</v>
      </c>
      <c r="D13" s="797">
        <v>1</v>
      </c>
      <c r="E13" s="797">
        <v>2</v>
      </c>
      <c r="F13" s="253">
        <f>I13+J13+K13</f>
        <v>132</v>
      </c>
      <c r="G13" s="796">
        <v>40</v>
      </c>
      <c r="H13" s="249">
        <f t="shared" ref="H13:H43" si="0">C13*E13*G13</f>
        <v>320</v>
      </c>
      <c r="I13" s="251">
        <f t="shared" ref="I13:I41" si="1">IF(G13&lt;70, C13*E13*16.5*1, C13*E13*16.5*1.3)</f>
        <v>132</v>
      </c>
      <c r="J13" s="247"/>
      <c r="K13" s="247"/>
      <c r="L13" s="247"/>
      <c r="M13" s="247"/>
      <c r="N13" s="247"/>
      <c r="O13" s="247"/>
      <c r="P13" s="247"/>
      <c r="Q13" s="244" t="s">
        <v>698</v>
      </c>
    </row>
    <row r="14" spans="1:17" s="825" customFormat="1" ht="25" customHeight="1" x14ac:dyDescent="0.25">
      <c r="A14" s="826" t="s">
        <v>228</v>
      </c>
      <c r="B14" s="828" t="s">
        <v>838</v>
      </c>
      <c r="C14" s="797">
        <v>2</v>
      </c>
      <c r="D14" s="797">
        <v>1</v>
      </c>
      <c r="E14" s="829">
        <v>4</v>
      </c>
      <c r="F14" s="253">
        <f t="shared" ref="F14:F43" si="2">I14+J14+K14</f>
        <v>171.6</v>
      </c>
      <c r="G14" s="796">
        <v>75</v>
      </c>
      <c r="H14" s="249">
        <f t="shared" si="0"/>
        <v>600</v>
      </c>
      <c r="I14" s="251">
        <f t="shared" si="1"/>
        <v>171.6</v>
      </c>
      <c r="J14" s="247"/>
      <c r="K14" s="247"/>
      <c r="L14" s="247"/>
      <c r="M14" s="247"/>
      <c r="N14" s="247"/>
      <c r="O14" s="247"/>
      <c r="P14" s="247"/>
      <c r="Q14" s="248"/>
    </row>
    <row r="15" spans="1:17" s="825" customFormat="1" ht="25" customHeight="1" x14ac:dyDescent="0.25">
      <c r="A15" s="826" t="s">
        <v>229</v>
      </c>
      <c r="B15" s="828" t="s">
        <v>839</v>
      </c>
      <c r="C15" s="797">
        <v>3</v>
      </c>
      <c r="D15" s="797">
        <v>1</v>
      </c>
      <c r="E15" s="797">
        <v>4</v>
      </c>
      <c r="F15" s="253">
        <f t="shared" si="2"/>
        <v>257.40000000000003</v>
      </c>
      <c r="G15" s="796">
        <v>75</v>
      </c>
      <c r="H15" s="249">
        <f t="shared" si="0"/>
        <v>900</v>
      </c>
      <c r="I15" s="251">
        <f t="shared" si="1"/>
        <v>257.40000000000003</v>
      </c>
      <c r="J15" s="247"/>
      <c r="K15" s="247"/>
      <c r="L15" s="247"/>
      <c r="M15" s="247"/>
      <c r="N15" s="247"/>
      <c r="O15" s="247"/>
      <c r="P15" s="247"/>
      <c r="Q15" s="248"/>
    </row>
    <row r="16" spans="1:17" s="825" customFormat="1" ht="25" customHeight="1" x14ac:dyDescent="0.25">
      <c r="A16" s="826" t="s">
        <v>230</v>
      </c>
      <c r="B16" s="828" t="s">
        <v>251</v>
      </c>
      <c r="C16" s="797">
        <v>2</v>
      </c>
      <c r="D16" s="797">
        <v>1</v>
      </c>
      <c r="E16" s="797">
        <v>4</v>
      </c>
      <c r="F16" s="253">
        <f t="shared" si="2"/>
        <v>171.6</v>
      </c>
      <c r="G16" s="796">
        <v>75</v>
      </c>
      <c r="H16" s="249">
        <f t="shared" si="0"/>
        <v>600</v>
      </c>
      <c r="I16" s="251">
        <f t="shared" si="1"/>
        <v>171.6</v>
      </c>
      <c r="J16" s="247"/>
      <c r="K16" s="247"/>
      <c r="L16" s="247"/>
      <c r="M16" s="247"/>
      <c r="N16" s="247"/>
      <c r="O16" s="247"/>
      <c r="P16" s="247"/>
      <c r="Q16" s="248"/>
    </row>
    <row r="17" spans="1:17" s="825" customFormat="1" ht="25" customHeight="1" x14ac:dyDescent="0.25">
      <c r="A17" s="826" t="s">
        <v>231</v>
      </c>
      <c r="B17" s="828" t="s">
        <v>840</v>
      </c>
      <c r="C17" s="797">
        <v>3</v>
      </c>
      <c r="D17" s="797">
        <v>1.3</v>
      </c>
      <c r="E17" s="797">
        <v>14</v>
      </c>
      <c r="F17" s="253">
        <f t="shared" si="2"/>
        <v>693</v>
      </c>
      <c r="G17" s="796">
        <v>20</v>
      </c>
      <c r="H17" s="249">
        <f t="shared" si="0"/>
        <v>840</v>
      </c>
      <c r="I17" s="251">
        <f t="shared" si="1"/>
        <v>693</v>
      </c>
      <c r="J17" s="247"/>
      <c r="K17" s="247"/>
      <c r="L17" s="247"/>
      <c r="M17" s="247"/>
      <c r="N17" s="247"/>
      <c r="O17" s="247"/>
      <c r="P17" s="247"/>
      <c r="Q17" s="248"/>
    </row>
    <row r="18" spans="1:17" s="825" customFormat="1" ht="25" customHeight="1" x14ac:dyDescent="0.25">
      <c r="A18" s="826" t="s">
        <v>282</v>
      </c>
      <c r="B18" s="827" t="s">
        <v>254</v>
      </c>
      <c r="C18" s="800">
        <v>4</v>
      </c>
      <c r="D18" s="800">
        <v>1.4</v>
      </c>
      <c r="E18" s="800">
        <v>14</v>
      </c>
      <c r="F18" s="253">
        <f t="shared" si="2"/>
        <v>924</v>
      </c>
      <c r="G18" s="804">
        <v>20</v>
      </c>
      <c r="H18" s="249">
        <f t="shared" si="0"/>
        <v>1120</v>
      </c>
      <c r="I18" s="251">
        <f t="shared" si="1"/>
        <v>924</v>
      </c>
      <c r="J18" s="247"/>
      <c r="K18" s="247"/>
      <c r="L18" s="247"/>
      <c r="M18" s="247"/>
      <c r="N18" s="247"/>
      <c r="O18" s="247"/>
      <c r="P18" s="247"/>
      <c r="Q18" s="248"/>
    </row>
    <row r="19" spans="1:17" s="825" customFormat="1" ht="25" customHeight="1" x14ac:dyDescent="0.3">
      <c r="A19" s="826" t="s">
        <v>283</v>
      </c>
      <c r="B19" s="830" t="s">
        <v>841</v>
      </c>
      <c r="C19" s="797">
        <v>2</v>
      </c>
      <c r="D19" s="797">
        <v>1</v>
      </c>
      <c r="E19" s="797">
        <v>2</v>
      </c>
      <c r="F19" s="253">
        <f t="shared" si="2"/>
        <v>85.8</v>
      </c>
      <c r="G19" s="796">
        <v>70</v>
      </c>
      <c r="H19" s="249">
        <f t="shared" si="0"/>
        <v>280</v>
      </c>
      <c r="I19" s="251">
        <f t="shared" si="1"/>
        <v>85.8</v>
      </c>
      <c r="J19" s="247"/>
      <c r="K19" s="247"/>
      <c r="L19" s="247"/>
      <c r="M19" s="247"/>
      <c r="N19" s="247"/>
      <c r="O19" s="247"/>
      <c r="P19" s="247"/>
      <c r="Q19" s="248"/>
    </row>
    <row r="20" spans="1:17" s="825" customFormat="1" ht="25" customHeight="1" x14ac:dyDescent="0.3">
      <c r="A20" s="826" t="s">
        <v>284</v>
      </c>
      <c r="B20" s="831" t="s">
        <v>842</v>
      </c>
      <c r="C20" s="797">
        <v>4</v>
      </c>
      <c r="D20" s="797">
        <v>1</v>
      </c>
      <c r="E20" s="797">
        <v>2</v>
      </c>
      <c r="F20" s="253">
        <f t="shared" si="2"/>
        <v>171.6</v>
      </c>
      <c r="G20" s="796">
        <v>70</v>
      </c>
      <c r="H20" s="249">
        <f t="shared" si="0"/>
        <v>560</v>
      </c>
      <c r="I20" s="251">
        <f t="shared" si="1"/>
        <v>171.6</v>
      </c>
      <c r="J20" s="247"/>
      <c r="K20" s="247"/>
      <c r="L20" s="247"/>
      <c r="M20" s="247"/>
      <c r="N20" s="247"/>
      <c r="O20" s="247"/>
      <c r="P20" s="247"/>
      <c r="Q20" s="248"/>
    </row>
    <row r="21" spans="1:17" s="825" customFormat="1" ht="25" customHeight="1" x14ac:dyDescent="0.3">
      <c r="A21" s="826" t="s">
        <v>285</v>
      </c>
      <c r="B21" s="830" t="s">
        <v>843</v>
      </c>
      <c r="C21" s="797">
        <v>5</v>
      </c>
      <c r="D21" s="797">
        <v>1</v>
      </c>
      <c r="E21" s="797">
        <v>3</v>
      </c>
      <c r="F21" s="253">
        <f t="shared" si="2"/>
        <v>321.75</v>
      </c>
      <c r="G21" s="796">
        <v>70</v>
      </c>
      <c r="H21" s="249">
        <f t="shared" si="0"/>
        <v>1050</v>
      </c>
      <c r="I21" s="251">
        <f t="shared" si="1"/>
        <v>321.75</v>
      </c>
      <c r="J21" s="252"/>
      <c r="K21" s="252"/>
      <c r="L21" s="252"/>
      <c r="M21" s="252"/>
      <c r="N21" s="252"/>
      <c r="O21" s="252"/>
      <c r="P21" s="252"/>
      <c r="Q21" s="253"/>
    </row>
    <row r="22" spans="1:17" s="825" customFormat="1" ht="25" customHeight="1" x14ac:dyDescent="0.3">
      <c r="A22" s="826" t="s">
        <v>286</v>
      </c>
      <c r="B22" s="11" t="s">
        <v>844</v>
      </c>
      <c r="C22" s="797">
        <v>3</v>
      </c>
      <c r="D22" s="797">
        <v>1</v>
      </c>
      <c r="E22" s="797">
        <v>3</v>
      </c>
      <c r="F22" s="253">
        <f t="shared" si="2"/>
        <v>193.05</v>
      </c>
      <c r="G22" s="796">
        <v>70</v>
      </c>
      <c r="H22" s="249">
        <f t="shared" si="0"/>
        <v>630</v>
      </c>
      <c r="I22" s="251">
        <f t="shared" si="1"/>
        <v>193.05</v>
      </c>
      <c r="J22" s="252"/>
      <c r="K22" s="252"/>
      <c r="L22" s="252"/>
      <c r="M22" s="252"/>
      <c r="N22" s="252"/>
      <c r="O22" s="252"/>
      <c r="P22" s="252"/>
      <c r="Q22" s="253"/>
    </row>
    <row r="23" spans="1:17" s="825" customFormat="1" ht="25" customHeight="1" x14ac:dyDescent="0.25">
      <c r="A23" s="826" t="s">
        <v>289</v>
      </c>
      <c r="B23" s="827" t="s">
        <v>267</v>
      </c>
      <c r="C23" s="797">
        <v>2</v>
      </c>
      <c r="D23" s="797">
        <v>1</v>
      </c>
      <c r="E23" s="797">
        <v>2</v>
      </c>
      <c r="F23" s="253">
        <f t="shared" si="2"/>
        <v>66</v>
      </c>
      <c r="G23" s="796">
        <v>40</v>
      </c>
      <c r="H23" s="249">
        <f t="shared" si="0"/>
        <v>160</v>
      </c>
      <c r="I23" s="251">
        <f t="shared" si="1"/>
        <v>66</v>
      </c>
      <c r="J23" s="252"/>
      <c r="K23" s="252"/>
      <c r="L23" s="252"/>
      <c r="M23" s="252"/>
      <c r="N23" s="252"/>
      <c r="O23" s="252"/>
      <c r="P23" s="252"/>
      <c r="Q23" s="253"/>
    </row>
    <row r="24" spans="1:17" s="825" customFormat="1" ht="25" customHeight="1" x14ac:dyDescent="0.25">
      <c r="A24" s="826" t="s">
        <v>290</v>
      </c>
      <c r="B24" s="827" t="s">
        <v>845</v>
      </c>
      <c r="C24" s="797">
        <v>2</v>
      </c>
      <c r="D24" s="797">
        <v>1</v>
      </c>
      <c r="E24" s="829">
        <v>2</v>
      </c>
      <c r="F24" s="253">
        <f t="shared" si="2"/>
        <v>66</v>
      </c>
      <c r="G24" s="796">
        <v>40</v>
      </c>
      <c r="H24" s="249">
        <f t="shared" si="0"/>
        <v>160</v>
      </c>
      <c r="I24" s="251">
        <f t="shared" si="1"/>
        <v>66</v>
      </c>
      <c r="J24" s="252"/>
      <c r="K24" s="252"/>
      <c r="L24" s="252"/>
      <c r="M24" s="252"/>
      <c r="N24" s="252"/>
      <c r="O24" s="252"/>
      <c r="P24" s="252"/>
      <c r="Q24" s="253"/>
    </row>
    <row r="25" spans="1:17" s="825" customFormat="1" ht="25" customHeight="1" x14ac:dyDescent="0.3">
      <c r="A25" s="826" t="s">
        <v>291</v>
      </c>
      <c r="B25" s="830" t="s">
        <v>846</v>
      </c>
      <c r="C25" s="797">
        <v>5</v>
      </c>
      <c r="D25" s="797">
        <v>1.08</v>
      </c>
      <c r="E25" s="797">
        <v>3</v>
      </c>
      <c r="F25" s="253">
        <f t="shared" si="2"/>
        <v>321.75</v>
      </c>
      <c r="G25" s="796">
        <v>70</v>
      </c>
      <c r="H25" s="249">
        <f t="shared" si="0"/>
        <v>1050</v>
      </c>
      <c r="I25" s="251">
        <f t="shared" si="1"/>
        <v>321.75</v>
      </c>
      <c r="J25" s="252"/>
      <c r="K25" s="252"/>
      <c r="L25" s="252"/>
      <c r="M25" s="252"/>
      <c r="N25" s="252"/>
      <c r="O25" s="252"/>
      <c r="P25" s="252"/>
      <c r="Q25" s="253"/>
    </row>
    <row r="26" spans="1:17" s="825" customFormat="1" ht="25" customHeight="1" x14ac:dyDescent="0.3">
      <c r="A26" s="826" t="s">
        <v>292</v>
      </c>
      <c r="B26" s="831" t="s">
        <v>847</v>
      </c>
      <c r="C26" s="797">
        <v>5</v>
      </c>
      <c r="D26" s="797">
        <v>1.08</v>
      </c>
      <c r="E26" s="797">
        <v>3</v>
      </c>
      <c r="F26" s="253">
        <f t="shared" si="2"/>
        <v>321.75</v>
      </c>
      <c r="G26" s="796">
        <v>70</v>
      </c>
      <c r="H26" s="249">
        <f t="shared" si="0"/>
        <v>1050</v>
      </c>
      <c r="I26" s="251">
        <f t="shared" si="1"/>
        <v>321.75</v>
      </c>
      <c r="J26" s="252"/>
      <c r="K26" s="252"/>
      <c r="L26" s="252"/>
      <c r="M26" s="252"/>
      <c r="N26" s="252"/>
      <c r="O26" s="252"/>
      <c r="P26" s="252"/>
      <c r="Q26" s="253"/>
    </row>
    <row r="27" spans="1:17" s="825" customFormat="1" ht="25" customHeight="1" x14ac:dyDescent="0.3">
      <c r="A27" s="826" t="s">
        <v>394</v>
      </c>
      <c r="B27" s="830" t="s">
        <v>848</v>
      </c>
      <c r="C27" s="797">
        <v>5</v>
      </c>
      <c r="D27" s="797">
        <v>1.08</v>
      </c>
      <c r="E27" s="797">
        <v>3</v>
      </c>
      <c r="F27" s="253">
        <f t="shared" si="2"/>
        <v>321.75</v>
      </c>
      <c r="G27" s="796">
        <v>70</v>
      </c>
      <c r="H27" s="249">
        <f t="shared" si="0"/>
        <v>1050</v>
      </c>
      <c r="I27" s="251">
        <f t="shared" si="1"/>
        <v>321.75</v>
      </c>
      <c r="J27" s="252"/>
      <c r="K27" s="252"/>
      <c r="L27" s="252"/>
      <c r="M27" s="252"/>
      <c r="N27" s="252"/>
      <c r="O27" s="252"/>
      <c r="P27" s="252"/>
      <c r="Q27" s="253"/>
    </row>
    <row r="28" spans="1:17" s="825" customFormat="1" ht="25" customHeight="1" x14ac:dyDescent="0.3">
      <c r="A28" s="826" t="s">
        <v>395</v>
      </c>
      <c r="B28" s="830" t="s">
        <v>849</v>
      </c>
      <c r="C28" s="797">
        <v>2</v>
      </c>
      <c r="D28" s="797">
        <v>1.4</v>
      </c>
      <c r="E28" s="797">
        <v>3</v>
      </c>
      <c r="F28" s="253">
        <f t="shared" si="2"/>
        <v>99</v>
      </c>
      <c r="G28" s="796">
        <v>40</v>
      </c>
      <c r="H28" s="249">
        <f t="shared" si="0"/>
        <v>240</v>
      </c>
      <c r="I28" s="251">
        <f t="shared" si="1"/>
        <v>99</v>
      </c>
      <c r="J28" s="252"/>
      <c r="K28" s="252"/>
      <c r="L28" s="252"/>
      <c r="M28" s="252"/>
      <c r="N28" s="252"/>
      <c r="O28" s="252"/>
      <c r="P28" s="252"/>
      <c r="Q28" s="253"/>
    </row>
    <row r="29" spans="1:17" s="825" customFormat="1" ht="25" customHeight="1" x14ac:dyDescent="0.3">
      <c r="A29" s="826" t="s">
        <v>396</v>
      </c>
      <c r="B29" s="830" t="s">
        <v>850</v>
      </c>
      <c r="C29" s="797">
        <v>3</v>
      </c>
      <c r="D29" s="797">
        <v>1</v>
      </c>
      <c r="E29" s="797">
        <v>3</v>
      </c>
      <c r="F29" s="253">
        <f t="shared" si="2"/>
        <v>148.5</v>
      </c>
      <c r="G29" s="796">
        <v>65</v>
      </c>
      <c r="H29" s="249">
        <f t="shared" si="0"/>
        <v>585</v>
      </c>
      <c r="I29" s="251">
        <f t="shared" si="1"/>
        <v>148.5</v>
      </c>
      <c r="J29" s="252"/>
      <c r="K29" s="252"/>
      <c r="L29" s="252"/>
      <c r="M29" s="252"/>
      <c r="N29" s="252"/>
      <c r="O29" s="252"/>
      <c r="P29" s="252"/>
      <c r="Q29" s="253"/>
    </row>
    <row r="30" spans="1:17" s="825" customFormat="1" ht="25" customHeight="1" x14ac:dyDescent="0.25">
      <c r="A30" s="826" t="s">
        <v>397</v>
      </c>
      <c r="B30" s="827" t="s">
        <v>851</v>
      </c>
      <c r="C30" s="797">
        <v>2</v>
      </c>
      <c r="D30" s="797">
        <v>1</v>
      </c>
      <c r="E30" s="797">
        <v>1</v>
      </c>
      <c r="F30" s="253">
        <f t="shared" si="2"/>
        <v>42.9</v>
      </c>
      <c r="G30" s="796">
        <v>70</v>
      </c>
      <c r="H30" s="249">
        <f t="shared" si="0"/>
        <v>140</v>
      </c>
      <c r="I30" s="251">
        <f t="shared" si="1"/>
        <v>42.9</v>
      </c>
      <c r="J30" s="252"/>
      <c r="K30" s="252"/>
      <c r="L30" s="252"/>
      <c r="M30" s="252"/>
      <c r="N30" s="252"/>
      <c r="O30" s="252"/>
      <c r="P30" s="252"/>
      <c r="Q30" s="253"/>
    </row>
    <row r="31" spans="1:17" s="825" customFormat="1" ht="25" customHeight="1" x14ac:dyDescent="0.25">
      <c r="A31" s="826" t="s">
        <v>398</v>
      </c>
      <c r="B31" s="827" t="s">
        <v>852</v>
      </c>
      <c r="C31" s="797">
        <v>2</v>
      </c>
      <c r="D31" s="797">
        <v>1</v>
      </c>
      <c r="E31" s="797">
        <v>1</v>
      </c>
      <c r="F31" s="253">
        <f t="shared" si="2"/>
        <v>42.9</v>
      </c>
      <c r="G31" s="796">
        <v>70</v>
      </c>
      <c r="H31" s="249">
        <f t="shared" si="0"/>
        <v>140</v>
      </c>
      <c r="I31" s="251">
        <f t="shared" si="1"/>
        <v>42.9</v>
      </c>
      <c r="J31" s="252"/>
      <c r="K31" s="252"/>
      <c r="L31" s="252"/>
      <c r="M31" s="252"/>
      <c r="N31" s="252"/>
      <c r="O31" s="252"/>
      <c r="P31" s="252"/>
      <c r="Q31" s="253"/>
    </row>
    <row r="32" spans="1:17" s="825" customFormat="1" ht="25" customHeight="1" x14ac:dyDescent="0.3">
      <c r="A32" s="826" t="s">
        <v>399</v>
      </c>
      <c r="B32" s="11" t="s">
        <v>266</v>
      </c>
      <c r="C32" s="832">
        <v>3</v>
      </c>
      <c r="D32" s="797">
        <v>1</v>
      </c>
      <c r="E32" s="833">
        <v>3</v>
      </c>
      <c r="F32" s="253">
        <f t="shared" si="2"/>
        <v>193.05</v>
      </c>
      <c r="G32" s="834">
        <v>70</v>
      </c>
      <c r="H32" s="249">
        <f t="shared" si="0"/>
        <v>630</v>
      </c>
      <c r="I32" s="251">
        <f t="shared" si="1"/>
        <v>193.05</v>
      </c>
      <c r="J32" s="252"/>
      <c r="K32" s="252"/>
      <c r="L32" s="252"/>
      <c r="M32" s="252"/>
      <c r="N32" s="252"/>
      <c r="O32" s="252"/>
      <c r="P32" s="252"/>
      <c r="Q32" s="253"/>
    </row>
    <row r="33" spans="1:17" s="825" customFormat="1" ht="25" customHeight="1" x14ac:dyDescent="0.25">
      <c r="A33" s="826" t="s">
        <v>400</v>
      </c>
      <c r="B33" s="827" t="s">
        <v>647</v>
      </c>
      <c r="C33" s="797">
        <v>3</v>
      </c>
      <c r="D33" s="797">
        <v>1</v>
      </c>
      <c r="E33" s="797">
        <v>3</v>
      </c>
      <c r="F33" s="253">
        <f t="shared" si="2"/>
        <v>193.05</v>
      </c>
      <c r="G33" s="796">
        <v>70</v>
      </c>
      <c r="H33" s="249">
        <f t="shared" si="0"/>
        <v>630</v>
      </c>
      <c r="I33" s="251">
        <f t="shared" si="1"/>
        <v>193.05</v>
      </c>
      <c r="J33" s="252"/>
      <c r="K33" s="252"/>
      <c r="L33" s="252"/>
      <c r="M33" s="252"/>
      <c r="N33" s="252"/>
      <c r="O33" s="252"/>
      <c r="P33" s="252"/>
      <c r="Q33" s="253"/>
    </row>
    <row r="34" spans="1:17" s="825" customFormat="1" ht="25" customHeight="1" x14ac:dyDescent="0.3">
      <c r="A34" s="826" t="s">
        <v>401</v>
      </c>
      <c r="B34" s="11" t="s">
        <v>853</v>
      </c>
      <c r="C34" s="797">
        <v>2</v>
      </c>
      <c r="D34" s="797">
        <v>1.4</v>
      </c>
      <c r="E34" s="797">
        <v>4</v>
      </c>
      <c r="F34" s="253">
        <f t="shared" si="2"/>
        <v>132</v>
      </c>
      <c r="G34" s="796">
        <v>40</v>
      </c>
      <c r="H34" s="249">
        <f t="shared" si="0"/>
        <v>320</v>
      </c>
      <c r="I34" s="251">
        <f t="shared" si="1"/>
        <v>132</v>
      </c>
      <c r="J34" s="252"/>
      <c r="K34" s="252"/>
      <c r="L34" s="252"/>
      <c r="M34" s="252"/>
      <c r="N34" s="252"/>
      <c r="O34" s="252"/>
      <c r="P34" s="252"/>
      <c r="Q34" s="253"/>
    </row>
    <row r="35" spans="1:17" s="825" customFormat="1" ht="25" customHeight="1" x14ac:dyDescent="0.25">
      <c r="A35" s="826" t="s">
        <v>402</v>
      </c>
      <c r="B35" s="827" t="s">
        <v>264</v>
      </c>
      <c r="C35" s="797">
        <v>3</v>
      </c>
      <c r="D35" s="797">
        <v>1</v>
      </c>
      <c r="E35" s="797">
        <v>1</v>
      </c>
      <c r="F35" s="253">
        <f t="shared" si="2"/>
        <v>49.5</v>
      </c>
      <c r="G35" s="796">
        <v>21</v>
      </c>
      <c r="H35" s="249">
        <f t="shared" si="0"/>
        <v>63</v>
      </c>
      <c r="I35" s="251">
        <f t="shared" si="1"/>
        <v>49.5</v>
      </c>
      <c r="J35" s="252"/>
      <c r="K35" s="252"/>
      <c r="L35" s="252"/>
      <c r="M35" s="252"/>
      <c r="N35" s="252"/>
      <c r="O35" s="252"/>
      <c r="P35" s="252"/>
      <c r="Q35" s="253"/>
    </row>
    <row r="36" spans="1:17" s="825" customFormat="1" ht="25" customHeight="1" x14ac:dyDescent="0.3">
      <c r="A36" s="826" t="s">
        <v>403</v>
      </c>
      <c r="B36" s="830" t="s">
        <v>644</v>
      </c>
      <c r="C36" s="797">
        <v>4</v>
      </c>
      <c r="D36" s="797">
        <v>1</v>
      </c>
      <c r="E36" s="797">
        <v>3</v>
      </c>
      <c r="F36" s="253">
        <f t="shared" si="2"/>
        <v>257.40000000000003</v>
      </c>
      <c r="G36" s="796">
        <v>70</v>
      </c>
      <c r="H36" s="249">
        <f t="shared" si="0"/>
        <v>840</v>
      </c>
      <c r="I36" s="251">
        <f t="shared" si="1"/>
        <v>257.40000000000003</v>
      </c>
      <c r="J36" s="252"/>
      <c r="K36" s="252"/>
      <c r="L36" s="252"/>
      <c r="M36" s="252"/>
      <c r="N36" s="252"/>
      <c r="O36" s="252"/>
      <c r="P36" s="252"/>
      <c r="Q36" s="253"/>
    </row>
    <row r="37" spans="1:17" s="825" customFormat="1" ht="25" customHeight="1" x14ac:dyDescent="0.3">
      <c r="A37" s="826" t="s">
        <v>404</v>
      </c>
      <c r="B37" s="830" t="s">
        <v>854</v>
      </c>
      <c r="C37" s="797">
        <v>3</v>
      </c>
      <c r="D37" s="797">
        <v>1</v>
      </c>
      <c r="E37" s="797">
        <v>3</v>
      </c>
      <c r="F37" s="253">
        <f t="shared" si="2"/>
        <v>193.05</v>
      </c>
      <c r="G37" s="796">
        <v>70</v>
      </c>
      <c r="H37" s="249">
        <f t="shared" si="0"/>
        <v>630</v>
      </c>
      <c r="I37" s="251">
        <f t="shared" si="1"/>
        <v>193.05</v>
      </c>
      <c r="J37" s="252"/>
      <c r="K37" s="252"/>
      <c r="L37" s="252"/>
      <c r="M37" s="252"/>
      <c r="N37" s="252"/>
      <c r="O37" s="252"/>
      <c r="P37" s="252"/>
      <c r="Q37" s="253"/>
    </row>
    <row r="38" spans="1:17" s="825" customFormat="1" ht="25" customHeight="1" x14ac:dyDescent="0.3">
      <c r="A38" s="826" t="s">
        <v>405</v>
      </c>
      <c r="B38" s="830" t="s">
        <v>855</v>
      </c>
      <c r="C38" s="797">
        <v>4</v>
      </c>
      <c r="D38" s="797">
        <v>1</v>
      </c>
      <c r="E38" s="797">
        <v>4</v>
      </c>
      <c r="F38" s="253">
        <f t="shared" si="2"/>
        <v>264</v>
      </c>
      <c r="G38" s="796">
        <v>50</v>
      </c>
      <c r="H38" s="249">
        <f t="shared" si="0"/>
        <v>800</v>
      </c>
      <c r="I38" s="251">
        <f t="shared" si="1"/>
        <v>264</v>
      </c>
      <c r="J38" s="252"/>
      <c r="K38" s="252"/>
      <c r="L38" s="252"/>
      <c r="M38" s="252"/>
      <c r="N38" s="252"/>
      <c r="O38" s="252"/>
      <c r="P38" s="252"/>
      <c r="Q38" s="253"/>
    </row>
    <row r="39" spans="1:17" s="825" customFormat="1" ht="25" customHeight="1" x14ac:dyDescent="0.3">
      <c r="A39" s="826" t="s">
        <v>406</v>
      </c>
      <c r="B39" s="830" t="s">
        <v>646</v>
      </c>
      <c r="C39" s="797">
        <v>3</v>
      </c>
      <c r="D39" s="797">
        <v>1</v>
      </c>
      <c r="E39" s="835">
        <v>4</v>
      </c>
      <c r="F39" s="253">
        <f t="shared" si="2"/>
        <v>198</v>
      </c>
      <c r="G39" s="796">
        <v>50</v>
      </c>
      <c r="H39" s="249">
        <f t="shared" si="0"/>
        <v>600</v>
      </c>
      <c r="I39" s="251">
        <f t="shared" si="1"/>
        <v>198</v>
      </c>
      <c r="J39" s="252"/>
      <c r="K39" s="252"/>
      <c r="L39" s="252"/>
      <c r="M39" s="252"/>
      <c r="N39" s="252"/>
      <c r="O39" s="252"/>
      <c r="P39" s="252"/>
      <c r="Q39" s="253"/>
    </row>
    <row r="40" spans="1:17" s="825" customFormat="1" ht="25" customHeight="1" x14ac:dyDescent="0.25">
      <c r="A40" s="826" t="s">
        <v>407</v>
      </c>
      <c r="B40" s="827" t="s">
        <v>912</v>
      </c>
      <c r="C40" s="797">
        <v>4</v>
      </c>
      <c r="D40" s="797">
        <v>1</v>
      </c>
      <c r="E40" s="797">
        <v>2</v>
      </c>
      <c r="F40" s="253">
        <f t="shared" si="2"/>
        <v>171.6</v>
      </c>
      <c r="G40" s="796">
        <v>70</v>
      </c>
      <c r="H40" s="249">
        <f t="shared" si="0"/>
        <v>560</v>
      </c>
      <c r="I40" s="251">
        <f t="shared" si="1"/>
        <v>171.6</v>
      </c>
      <c r="J40" s="252"/>
      <c r="K40" s="252"/>
      <c r="L40" s="252"/>
      <c r="M40" s="252"/>
      <c r="N40" s="252"/>
      <c r="O40" s="252"/>
      <c r="P40" s="252"/>
      <c r="Q40" s="253"/>
    </row>
    <row r="41" spans="1:17" s="825" customFormat="1" ht="25" customHeight="1" x14ac:dyDescent="0.25">
      <c r="A41" s="826" t="s">
        <v>408</v>
      </c>
      <c r="B41" s="827" t="s">
        <v>913</v>
      </c>
      <c r="C41" s="797">
        <v>4</v>
      </c>
      <c r="D41" s="797">
        <v>1</v>
      </c>
      <c r="E41" s="797">
        <v>2</v>
      </c>
      <c r="F41" s="253">
        <f t="shared" si="2"/>
        <v>171.6</v>
      </c>
      <c r="G41" s="796">
        <v>70</v>
      </c>
      <c r="H41" s="249">
        <f t="shared" si="0"/>
        <v>560</v>
      </c>
      <c r="I41" s="251">
        <f t="shared" si="1"/>
        <v>171.6</v>
      </c>
      <c r="J41" s="252"/>
      <c r="K41" s="252"/>
      <c r="L41" s="252"/>
      <c r="M41" s="252"/>
      <c r="N41" s="252"/>
      <c r="O41" s="252"/>
      <c r="P41" s="252"/>
      <c r="Q41" s="253"/>
    </row>
    <row r="42" spans="1:17" s="825" customFormat="1" ht="25" customHeight="1" x14ac:dyDescent="0.25">
      <c r="A42" s="836" t="s">
        <v>148</v>
      </c>
      <c r="B42" s="837" t="s">
        <v>151</v>
      </c>
      <c r="C42" s="796">
        <v>0</v>
      </c>
      <c r="D42" s="796">
        <v>0</v>
      </c>
      <c r="E42" s="796">
        <v>0</v>
      </c>
      <c r="F42" s="249">
        <v>0</v>
      </c>
      <c r="G42" s="796">
        <v>0</v>
      </c>
      <c r="H42" s="249">
        <v>0</v>
      </c>
      <c r="I42" s="249">
        <v>0</v>
      </c>
      <c r="J42" s="252"/>
      <c r="K42" s="252"/>
      <c r="L42" s="252"/>
      <c r="M42" s="252"/>
      <c r="N42" s="252"/>
      <c r="O42" s="252"/>
      <c r="P42" s="252"/>
      <c r="Q42" s="838"/>
    </row>
    <row r="43" spans="1:17" s="825" customFormat="1" ht="25" customHeight="1" x14ac:dyDescent="0.25">
      <c r="A43" s="839" t="s">
        <v>232</v>
      </c>
      <c r="B43" s="840" t="s">
        <v>156</v>
      </c>
      <c r="C43" s="796">
        <v>4</v>
      </c>
      <c r="D43" s="796">
        <v>1.4</v>
      </c>
      <c r="E43" s="796">
        <v>4</v>
      </c>
      <c r="F43" s="253">
        <f t="shared" si="2"/>
        <v>160</v>
      </c>
      <c r="G43" s="796">
        <v>20</v>
      </c>
      <c r="H43" s="249">
        <f t="shared" si="0"/>
        <v>320</v>
      </c>
      <c r="I43" s="251">
        <f>E43*G43*2</f>
        <v>160</v>
      </c>
      <c r="J43" s="252"/>
      <c r="K43" s="252"/>
      <c r="L43" s="252"/>
      <c r="M43" s="252"/>
      <c r="N43" s="252"/>
      <c r="O43" s="252"/>
      <c r="P43" s="252"/>
      <c r="Q43" s="838" t="s">
        <v>699</v>
      </c>
    </row>
    <row r="44" spans="1:17" s="825" customFormat="1" ht="25" customHeight="1" x14ac:dyDescent="0.25">
      <c r="A44" s="839" t="s">
        <v>233</v>
      </c>
      <c r="B44" s="840" t="s">
        <v>157</v>
      </c>
      <c r="C44" s="796">
        <v>0</v>
      </c>
      <c r="D44" s="796"/>
      <c r="E44" s="796">
        <v>0</v>
      </c>
      <c r="F44" s="249">
        <v>0</v>
      </c>
      <c r="G44" s="796">
        <v>0</v>
      </c>
      <c r="H44" s="249">
        <v>0</v>
      </c>
      <c r="I44" s="252">
        <v>0</v>
      </c>
      <c r="J44" s="252"/>
      <c r="K44" s="252"/>
      <c r="L44" s="252"/>
      <c r="M44" s="252"/>
      <c r="N44" s="252"/>
      <c r="O44" s="252"/>
      <c r="P44" s="252"/>
      <c r="Q44" s="253"/>
    </row>
    <row r="45" spans="1:17" s="825" customFormat="1" ht="25" customHeight="1" x14ac:dyDescent="0.25">
      <c r="A45" s="841"/>
      <c r="B45" s="842" t="s">
        <v>353</v>
      </c>
      <c r="C45" s="843">
        <f>SUM(C12:C44)</f>
        <v>101</v>
      </c>
      <c r="D45" s="843">
        <f t="shared" ref="D45:K45" si="3">SUM(D12:D44)</f>
        <v>33.139999999999993</v>
      </c>
      <c r="E45" s="843">
        <f t="shared" si="3"/>
        <v>108</v>
      </c>
      <c r="F45" s="843">
        <f t="shared" si="3"/>
        <v>6667.6</v>
      </c>
      <c r="G45" s="843">
        <f t="shared" si="3"/>
        <v>1761</v>
      </c>
      <c r="H45" s="843">
        <f t="shared" si="3"/>
        <v>17748</v>
      </c>
      <c r="I45" s="843">
        <f t="shared" si="3"/>
        <v>6667.6</v>
      </c>
      <c r="J45" s="843">
        <f t="shared" si="3"/>
        <v>0</v>
      </c>
      <c r="K45" s="843">
        <f t="shared" si="3"/>
        <v>0</v>
      </c>
      <c r="L45" s="844"/>
      <c r="M45" s="844"/>
      <c r="N45" s="844"/>
      <c r="O45" s="844"/>
      <c r="P45" s="844"/>
      <c r="Q45" s="845"/>
    </row>
    <row r="46" spans="1:17" s="825" customFormat="1" ht="25" customHeight="1" x14ac:dyDescent="0.25">
      <c r="A46" s="846">
        <v>2</v>
      </c>
      <c r="B46" s="846" t="s">
        <v>164</v>
      </c>
      <c r="C46" s="674"/>
      <c r="D46" s="674"/>
      <c r="E46" s="674"/>
      <c r="F46" s="253"/>
      <c r="G46" s="674"/>
      <c r="H46" s="249"/>
      <c r="I46" s="251"/>
      <c r="J46" s="252"/>
      <c r="K46" s="252"/>
      <c r="L46" s="252"/>
      <c r="M46" s="252"/>
      <c r="N46" s="252"/>
      <c r="O46" s="252"/>
      <c r="P46" s="252"/>
      <c r="Q46" s="253"/>
    </row>
    <row r="47" spans="1:17" s="825" customFormat="1" ht="25" customHeight="1" x14ac:dyDescent="0.25">
      <c r="A47" s="847" t="s">
        <v>147</v>
      </c>
      <c r="B47" s="848" t="s">
        <v>165</v>
      </c>
      <c r="C47" s="674"/>
      <c r="D47" s="674"/>
      <c r="E47" s="674"/>
      <c r="F47" s="253"/>
      <c r="G47" s="674"/>
      <c r="H47" s="249"/>
      <c r="I47" s="251"/>
      <c r="J47" s="252"/>
      <c r="K47" s="252"/>
      <c r="L47" s="252"/>
      <c r="M47" s="252"/>
      <c r="N47" s="252"/>
      <c r="O47" s="252"/>
      <c r="P47" s="252"/>
      <c r="Q47" s="253"/>
    </row>
    <row r="48" spans="1:17" s="825" customFormat="1" ht="25" customHeight="1" x14ac:dyDescent="0.25">
      <c r="A48" s="826" t="s">
        <v>226</v>
      </c>
      <c r="B48" s="849" t="s">
        <v>269</v>
      </c>
      <c r="C48" s="674">
        <v>3</v>
      </c>
      <c r="D48" s="674">
        <v>1</v>
      </c>
      <c r="E48" s="674">
        <v>3</v>
      </c>
      <c r="F48" s="253">
        <f t="shared" ref="F48:F53" si="4">(I48+J48+K48)</f>
        <v>103.94999999999999</v>
      </c>
      <c r="G48" s="674">
        <v>10</v>
      </c>
      <c r="H48" s="249">
        <f t="shared" ref="H48:H53" si="5">C48*E48*G48</f>
        <v>90</v>
      </c>
      <c r="I48" s="251">
        <f t="shared" ref="I48:I53" si="6">C48*E48*16.5*0.7</f>
        <v>103.94999999999999</v>
      </c>
      <c r="J48" s="252"/>
      <c r="K48" s="252"/>
      <c r="L48" s="252"/>
      <c r="M48" s="252"/>
      <c r="N48" s="252"/>
      <c r="O48" s="252"/>
      <c r="P48" s="252"/>
      <c r="Q48" s="253"/>
    </row>
    <row r="49" spans="1:17" s="825" customFormat="1" ht="25" customHeight="1" x14ac:dyDescent="0.25">
      <c r="A49" s="826" t="s">
        <v>227</v>
      </c>
      <c r="B49" s="849" t="s">
        <v>270</v>
      </c>
      <c r="C49" s="674">
        <v>3</v>
      </c>
      <c r="D49" s="674">
        <v>1</v>
      </c>
      <c r="E49" s="674">
        <v>3</v>
      </c>
      <c r="F49" s="253">
        <f t="shared" si="4"/>
        <v>103.94999999999999</v>
      </c>
      <c r="G49" s="674">
        <v>10</v>
      </c>
      <c r="H49" s="249">
        <f t="shared" si="5"/>
        <v>90</v>
      </c>
      <c r="I49" s="251">
        <f t="shared" si="6"/>
        <v>103.94999999999999</v>
      </c>
      <c r="J49" s="252"/>
      <c r="K49" s="252"/>
      <c r="L49" s="252"/>
      <c r="M49" s="252"/>
      <c r="N49" s="252"/>
      <c r="O49" s="252"/>
      <c r="P49" s="252"/>
      <c r="Q49" s="253"/>
    </row>
    <row r="50" spans="1:17" s="825" customFormat="1" ht="25" customHeight="1" x14ac:dyDescent="0.25">
      <c r="A50" s="826" t="s">
        <v>228</v>
      </c>
      <c r="B50" s="849" t="s">
        <v>271</v>
      </c>
      <c r="C50" s="674">
        <v>3</v>
      </c>
      <c r="D50" s="674">
        <v>1</v>
      </c>
      <c r="E50" s="674">
        <v>3</v>
      </c>
      <c r="F50" s="253">
        <f t="shared" si="4"/>
        <v>103.94999999999999</v>
      </c>
      <c r="G50" s="674">
        <v>10</v>
      </c>
      <c r="H50" s="249">
        <f t="shared" si="5"/>
        <v>90</v>
      </c>
      <c r="I50" s="251">
        <f t="shared" si="6"/>
        <v>103.94999999999999</v>
      </c>
      <c r="J50" s="252"/>
      <c r="K50" s="252"/>
      <c r="L50" s="252"/>
      <c r="M50" s="252"/>
      <c r="N50" s="252"/>
      <c r="O50" s="252"/>
      <c r="P50" s="252"/>
      <c r="Q50" s="253"/>
    </row>
    <row r="51" spans="1:17" s="825" customFormat="1" ht="25" customHeight="1" x14ac:dyDescent="0.25">
      <c r="A51" s="826" t="s">
        <v>229</v>
      </c>
      <c r="B51" s="849" t="s">
        <v>272</v>
      </c>
      <c r="C51" s="674">
        <v>3</v>
      </c>
      <c r="D51" s="674">
        <v>1</v>
      </c>
      <c r="E51" s="674">
        <v>3</v>
      </c>
      <c r="F51" s="253">
        <f t="shared" si="4"/>
        <v>103.94999999999999</v>
      </c>
      <c r="G51" s="674">
        <v>10</v>
      </c>
      <c r="H51" s="249">
        <f t="shared" si="5"/>
        <v>90</v>
      </c>
      <c r="I51" s="251">
        <f t="shared" si="6"/>
        <v>103.94999999999999</v>
      </c>
      <c r="J51" s="252"/>
      <c r="K51" s="252"/>
      <c r="L51" s="252"/>
      <c r="M51" s="252"/>
      <c r="N51" s="252"/>
      <c r="O51" s="252"/>
      <c r="P51" s="252"/>
      <c r="Q51" s="253"/>
    </row>
    <row r="52" spans="1:17" s="825" customFormat="1" ht="25" customHeight="1" x14ac:dyDescent="0.25">
      <c r="A52" s="826" t="s">
        <v>230</v>
      </c>
      <c r="B52" s="850" t="s">
        <v>273</v>
      </c>
      <c r="C52" s="674">
        <v>3</v>
      </c>
      <c r="D52" s="674">
        <v>1</v>
      </c>
      <c r="E52" s="674">
        <v>3</v>
      </c>
      <c r="F52" s="253">
        <f t="shared" si="4"/>
        <v>103.94999999999999</v>
      </c>
      <c r="G52" s="674">
        <v>10</v>
      </c>
      <c r="H52" s="249">
        <f t="shared" si="5"/>
        <v>90</v>
      </c>
      <c r="I52" s="251">
        <f t="shared" si="6"/>
        <v>103.94999999999999</v>
      </c>
      <c r="J52" s="252"/>
      <c r="K52" s="252"/>
      <c r="L52" s="252"/>
      <c r="M52" s="252"/>
      <c r="N52" s="252"/>
      <c r="O52" s="252"/>
      <c r="P52" s="252"/>
      <c r="Q52" s="253"/>
    </row>
    <row r="53" spans="1:17" s="825" customFormat="1" ht="25" customHeight="1" x14ac:dyDescent="0.25">
      <c r="A53" s="826" t="s">
        <v>231</v>
      </c>
      <c r="B53" s="849" t="s">
        <v>531</v>
      </c>
      <c r="C53" s="674">
        <v>3</v>
      </c>
      <c r="D53" s="674">
        <v>1</v>
      </c>
      <c r="E53" s="674">
        <v>4</v>
      </c>
      <c r="F53" s="253">
        <f t="shared" si="4"/>
        <v>138.6</v>
      </c>
      <c r="G53" s="674">
        <v>15</v>
      </c>
      <c r="H53" s="249">
        <f t="shared" si="5"/>
        <v>180</v>
      </c>
      <c r="I53" s="251">
        <f t="shared" si="6"/>
        <v>138.6</v>
      </c>
      <c r="J53" s="252"/>
      <c r="K53" s="252"/>
      <c r="L53" s="252"/>
      <c r="M53" s="252"/>
      <c r="N53" s="252"/>
      <c r="O53" s="252"/>
      <c r="P53" s="252"/>
      <c r="Q53" s="253"/>
    </row>
    <row r="54" spans="1:17" s="825" customFormat="1" ht="25" customHeight="1" x14ac:dyDescent="0.25">
      <c r="A54" s="836" t="s">
        <v>148</v>
      </c>
      <c r="B54" s="851" t="s">
        <v>470</v>
      </c>
      <c r="C54" s="674"/>
      <c r="D54" s="674"/>
      <c r="E54" s="674"/>
      <c r="F54" s="249"/>
      <c r="G54" s="674"/>
      <c r="H54" s="249"/>
      <c r="I54" s="252"/>
      <c r="J54" s="252"/>
      <c r="K54" s="252"/>
      <c r="L54" s="252"/>
      <c r="M54" s="252"/>
      <c r="N54" s="252"/>
      <c r="O54" s="252"/>
      <c r="P54" s="252"/>
      <c r="Q54" s="253"/>
    </row>
    <row r="55" spans="1:17" s="825" customFormat="1" ht="25" customHeight="1" x14ac:dyDescent="0.25">
      <c r="A55" s="836"/>
      <c r="B55" s="826" t="s">
        <v>915</v>
      </c>
      <c r="C55" s="674">
        <v>15</v>
      </c>
      <c r="D55" s="674">
        <v>1</v>
      </c>
      <c r="E55" s="674">
        <v>35</v>
      </c>
      <c r="F55" s="253">
        <f>I55+J55+K55</f>
        <v>8662.5</v>
      </c>
      <c r="G55" s="674">
        <v>1</v>
      </c>
      <c r="H55" s="249">
        <f>C55*E55*G55</f>
        <v>525</v>
      </c>
      <c r="I55" s="251">
        <f>C55*E55*16.5</f>
        <v>8662.5</v>
      </c>
      <c r="J55" s="252"/>
      <c r="K55" s="252"/>
      <c r="L55" s="252"/>
      <c r="M55" s="252"/>
      <c r="N55" s="252"/>
      <c r="O55" s="252"/>
      <c r="P55" s="252"/>
      <c r="Q55" s="253" t="s">
        <v>701</v>
      </c>
    </row>
    <row r="56" spans="1:17" s="825" customFormat="1" ht="25" customHeight="1" x14ac:dyDescent="0.25">
      <c r="A56" s="852"/>
      <c r="B56" s="842" t="s">
        <v>353</v>
      </c>
      <c r="C56" s="843">
        <f t="shared" ref="C56:I56" si="7">SUM(C48:C55)</f>
        <v>33</v>
      </c>
      <c r="D56" s="843">
        <f t="shared" si="7"/>
        <v>7</v>
      </c>
      <c r="E56" s="843">
        <f t="shared" si="7"/>
        <v>54</v>
      </c>
      <c r="F56" s="853">
        <f t="shared" si="7"/>
        <v>9320.85</v>
      </c>
      <c r="G56" s="853">
        <f t="shared" si="7"/>
        <v>66</v>
      </c>
      <c r="H56" s="853">
        <f t="shared" si="7"/>
        <v>1155</v>
      </c>
      <c r="I56" s="853">
        <f t="shared" si="7"/>
        <v>9320.85</v>
      </c>
      <c r="J56" s="844"/>
      <c r="K56" s="844"/>
      <c r="L56" s="844"/>
      <c r="M56" s="844"/>
      <c r="N56" s="844"/>
      <c r="O56" s="844"/>
      <c r="P56" s="844"/>
      <c r="Q56" s="845"/>
    </row>
    <row r="57" spans="1:17" s="825" customFormat="1" ht="25" customHeight="1" x14ac:dyDescent="0.25">
      <c r="A57" s="846">
        <v>3</v>
      </c>
      <c r="B57" s="846" t="s">
        <v>166</v>
      </c>
      <c r="C57" s="674"/>
      <c r="D57" s="674"/>
      <c r="E57" s="674"/>
      <c r="F57" s="253"/>
      <c r="G57" s="674"/>
      <c r="H57" s="249"/>
      <c r="I57" s="251"/>
      <c r="J57" s="252"/>
      <c r="K57" s="252"/>
      <c r="L57" s="252"/>
      <c r="M57" s="252"/>
      <c r="N57" s="252"/>
      <c r="O57" s="252"/>
      <c r="P57" s="252"/>
      <c r="Q57" s="253"/>
    </row>
    <row r="58" spans="1:17" s="825" customFormat="1" ht="25" customHeight="1" x14ac:dyDescent="0.25">
      <c r="A58" s="846" t="s">
        <v>8</v>
      </c>
      <c r="B58" s="846" t="s">
        <v>224</v>
      </c>
      <c r="C58" s="674"/>
      <c r="D58" s="674"/>
      <c r="E58" s="674"/>
      <c r="F58" s="253"/>
      <c r="G58" s="674"/>
      <c r="H58" s="249"/>
      <c r="I58" s="251"/>
      <c r="J58" s="252"/>
      <c r="K58" s="252"/>
      <c r="L58" s="252"/>
      <c r="M58" s="252"/>
      <c r="N58" s="252"/>
      <c r="O58" s="252"/>
      <c r="P58" s="252"/>
      <c r="Q58" s="253"/>
    </row>
    <row r="59" spans="1:17" s="825" customFormat="1" ht="25" customHeight="1" x14ac:dyDescent="0.25">
      <c r="A59" s="846">
        <v>1</v>
      </c>
      <c r="B59" s="848" t="s">
        <v>225</v>
      </c>
      <c r="C59" s="674"/>
      <c r="D59" s="674"/>
      <c r="E59" s="674"/>
      <c r="F59" s="253"/>
      <c r="G59" s="674"/>
      <c r="H59" s="249"/>
      <c r="I59" s="251"/>
      <c r="J59" s="252"/>
      <c r="K59" s="252"/>
      <c r="L59" s="252"/>
      <c r="M59" s="252"/>
      <c r="N59" s="252"/>
      <c r="O59" s="252"/>
      <c r="P59" s="252"/>
      <c r="Q59" s="253"/>
    </row>
    <row r="60" spans="1:17" s="825" customFormat="1" ht="25" customHeight="1" x14ac:dyDescent="0.25">
      <c r="A60" s="846" t="s">
        <v>147</v>
      </c>
      <c r="B60" s="848" t="s">
        <v>163</v>
      </c>
      <c r="C60" s="674"/>
      <c r="D60" s="674"/>
      <c r="E60" s="674"/>
      <c r="F60" s="253"/>
      <c r="G60" s="674"/>
      <c r="H60" s="249"/>
      <c r="I60" s="251"/>
      <c r="J60" s="252"/>
      <c r="K60" s="252"/>
      <c r="L60" s="252"/>
      <c r="M60" s="252"/>
      <c r="N60" s="252"/>
      <c r="O60" s="252"/>
      <c r="P60" s="252"/>
      <c r="Q60" s="253"/>
    </row>
    <row r="61" spans="1:17" s="825" customFormat="1" ht="25" customHeight="1" x14ac:dyDescent="0.25">
      <c r="A61" s="839" t="s">
        <v>226</v>
      </c>
      <c r="B61" s="805" t="s">
        <v>266</v>
      </c>
      <c r="C61" s="796">
        <v>3</v>
      </c>
      <c r="D61" s="796">
        <v>1</v>
      </c>
      <c r="E61" s="796">
        <v>5</v>
      </c>
      <c r="F61" s="253">
        <f t="shared" ref="F61:F75" si="8">I61+J61+K61</f>
        <v>247.5</v>
      </c>
      <c r="G61" s="674">
        <v>40</v>
      </c>
      <c r="H61" s="249">
        <f t="shared" ref="H61:H75" si="9">C61*E61*G61</f>
        <v>600</v>
      </c>
      <c r="I61" s="251">
        <f>IF(G61&lt;70, C61*E61*16.5*1, C61*E61*16.5*1.3)</f>
        <v>247.5</v>
      </c>
      <c r="J61" s="252"/>
      <c r="K61" s="252"/>
      <c r="L61" s="252"/>
      <c r="M61" s="252"/>
      <c r="N61" s="252"/>
      <c r="O61" s="252"/>
      <c r="P61" s="252"/>
      <c r="Q61" s="253"/>
    </row>
    <row r="62" spans="1:17" s="825" customFormat="1" ht="25" customHeight="1" x14ac:dyDescent="0.25">
      <c r="A62" s="839" t="s">
        <v>227</v>
      </c>
      <c r="B62" s="805" t="s">
        <v>274</v>
      </c>
      <c r="C62" s="796">
        <v>5</v>
      </c>
      <c r="D62" s="796">
        <v>1</v>
      </c>
      <c r="E62" s="796">
        <v>5</v>
      </c>
      <c r="F62" s="253">
        <f t="shared" si="8"/>
        <v>412.5</v>
      </c>
      <c r="G62" s="674">
        <v>40</v>
      </c>
      <c r="H62" s="249">
        <f t="shared" si="9"/>
        <v>1000</v>
      </c>
      <c r="I62" s="251">
        <f t="shared" ref="I62:I75" si="10">IF(G62&lt;70, C62*E62*16.5*1, C62*E62*16.5*1.3)</f>
        <v>412.5</v>
      </c>
      <c r="J62" s="252"/>
      <c r="K62" s="252"/>
      <c r="L62" s="252"/>
      <c r="M62" s="252"/>
      <c r="N62" s="252"/>
      <c r="O62" s="252"/>
      <c r="P62" s="252"/>
      <c r="Q62" s="253"/>
    </row>
    <row r="63" spans="1:17" s="825" customFormat="1" ht="25" customHeight="1" x14ac:dyDescent="0.25">
      <c r="A63" s="839" t="s">
        <v>228</v>
      </c>
      <c r="B63" s="805" t="s">
        <v>856</v>
      </c>
      <c r="C63" s="796">
        <v>3</v>
      </c>
      <c r="D63" s="796">
        <v>1</v>
      </c>
      <c r="E63" s="796">
        <v>5</v>
      </c>
      <c r="F63" s="253">
        <f t="shared" si="8"/>
        <v>247.5</v>
      </c>
      <c r="G63" s="674">
        <v>40</v>
      </c>
      <c r="H63" s="249">
        <f t="shared" si="9"/>
        <v>600</v>
      </c>
      <c r="I63" s="251">
        <f t="shared" si="10"/>
        <v>247.5</v>
      </c>
      <c r="J63" s="252"/>
      <c r="K63" s="252"/>
      <c r="L63" s="252"/>
      <c r="M63" s="252"/>
      <c r="N63" s="252"/>
      <c r="O63" s="252"/>
      <c r="P63" s="252"/>
      <c r="Q63" s="253"/>
    </row>
    <row r="64" spans="1:17" s="825" customFormat="1" ht="25" customHeight="1" x14ac:dyDescent="0.25">
      <c r="A64" s="839" t="s">
        <v>229</v>
      </c>
      <c r="B64" s="805" t="s">
        <v>841</v>
      </c>
      <c r="C64" s="796">
        <v>3</v>
      </c>
      <c r="D64" s="796">
        <v>1</v>
      </c>
      <c r="E64" s="796">
        <v>5</v>
      </c>
      <c r="F64" s="253">
        <f t="shared" si="8"/>
        <v>247.5</v>
      </c>
      <c r="G64" s="674">
        <v>40</v>
      </c>
      <c r="H64" s="249">
        <f t="shared" si="9"/>
        <v>600</v>
      </c>
      <c r="I64" s="251">
        <f t="shared" si="10"/>
        <v>247.5</v>
      </c>
      <c r="J64" s="252"/>
      <c r="K64" s="252"/>
      <c r="L64" s="252"/>
      <c r="M64" s="252"/>
      <c r="N64" s="252"/>
      <c r="O64" s="252"/>
      <c r="P64" s="252"/>
      <c r="Q64" s="253"/>
    </row>
    <row r="65" spans="1:17" s="825" customFormat="1" ht="25" customHeight="1" x14ac:dyDescent="0.25">
      <c r="A65" s="839" t="s">
        <v>230</v>
      </c>
      <c r="B65" s="805" t="s">
        <v>277</v>
      </c>
      <c r="C65" s="796">
        <v>2</v>
      </c>
      <c r="D65" s="796">
        <v>1</v>
      </c>
      <c r="E65" s="796">
        <v>5</v>
      </c>
      <c r="F65" s="253">
        <f>I65+J65+K65</f>
        <v>165</v>
      </c>
      <c r="G65" s="674">
        <v>40</v>
      </c>
      <c r="H65" s="249">
        <f>C65*E65*G65</f>
        <v>400</v>
      </c>
      <c r="I65" s="251">
        <f t="shared" si="10"/>
        <v>165</v>
      </c>
      <c r="J65" s="252"/>
      <c r="K65" s="252"/>
      <c r="L65" s="252"/>
      <c r="M65" s="252"/>
      <c r="N65" s="252"/>
      <c r="O65" s="252"/>
      <c r="P65" s="252"/>
      <c r="Q65" s="253"/>
    </row>
    <row r="66" spans="1:17" s="825" customFormat="1" ht="25" customHeight="1" x14ac:dyDescent="0.25">
      <c r="A66" s="839" t="s">
        <v>231</v>
      </c>
      <c r="B66" s="805" t="s">
        <v>278</v>
      </c>
      <c r="C66" s="796">
        <v>3</v>
      </c>
      <c r="D66" s="796">
        <v>1</v>
      </c>
      <c r="E66" s="796">
        <v>5</v>
      </c>
      <c r="F66" s="253">
        <f t="shared" si="8"/>
        <v>247.5</v>
      </c>
      <c r="G66" s="674">
        <v>40</v>
      </c>
      <c r="H66" s="249">
        <f t="shared" si="9"/>
        <v>600</v>
      </c>
      <c r="I66" s="251">
        <f t="shared" si="10"/>
        <v>247.5</v>
      </c>
      <c r="J66" s="252"/>
      <c r="K66" s="252"/>
      <c r="L66" s="252"/>
      <c r="M66" s="252"/>
      <c r="N66" s="252"/>
      <c r="O66" s="252"/>
      <c r="P66" s="252"/>
      <c r="Q66" s="253"/>
    </row>
    <row r="67" spans="1:17" s="825" customFormat="1" ht="25" customHeight="1" x14ac:dyDescent="0.25">
      <c r="A67" s="839" t="s">
        <v>282</v>
      </c>
      <c r="B67" s="805" t="s">
        <v>916</v>
      </c>
      <c r="C67" s="796">
        <v>2</v>
      </c>
      <c r="D67" s="796">
        <v>1</v>
      </c>
      <c r="E67" s="796">
        <v>5</v>
      </c>
      <c r="F67" s="253">
        <f t="shared" si="8"/>
        <v>165</v>
      </c>
      <c r="G67" s="674">
        <v>40</v>
      </c>
      <c r="H67" s="249">
        <f t="shared" si="9"/>
        <v>400</v>
      </c>
      <c r="I67" s="251">
        <f t="shared" si="10"/>
        <v>165</v>
      </c>
      <c r="J67" s="252"/>
      <c r="K67" s="252"/>
      <c r="L67" s="252"/>
      <c r="M67" s="252"/>
      <c r="N67" s="252"/>
      <c r="O67" s="252"/>
      <c r="P67" s="252"/>
      <c r="Q67" s="253"/>
    </row>
    <row r="68" spans="1:17" s="825" customFormat="1" ht="25" customHeight="1" x14ac:dyDescent="0.25">
      <c r="A68" s="839" t="s">
        <v>283</v>
      </c>
      <c r="B68" s="806" t="s">
        <v>256</v>
      </c>
      <c r="C68" s="796">
        <v>3</v>
      </c>
      <c r="D68" s="796">
        <v>1</v>
      </c>
      <c r="E68" s="796">
        <v>5</v>
      </c>
      <c r="F68" s="253">
        <f t="shared" si="8"/>
        <v>247.5</v>
      </c>
      <c r="G68" s="674">
        <v>40</v>
      </c>
      <c r="H68" s="249">
        <f t="shared" si="9"/>
        <v>600</v>
      </c>
      <c r="I68" s="251">
        <f t="shared" si="10"/>
        <v>247.5</v>
      </c>
      <c r="J68" s="252"/>
      <c r="K68" s="252"/>
      <c r="L68" s="252"/>
      <c r="M68" s="252"/>
      <c r="N68" s="252"/>
      <c r="O68" s="252"/>
      <c r="P68" s="252"/>
      <c r="Q68" s="253"/>
    </row>
    <row r="69" spans="1:17" s="825" customFormat="1" ht="25" customHeight="1" x14ac:dyDescent="0.25">
      <c r="A69" s="839" t="s">
        <v>284</v>
      </c>
      <c r="B69" s="806" t="s">
        <v>262</v>
      </c>
      <c r="C69" s="796">
        <v>5</v>
      </c>
      <c r="D69" s="796">
        <v>1</v>
      </c>
      <c r="E69" s="796">
        <v>5</v>
      </c>
      <c r="F69" s="253">
        <f t="shared" si="8"/>
        <v>412.5</v>
      </c>
      <c r="G69" s="674">
        <v>40</v>
      </c>
      <c r="H69" s="249">
        <f t="shared" si="9"/>
        <v>1000</v>
      </c>
      <c r="I69" s="251">
        <f t="shared" si="10"/>
        <v>412.5</v>
      </c>
      <c r="J69" s="252"/>
      <c r="K69" s="252"/>
      <c r="L69" s="252"/>
      <c r="M69" s="252"/>
      <c r="N69" s="252"/>
      <c r="O69" s="252"/>
      <c r="P69" s="252"/>
      <c r="Q69" s="253"/>
    </row>
    <row r="70" spans="1:17" s="825" customFormat="1" ht="25" customHeight="1" x14ac:dyDescent="0.25">
      <c r="A70" s="839" t="s">
        <v>285</v>
      </c>
      <c r="B70" s="806" t="s">
        <v>280</v>
      </c>
      <c r="C70" s="796">
        <v>2</v>
      </c>
      <c r="D70" s="796">
        <v>1</v>
      </c>
      <c r="E70" s="796">
        <v>5</v>
      </c>
      <c r="F70" s="253">
        <f t="shared" si="8"/>
        <v>165</v>
      </c>
      <c r="G70" s="674">
        <v>40</v>
      </c>
      <c r="H70" s="249">
        <f t="shared" si="9"/>
        <v>400</v>
      </c>
      <c r="I70" s="251">
        <f t="shared" si="10"/>
        <v>165</v>
      </c>
      <c r="J70" s="252"/>
      <c r="K70" s="252"/>
      <c r="L70" s="252"/>
      <c r="M70" s="252"/>
      <c r="N70" s="252"/>
      <c r="O70" s="252"/>
      <c r="P70" s="252"/>
      <c r="Q70" s="253"/>
    </row>
    <row r="71" spans="1:17" s="825" customFormat="1" ht="25" customHeight="1" x14ac:dyDescent="0.25">
      <c r="A71" s="839" t="s">
        <v>286</v>
      </c>
      <c r="B71" s="805" t="s">
        <v>917</v>
      </c>
      <c r="C71" s="796">
        <v>3</v>
      </c>
      <c r="D71" s="796">
        <v>1</v>
      </c>
      <c r="E71" s="796">
        <v>5</v>
      </c>
      <c r="F71" s="253">
        <f t="shared" si="8"/>
        <v>247.5</v>
      </c>
      <c r="G71" s="674">
        <v>40</v>
      </c>
      <c r="H71" s="249">
        <f t="shared" si="9"/>
        <v>600</v>
      </c>
      <c r="I71" s="251">
        <f t="shared" si="10"/>
        <v>247.5</v>
      </c>
      <c r="J71" s="252"/>
      <c r="K71" s="252"/>
      <c r="L71" s="252"/>
      <c r="M71" s="252"/>
      <c r="N71" s="252"/>
      <c r="O71" s="252"/>
      <c r="P71" s="252"/>
      <c r="Q71" s="253"/>
    </row>
    <row r="72" spans="1:17" s="855" customFormat="1" ht="25" customHeight="1" x14ac:dyDescent="0.25">
      <c r="A72" s="854" t="s">
        <v>289</v>
      </c>
      <c r="B72" s="806" t="s">
        <v>918</v>
      </c>
      <c r="C72" s="796">
        <v>3</v>
      </c>
      <c r="D72" s="796">
        <v>1</v>
      </c>
      <c r="E72" s="796">
        <v>5</v>
      </c>
      <c r="F72" s="253">
        <f t="shared" si="8"/>
        <v>247.5</v>
      </c>
      <c r="G72" s="674">
        <v>40</v>
      </c>
      <c r="H72" s="249">
        <f t="shared" si="9"/>
        <v>600</v>
      </c>
      <c r="I72" s="251">
        <f t="shared" si="10"/>
        <v>247.5</v>
      </c>
      <c r="Q72" s="856"/>
    </row>
    <row r="73" spans="1:17" s="855" customFormat="1" ht="25" customHeight="1" x14ac:dyDescent="0.25">
      <c r="A73" s="854" t="s">
        <v>290</v>
      </c>
      <c r="B73" s="806" t="s">
        <v>644</v>
      </c>
      <c r="C73" s="796">
        <v>5</v>
      </c>
      <c r="D73" s="796">
        <v>1</v>
      </c>
      <c r="E73" s="796">
        <v>5</v>
      </c>
      <c r="F73" s="253">
        <f t="shared" si="8"/>
        <v>412.5</v>
      </c>
      <c r="G73" s="674">
        <v>40</v>
      </c>
      <c r="H73" s="249">
        <f t="shared" si="9"/>
        <v>1000</v>
      </c>
      <c r="I73" s="251">
        <f t="shared" si="10"/>
        <v>412.5</v>
      </c>
      <c r="J73" s="857"/>
      <c r="K73" s="857"/>
      <c r="L73" s="858"/>
      <c r="M73" s="859"/>
      <c r="N73" s="859"/>
      <c r="O73" s="860"/>
      <c r="P73" s="860"/>
      <c r="Q73" s="861"/>
    </row>
    <row r="74" spans="1:17" s="855" customFormat="1" ht="25" customHeight="1" x14ac:dyDescent="0.25">
      <c r="A74" s="854" t="s">
        <v>291</v>
      </c>
      <c r="B74" s="806" t="s">
        <v>288</v>
      </c>
      <c r="C74" s="796">
        <v>5</v>
      </c>
      <c r="D74" s="796">
        <v>1</v>
      </c>
      <c r="E74" s="796">
        <v>5</v>
      </c>
      <c r="F74" s="253">
        <f t="shared" si="8"/>
        <v>412.5</v>
      </c>
      <c r="G74" s="674">
        <v>40</v>
      </c>
      <c r="H74" s="249">
        <f t="shared" si="9"/>
        <v>1000</v>
      </c>
      <c r="I74" s="251">
        <f t="shared" si="10"/>
        <v>412.5</v>
      </c>
      <c r="J74" s="857"/>
      <c r="K74" s="857"/>
      <c r="L74" s="858"/>
      <c r="M74" s="859"/>
      <c r="N74" s="859"/>
      <c r="O74" s="860"/>
      <c r="P74" s="860"/>
      <c r="Q74" s="861"/>
    </row>
    <row r="75" spans="1:17" s="855" customFormat="1" ht="25" customHeight="1" x14ac:dyDescent="0.25">
      <c r="A75" s="854" t="s">
        <v>292</v>
      </c>
      <c r="B75" s="806" t="s">
        <v>263</v>
      </c>
      <c r="C75" s="796">
        <v>3</v>
      </c>
      <c r="D75" s="796">
        <v>1</v>
      </c>
      <c r="E75" s="796">
        <v>3</v>
      </c>
      <c r="F75" s="253">
        <f t="shared" si="8"/>
        <v>148.5</v>
      </c>
      <c r="G75" s="674">
        <v>40</v>
      </c>
      <c r="H75" s="249">
        <f t="shared" si="9"/>
        <v>360</v>
      </c>
      <c r="I75" s="251">
        <f t="shared" si="10"/>
        <v>148.5</v>
      </c>
      <c r="J75" s="857"/>
      <c r="K75" s="857"/>
      <c r="L75" s="858"/>
      <c r="M75" s="859"/>
      <c r="N75" s="859"/>
      <c r="O75" s="860"/>
      <c r="P75" s="860"/>
      <c r="Q75" s="861"/>
    </row>
    <row r="76" spans="1:17" s="855" customFormat="1" ht="25" customHeight="1" x14ac:dyDescent="0.25">
      <c r="A76" s="862"/>
      <c r="B76" s="842" t="s">
        <v>353</v>
      </c>
      <c r="C76" s="843">
        <f t="shared" ref="C76:I76" si="11">SUM(C61:C75)</f>
        <v>50</v>
      </c>
      <c r="D76" s="843">
        <f t="shared" si="11"/>
        <v>15</v>
      </c>
      <c r="E76" s="843">
        <f t="shared" si="11"/>
        <v>73</v>
      </c>
      <c r="F76" s="843">
        <f t="shared" si="11"/>
        <v>4026</v>
      </c>
      <c r="G76" s="843">
        <f t="shared" si="11"/>
        <v>600</v>
      </c>
      <c r="H76" s="843">
        <f t="shared" si="11"/>
        <v>9760</v>
      </c>
      <c r="I76" s="843">
        <f t="shared" si="11"/>
        <v>4026</v>
      </c>
      <c r="J76" s="857"/>
      <c r="K76" s="857"/>
      <c r="L76" s="858"/>
      <c r="M76" s="859"/>
      <c r="N76" s="859"/>
      <c r="O76" s="860"/>
      <c r="P76" s="860"/>
      <c r="Q76" s="861"/>
    </row>
    <row r="77" spans="1:17" s="855" customFormat="1" ht="25" customHeight="1" x14ac:dyDescent="0.25">
      <c r="A77" s="863">
        <v>2</v>
      </c>
      <c r="B77" s="863" t="s">
        <v>85</v>
      </c>
      <c r="C77" s="418">
        <v>0</v>
      </c>
      <c r="D77" s="418">
        <v>0</v>
      </c>
      <c r="E77" s="418">
        <v>0</v>
      </c>
      <c r="F77" s="418"/>
      <c r="G77" s="674">
        <v>0</v>
      </c>
      <c r="H77" s="419"/>
      <c r="I77" s="419"/>
      <c r="J77" s="857"/>
      <c r="K77" s="857"/>
      <c r="L77" s="858"/>
      <c r="M77" s="859"/>
      <c r="N77" s="859"/>
      <c r="O77" s="860"/>
      <c r="P77" s="860"/>
      <c r="Q77" s="861"/>
    </row>
    <row r="78" spans="1:17" s="825" customFormat="1" ht="25" customHeight="1" x14ac:dyDescent="0.25">
      <c r="A78" s="864"/>
      <c r="B78" s="864" t="s">
        <v>374</v>
      </c>
      <c r="C78" s="365">
        <f t="shared" ref="C78:I78" si="12">C45+C56+C76</f>
        <v>184</v>
      </c>
      <c r="D78" s="365">
        <f t="shared" si="12"/>
        <v>55.139999999999993</v>
      </c>
      <c r="E78" s="365">
        <f t="shared" si="12"/>
        <v>235</v>
      </c>
      <c r="F78" s="365">
        <f t="shared" si="12"/>
        <v>20014.45</v>
      </c>
      <c r="G78" s="365">
        <f t="shared" si="12"/>
        <v>2427</v>
      </c>
      <c r="H78" s="365">
        <f t="shared" si="12"/>
        <v>28663</v>
      </c>
      <c r="I78" s="365">
        <f t="shared" si="12"/>
        <v>20014.45</v>
      </c>
      <c r="J78" s="261">
        <v>0</v>
      </c>
      <c r="K78" s="261">
        <v>0</v>
      </c>
      <c r="L78" s="865">
        <f>'Bieu3 GDTH'!F24</f>
        <v>2632</v>
      </c>
      <c r="M78" s="866">
        <f>'Bieu3 GDTH'!N24</f>
        <v>2402.5</v>
      </c>
      <c r="N78" s="866">
        <f>F78-M78</f>
        <v>17611.95</v>
      </c>
      <c r="O78" s="260">
        <f>'Bieu3 GDTH'!O24</f>
        <v>1422.25</v>
      </c>
      <c r="P78" s="260">
        <f>'Bieu3 GDTH'!P24</f>
        <v>780</v>
      </c>
      <c r="Q78" s="370" t="s">
        <v>702</v>
      </c>
    </row>
    <row r="79" spans="1:17" s="825" customFormat="1" ht="25" customHeight="1" x14ac:dyDescent="0.25">
      <c r="A79" s="242" t="s">
        <v>19</v>
      </c>
      <c r="B79" s="867" t="s">
        <v>375</v>
      </c>
      <c r="C79" s="249"/>
      <c r="D79" s="249"/>
      <c r="E79" s="249"/>
      <c r="F79" s="249"/>
      <c r="G79" s="249"/>
      <c r="H79" s="249"/>
      <c r="I79" s="252"/>
      <c r="J79" s="252"/>
      <c r="K79" s="252"/>
      <c r="L79" s="252"/>
      <c r="M79" s="252"/>
      <c r="N79" s="252"/>
      <c r="O79" s="252"/>
      <c r="P79" s="252"/>
      <c r="Q79" s="253"/>
    </row>
    <row r="80" spans="1:17" s="825" customFormat="1" ht="25" customHeight="1" x14ac:dyDescent="0.25">
      <c r="A80" s="868" t="s">
        <v>377</v>
      </c>
      <c r="B80" s="868" t="s">
        <v>378</v>
      </c>
      <c r="C80" s="249"/>
      <c r="D80" s="249"/>
      <c r="E80" s="249"/>
      <c r="F80" s="249"/>
      <c r="G80" s="249"/>
      <c r="H80" s="249"/>
      <c r="I80" s="252"/>
      <c r="J80" s="252"/>
      <c r="K80" s="252"/>
      <c r="L80" s="252"/>
      <c r="M80" s="252"/>
      <c r="N80" s="252"/>
      <c r="O80" s="252"/>
      <c r="P80" s="252"/>
      <c r="Q80" s="253"/>
    </row>
    <row r="81" spans="1:17" s="825" customFormat="1" ht="25" customHeight="1" x14ac:dyDescent="0.25">
      <c r="A81" s="868">
        <v>1</v>
      </c>
      <c r="B81" s="868" t="s">
        <v>379</v>
      </c>
      <c r="C81" s="249"/>
      <c r="D81" s="249"/>
      <c r="E81" s="249"/>
      <c r="F81" s="249"/>
      <c r="G81" s="249"/>
      <c r="H81" s="249"/>
      <c r="I81" s="252"/>
      <c r="J81" s="252"/>
      <c r="K81" s="252"/>
      <c r="L81" s="252"/>
      <c r="M81" s="252"/>
      <c r="N81" s="252"/>
      <c r="O81" s="252"/>
      <c r="P81" s="252"/>
      <c r="Q81" s="253"/>
    </row>
    <row r="82" spans="1:17" s="825" customFormat="1" ht="25" customHeight="1" x14ac:dyDescent="0.25">
      <c r="A82" s="244" t="s">
        <v>147</v>
      </c>
      <c r="B82" s="245" t="s">
        <v>161</v>
      </c>
      <c r="C82" s="249"/>
      <c r="D82" s="249"/>
      <c r="E82" s="249"/>
      <c r="F82" s="249"/>
      <c r="G82" s="249"/>
      <c r="H82" s="249"/>
      <c r="I82" s="252"/>
      <c r="J82" s="252"/>
      <c r="K82" s="252"/>
      <c r="L82" s="252"/>
      <c r="M82" s="252"/>
      <c r="N82" s="252"/>
      <c r="O82" s="252"/>
      <c r="P82" s="252"/>
      <c r="Q82" s="253"/>
    </row>
    <row r="83" spans="1:17" s="825" customFormat="1" ht="25" customHeight="1" x14ac:dyDescent="0.25">
      <c r="A83" s="826" t="s">
        <v>226</v>
      </c>
      <c r="B83" s="806" t="s">
        <v>824</v>
      </c>
      <c r="C83" s="804">
        <v>3</v>
      </c>
      <c r="D83" s="804">
        <v>1</v>
      </c>
      <c r="E83" s="804">
        <v>3</v>
      </c>
      <c r="F83" s="253">
        <f t="shared" ref="F83:F100" si="13">I83+J83+K83</f>
        <v>148.5</v>
      </c>
      <c r="G83" s="804">
        <v>60</v>
      </c>
      <c r="H83" s="249">
        <f t="shared" ref="H83:H114" si="14">C83*E83*G83</f>
        <v>540</v>
      </c>
      <c r="I83" s="251">
        <f>IF(G83&lt;70, C83*E83*16.5*1, C83*E83*16.5*1.3)</f>
        <v>148.5</v>
      </c>
      <c r="J83" s="869"/>
      <c r="K83" s="869"/>
      <c r="L83" s="252"/>
      <c r="M83" s="252"/>
      <c r="N83" s="252"/>
      <c r="O83" s="252"/>
      <c r="P83" s="252"/>
      <c r="Q83" s="253"/>
    </row>
    <row r="84" spans="1:17" s="825" customFormat="1" ht="25" customHeight="1" x14ac:dyDescent="0.25">
      <c r="A84" s="826" t="s">
        <v>227</v>
      </c>
      <c r="B84" s="806" t="s">
        <v>945</v>
      </c>
      <c r="C84" s="804">
        <v>5</v>
      </c>
      <c r="D84" s="804">
        <v>1.3</v>
      </c>
      <c r="E84" s="804">
        <v>4</v>
      </c>
      <c r="F84" s="253">
        <f t="shared" si="13"/>
        <v>429</v>
      </c>
      <c r="G84" s="804">
        <v>70</v>
      </c>
      <c r="H84" s="249">
        <f t="shared" si="14"/>
        <v>1400</v>
      </c>
      <c r="I84" s="251">
        <f>IF(G84&lt;70, C84*E84*16.5*1, C84*E84*16.5*1.3)</f>
        <v>429</v>
      </c>
      <c r="J84" s="869"/>
      <c r="K84" s="869"/>
      <c r="L84" s="252"/>
      <c r="M84" s="252"/>
      <c r="N84" s="252"/>
      <c r="O84" s="252"/>
      <c r="P84" s="252"/>
      <c r="Q84" s="253"/>
    </row>
    <row r="85" spans="1:17" s="825" customFormat="1" ht="25" customHeight="1" x14ac:dyDescent="0.25">
      <c r="A85" s="826" t="s">
        <v>228</v>
      </c>
      <c r="B85" s="806" t="s">
        <v>825</v>
      </c>
      <c r="C85" s="804">
        <v>4</v>
      </c>
      <c r="D85" s="804">
        <v>1</v>
      </c>
      <c r="E85" s="804">
        <v>3</v>
      </c>
      <c r="F85" s="253">
        <f t="shared" si="13"/>
        <v>198</v>
      </c>
      <c r="G85" s="804">
        <v>60</v>
      </c>
      <c r="H85" s="249">
        <f t="shared" si="14"/>
        <v>720</v>
      </c>
      <c r="I85" s="251">
        <f>IF(G85&lt;70, C85*E85*16.5*1, C85*E85*16.5*1.3)</f>
        <v>198</v>
      </c>
      <c r="J85" s="869"/>
      <c r="K85" s="869"/>
      <c r="L85" s="252"/>
      <c r="M85" s="252"/>
      <c r="N85" s="252"/>
      <c r="O85" s="252"/>
      <c r="P85" s="252"/>
      <c r="Q85" s="253"/>
    </row>
    <row r="86" spans="1:17" s="825" customFormat="1" ht="25" customHeight="1" x14ac:dyDescent="0.25">
      <c r="A86" s="826" t="s">
        <v>228</v>
      </c>
      <c r="B86" s="806" t="s">
        <v>649</v>
      </c>
      <c r="C86" s="804">
        <v>3</v>
      </c>
      <c r="D86" s="804">
        <v>1</v>
      </c>
      <c r="E86" s="804">
        <v>2</v>
      </c>
      <c r="F86" s="253">
        <f t="shared" si="13"/>
        <v>198</v>
      </c>
      <c r="G86" s="804">
        <v>60</v>
      </c>
      <c r="H86" s="249">
        <f t="shared" ref="H86:H91" si="15">C85*E85*G85</f>
        <v>720</v>
      </c>
      <c r="I86" s="251">
        <f t="shared" ref="I86:I91" si="16">IF(G85&lt;70, C85*E85*16.5*1, C85*E85*16.5*1.3)</f>
        <v>198</v>
      </c>
      <c r="J86" s="869"/>
      <c r="K86" s="869"/>
      <c r="L86" s="252"/>
      <c r="M86" s="252"/>
      <c r="N86" s="252"/>
      <c r="O86" s="252"/>
      <c r="P86" s="252"/>
      <c r="Q86" s="253"/>
    </row>
    <row r="87" spans="1:17" s="825" customFormat="1" ht="25" customHeight="1" x14ac:dyDescent="0.25">
      <c r="A87" s="826" t="s">
        <v>229</v>
      </c>
      <c r="B87" s="806" t="s">
        <v>826</v>
      </c>
      <c r="C87" s="796">
        <v>3</v>
      </c>
      <c r="D87" s="796">
        <v>1</v>
      </c>
      <c r="E87" s="796">
        <v>3</v>
      </c>
      <c r="F87" s="253">
        <f t="shared" si="13"/>
        <v>99</v>
      </c>
      <c r="G87" s="796">
        <v>70</v>
      </c>
      <c r="H87" s="249">
        <f t="shared" si="15"/>
        <v>360</v>
      </c>
      <c r="I87" s="251">
        <f t="shared" si="16"/>
        <v>99</v>
      </c>
      <c r="J87" s="869"/>
      <c r="K87" s="869"/>
      <c r="L87" s="252"/>
      <c r="M87" s="252"/>
      <c r="N87" s="252"/>
      <c r="O87" s="252"/>
      <c r="P87" s="252"/>
      <c r="Q87" s="253"/>
    </row>
    <row r="88" spans="1:17" s="825" customFormat="1" ht="25" customHeight="1" x14ac:dyDescent="0.25">
      <c r="A88" s="826" t="s">
        <v>230</v>
      </c>
      <c r="B88" s="806" t="s">
        <v>946</v>
      </c>
      <c r="C88" s="796">
        <v>5</v>
      </c>
      <c r="D88" s="796">
        <v>1</v>
      </c>
      <c r="E88" s="796">
        <v>3</v>
      </c>
      <c r="F88" s="253">
        <f t="shared" si="13"/>
        <v>193.05</v>
      </c>
      <c r="G88" s="796">
        <v>70</v>
      </c>
      <c r="H88" s="249">
        <f t="shared" si="15"/>
        <v>630</v>
      </c>
      <c r="I88" s="251">
        <f t="shared" si="16"/>
        <v>193.05</v>
      </c>
      <c r="J88" s="869"/>
      <c r="K88" s="869"/>
      <c r="L88" s="252"/>
      <c r="M88" s="252"/>
      <c r="N88" s="252"/>
      <c r="O88" s="252"/>
      <c r="P88" s="252"/>
      <c r="Q88" s="253"/>
    </row>
    <row r="89" spans="1:17" s="825" customFormat="1" ht="25" customHeight="1" x14ac:dyDescent="0.25">
      <c r="A89" s="826" t="s">
        <v>282</v>
      </c>
      <c r="B89" s="806" t="s">
        <v>825</v>
      </c>
      <c r="C89" s="796">
        <v>3</v>
      </c>
      <c r="D89" s="796">
        <v>1</v>
      </c>
      <c r="E89" s="796">
        <v>3</v>
      </c>
      <c r="F89" s="253">
        <f t="shared" si="13"/>
        <v>321.75</v>
      </c>
      <c r="G89" s="796">
        <v>70</v>
      </c>
      <c r="H89" s="249">
        <f t="shared" si="15"/>
        <v>1050</v>
      </c>
      <c r="I89" s="251">
        <f t="shared" si="16"/>
        <v>321.75</v>
      </c>
      <c r="J89" s="869"/>
      <c r="K89" s="869"/>
      <c r="L89" s="252"/>
      <c r="M89" s="252"/>
      <c r="N89" s="252"/>
      <c r="O89" s="252"/>
      <c r="P89" s="252"/>
      <c r="Q89" s="253"/>
    </row>
    <row r="90" spans="1:17" s="825" customFormat="1" ht="25" customHeight="1" x14ac:dyDescent="0.25">
      <c r="A90" s="826" t="s">
        <v>283</v>
      </c>
      <c r="B90" s="806" t="s">
        <v>499</v>
      </c>
      <c r="C90" s="796">
        <v>2</v>
      </c>
      <c r="D90" s="796">
        <v>1</v>
      </c>
      <c r="E90" s="796">
        <v>1</v>
      </c>
      <c r="F90" s="253">
        <f t="shared" si="13"/>
        <v>193.05</v>
      </c>
      <c r="G90" s="796">
        <v>40</v>
      </c>
      <c r="H90" s="249">
        <f t="shared" si="15"/>
        <v>630</v>
      </c>
      <c r="I90" s="251">
        <f t="shared" si="16"/>
        <v>193.05</v>
      </c>
      <c r="J90" s="869"/>
      <c r="K90" s="869"/>
      <c r="L90" s="252"/>
      <c r="M90" s="252"/>
      <c r="N90" s="252"/>
      <c r="O90" s="252"/>
      <c r="P90" s="252"/>
      <c r="Q90" s="253"/>
    </row>
    <row r="91" spans="1:17" s="825" customFormat="1" ht="25" customHeight="1" x14ac:dyDescent="0.25">
      <c r="A91" s="826" t="s">
        <v>284</v>
      </c>
      <c r="B91" s="805" t="s">
        <v>947</v>
      </c>
      <c r="C91" s="796">
        <v>5</v>
      </c>
      <c r="D91" s="796">
        <v>1</v>
      </c>
      <c r="E91" s="796">
        <v>3</v>
      </c>
      <c r="F91" s="253">
        <f t="shared" si="13"/>
        <v>33</v>
      </c>
      <c r="G91" s="796">
        <v>70</v>
      </c>
      <c r="H91" s="249">
        <f t="shared" si="15"/>
        <v>80</v>
      </c>
      <c r="I91" s="251">
        <f t="shared" si="16"/>
        <v>33</v>
      </c>
      <c r="J91" s="869"/>
      <c r="K91" s="869"/>
      <c r="L91" s="252"/>
      <c r="M91" s="252"/>
      <c r="N91" s="252"/>
      <c r="O91" s="252"/>
      <c r="P91" s="252"/>
      <c r="Q91" s="253"/>
    </row>
    <row r="92" spans="1:17" s="825" customFormat="1" ht="25" customHeight="1" x14ac:dyDescent="0.25">
      <c r="A92" s="826" t="s">
        <v>285</v>
      </c>
      <c r="B92" s="805" t="s">
        <v>827</v>
      </c>
      <c r="C92" s="796">
        <v>3</v>
      </c>
      <c r="D92" s="796">
        <v>1.2</v>
      </c>
      <c r="E92" s="796">
        <v>2</v>
      </c>
      <c r="F92" s="253">
        <f t="shared" si="13"/>
        <v>193.05</v>
      </c>
      <c r="G92" s="796">
        <v>25</v>
      </c>
      <c r="H92" s="249">
        <f>C89*E89*G89</f>
        <v>630</v>
      </c>
      <c r="I92" s="251">
        <f>IF(G89&lt;70, C89*E89*16.5*1, C89*E89*16.5*1.3)</f>
        <v>193.05</v>
      </c>
      <c r="J92" s="869"/>
      <c r="K92" s="869"/>
      <c r="L92" s="252"/>
      <c r="M92" s="252"/>
      <c r="N92" s="252"/>
      <c r="O92" s="252"/>
      <c r="P92" s="252"/>
      <c r="Q92" s="253"/>
    </row>
    <row r="93" spans="1:17" s="825" customFormat="1" ht="25" customHeight="1" x14ac:dyDescent="0.25">
      <c r="A93" s="826" t="s">
        <v>286</v>
      </c>
      <c r="B93" s="805" t="s">
        <v>879</v>
      </c>
      <c r="C93" s="796">
        <v>5</v>
      </c>
      <c r="D93" s="796">
        <v>1</v>
      </c>
      <c r="E93" s="796">
        <v>4</v>
      </c>
      <c r="F93" s="253">
        <f t="shared" si="13"/>
        <v>33</v>
      </c>
      <c r="G93" s="796">
        <v>70</v>
      </c>
      <c r="H93" s="249">
        <f>C90*E90*G90</f>
        <v>80</v>
      </c>
      <c r="I93" s="251">
        <f>IF(G90&lt;70, C90*E90*16.5*1, C90*E90*16.5*1.3)</f>
        <v>33</v>
      </c>
      <c r="J93" s="869"/>
      <c r="K93" s="869"/>
      <c r="L93" s="252"/>
      <c r="M93" s="252"/>
      <c r="N93" s="252"/>
      <c r="O93" s="252"/>
      <c r="P93" s="252"/>
      <c r="Q93" s="253"/>
    </row>
    <row r="94" spans="1:17" s="825" customFormat="1" ht="25" customHeight="1" x14ac:dyDescent="0.25">
      <c r="A94" s="826" t="s">
        <v>289</v>
      </c>
      <c r="B94" s="805" t="s">
        <v>948</v>
      </c>
      <c r="C94" s="796">
        <v>4</v>
      </c>
      <c r="D94" s="796">
        <v>1</v>
      </c>
      <c r="E94" s="796">
        <v>3</v>
      </c>
      <c r="F94" s="253">
        <f t="shared" si="13"/>
        <v>99</v>
      </c>
      <c r="G94" s="796">
        <v>70</v>
      </c>
      <c r="H94" s="249">
        <f>C92*E92*G92</f>
        <v>150</v>
      </c>
      <c r="I94" s="251">
        <f>IF(G92&lt;70, C92*E92*16.5*1, C92*E92*16.5*1.3)</f>
        <v>99</v>
      </c>
      <c r="J94" s="869"/>
      <c r="K94" s="869"/>
      <c r="L94" s="252"/>
      <c r="M94" s="252"/>
      <c r="N94" s="252"/>
      <c r="O94" s="252"/>
      <c r="P94" s="252"/>
      <c r="Q94" s="253"/>
    </row>
    <row r="95" spans="1:17" s="825" customFormat="1" ht="25" customHeight="1" x14ac:dyDescent="0.25">
      <c r="A95" s="826" t="s">
        <v>290</v>
      </c>
      <c r="B95" s="805" t="s">
        <v>949</v>
      </c>
      <c r="C95" s="796">
        <v>4</v>
      </c>
      <c r="D95" s="796">
        <v>1.3</v>
      </c>
      <c r="E95" s="796">
        <v>3</v>
      </c>
      <c r="F95" s="253">
        <f t="shared" si="13"/>
        <v>429</v>
      </c>
      <c r="G95" s="796">
        <v>70</v>
      </c>
      <c r="H95" s="249">
        <f>C93*E93*G93</f>
        <v>1400</v>
      </c>
      <c r="I95" s="251">
        <f>IF(G93&lt;70, C93*E93*16.5*1, C93*E93*16.5*1.3)</f>
        <v>429</v>
      </c>
      <c r="J95" s="869"/>
      <c r="K95" s="869"/>
      <c r="L95" s="252"/>
      <c r="M95" s="252"/>
      <c r="N95" s="252"/>
      <c r="O95" s="252"/>
      <c r="P95" s="252"/>
      <c r="Q95" s="253"/>
    </row>
    <row r="96" spans="1:17" s="825" customFormat="1" ht="25" customHeight="1" x14ac:dyDescent="0.25">
      <c r="A96" s="826" t="s">
        <v>291</v>
      </c>
      <c r="B96" s="805" t="s">
        <v>828</v>
      </c>
      <c r="C96" s="796">
        <v>3</v>
      </c>
      <c r="D96" s="796">
        <v>1</v>
      </c>
      <c r="E96" s="796">
        <v>3</v>
      </c>
      <c r="F96" s="253">
        <f t="shared" si="13"/>
        <v>257.40000000000003</v>
      </c>
      <c r="G96" s="796">
        <v>70</v>
      </c>
      <c r="H96" s="249">
        <f>C94*E94*G94</f>
        <v>840</v>
      </c>
      <c r="I96" s="251">
        <f>IF(G94&lt;70, C94*E94*16.5*1, C94*E94*16.5*1.3)</f>
        <v>257.40000000000003</v>
      </c>
      <c r="J96" s="869"/>
      <c r="K96" s="869"/>
      <c r="L96" s="252"/>
      <c r="M96" s="252"/>
      <c r="N96" s="252"/>
      <c r="O96" s="252"/>
      <c r="P96" s="252"/>
      <c r="Q96" s="253"/>
    </row>
    <row r="97" spans="1:17" s="825" customFormat="1" ht="25" customHeight="1" x14ac:dyDescent="0.25">
      <c r="A97" s="826" t="s">
        <v>292</v>
      </c>
      <c r="B97" s="805" t="s">
        <v>829</v>
      </c>
      <c r="C97" s="796">
        <v>4</v>
      </c>
      <c r="D97" s="796">
        <v>1</v>
      </c>
      <c r="E97" s="796">
        <v>3</v>
      </c>
      <c r="F97" s="253">
        <f t="shared" si="13"/>
        <v>257.40000000000003</v>
      </c>
      <c r="G97" s="796">
        <v>70</v>
      </c>
      <c r="H97" s="249">
        <f>C95*E95*G95</f>
        <v>840</v>
      </c>
      <c r="I97" s="251">
        <f>IF(G95&lt;70, C95*E95*16.5*1, C95*E95*16.5*1.3)</f>
        <v>257.40000000000003</v>
      </c>
      <c r="J97" s="675"/>
      <c r="K97" s="675"/>
      <c r="L97" s="252"/>
      <c r="M97" s="252"/>
      <c r="N97" s="252"/>
      <c r="O97" s="252"/>
      <c r="P97" s="252"/>
      <c r="Q97" s="253"/>
    </row>
    <row r="98" spans="1:17" s="825" customFormat="1" ht="25" customHeight="1" x14ac:dyDescent="0.25">
      <c r="A98" s="826" t="s">
        <v>395</v>
      </c>
      <c r="B98" s="805" t="s">
        <v>830</v>
      </c>
      <c r="C98" s="796">
        <v>4</v>
      </c>
      <c r="D98" s="796">
        <v>1.1200000000000001</v>
      </c>
      <c r="E98" s="796">
        <v>3</v>
      </c>
      <c r="F98" s="253">
        <f t="shared" si="13"/>
        <v>193.05</v>
      </c>
      <c r="G98" s="796">
        <v>70</v>
      </c>
      <c r="H98" s="249">
        <f>C96*E96*G96</f>
        <v>630</v>
      </c>
      <c r="I98" s="251">
        <f>IF(G96&lt;70, C96*E96*16.5*1, C96*E96*16.5*1.3)</f>
        <v>193.05</v>
      </c>
      <c r="J98" s="790"/>
      <c r="K98" s="869"/>
      <c r="L98" s="252"/>
      <c r="M98" s="252"/>
      <c r="N98" s="252"/>
      <c r="O98" s="252"/>
      <c r="P98" s="252"/>
      <c r="Q98" s="253"/>
    </row>
    <row r="99" spans="1:17" s="825" customFormat="1" ht="25" customHeight="1" x14ac:dyDescent="0.25">
      <c r="A99" s="836" t="s">
        <v>148</v>
      </c>
      <c r="B99" s="851" t="s">
        <v>151</v>
      </c>
      <c r="C99" s="674"/>
      <c r="D99" s="674"/>
      <c r="E99" s="674"/>
      <c r="F99" s="249"/>
      <c r="G99" s="674"/>
      <c r="H99" s="249">
        <f t="shared" si="14"/>
        <v>0</v>
      </c>
      <c r="I99" s="246"/>
      <c r="J99" s="675"/>
      <c r="K99" s="675"/>
      <c r="L99" s="252"/>
      <c r="M99" s="252"/>
      <c r="N99" s="252"/>
      <c r="O99" s="252"/>
      <c r="P99" s="252"/>
      <c r="Q99" s="253"/>
    </row>
    <row r="100" spans="1:17" s="825" customFormat="1" ht="25" customHeight="1" x14ac:dyDescent="0.25">
      <c r="A100" s="839" t="s">
        <v>232</v>
      </c>
      <c r="B100" s="826" t="s">
        <v>154</v>
      </c>
      <c r="C100" s="674"/>
      <c r="D100" s="674"/>
      <c r="E100" s="674"/>
      <c r="F100" s="253">
        <f t="shared" si="13"/>
        <v>0</v>
      </c>
      <c r="G100" s="674">
        <v>0</v>
      </c>
      <c r="H100" s="249">
        <f t="shared" si="14"/>
        <v>0</v>
      </c>
      <c r="I100" s="251">
        <f>IF(G100&lt;70, C100*E100*16.5*1, C100*E100*16.5*1.3)</f>
        <v>0</v>
      </c>
      <c r="J100" s="675"/>
      <c r="K100" s="675"/>
      <c r="L100" s="252"/>
      <c r="M100" s="252"/>
      <c r="N100" s="252"/>
      <c r="O100" s="252"/>
      <c r="P100" s="252"/>
      <c r="Q100" s="253"/>
    </row>
    <row r="101" spans="1:17" s="825" customFormat="1" ht="25" customHeight="1" x14ac:dyDescent="0.25">
      <c r="A101" s="839" t="s">
        <v>233</v>
      </c>
      <c r="B101" s="826" t="s">
        <v>153</v>
      </c>
      <c r="C101" s="674"/>
      <c r="D101" s="674"/>
      <c r="E101" s="674"/>
      <c r="F101" s="249">
        <v>0</v>
      </c>
      <c r="G101" s="674">
        <v>0</v>
      </c>
      <c r="H101" s="249">
        <f t="shared" si="14"/>
        <v>0</v>
      </c>
      <c r="I101" s="251">
        <f>IF(G101&lt;70, C101*E101*16.5*1, C101*E101*16.5*1.3)</f>
        <v>0</v>
      </c>
      <c r="J101" s="675"/>
      <c r="K101" s="675"/>
      <c r="L101" s="252"/>
      <c r="M101" s="252"/>
      <c r="N101" s="252"/>
      <c r="O101" s="252"/>
      <c r="P101" s="252"/>
      <c r="Q101" s="253"/>
    </row>
    <row r="102" spans="1:17" s="825" customFormat="1" ht="25" customHeight="1" x14ac:dyDescent="0.25">
      <c r="A102" s="839" t="s">
        <v>234</v>
      </c>
      <c r="B102" s="826" t="s">
        <v>155</v>
      </c>
      <c r="C102" s="674"/>
      <c r="D102" s="674"/>
      <c r="E102" s="674"/>
      <c r="F102" s="870">
        <f>I102</f>
        <v>0</v>
      </c>
      <c r="G102" s="674">
        <v>0</v>
      </c>
      <c r="H102" s="249">
        <f t="shared" si="14"/>
        <v>0</v>
      </c>
      <c r="I102" s="251">
        <f>IF(G102&lt;70, C102*E102*16.5*1, C102*E102*16.5*1.3)</f>
        <v>0</v>
      </c>
      <c r="J102" s="675"/>
      <c r="K102" s="675"/>
      <c r="L102" s="252"/>
      <c r="M102" s="252"/>
      <c r="N102" s="252"/>
      <c r="O102" s="252"/>
      <c r="P102" s="252"/>
      <c r="Q102" s="253"/>
    </row>
    <row r="103" spans="1:17" s="825" customFormat="1" ht="25" customHeight="1" x14ac:dyDescent="0.3">
      <c r="A103" s="839" t="s">
        <v>235</v>
      </c>
      <c r="B103" s="826" t="s">
        <v>156</v>
      </c>
      <c r="C103" s="871">
        <v>4</v>
      </c>
      <c r="D103" s="871">
        <v>1.4</v>
      </c>
      <c r="E103" s="871">
        <v>8</v>
      </c>
      <c r="F103" s="870">
        <f>I103+J103+K103</f>
        <v>1600</v>
      </c>
      <c r="G103" s="674">
        <v>25</v>
      </c>
      <c r="H103" s="249">
        <f t="shared" si="14"/>
        <v>800</v>
      </c>
      <c r="I103" s="246">
        <f>H103*2</f>
        <v>1600</v>
      </c>
      <c r="J103" s="675"/>
      <c r="K103" s="675"/>
      <c r="L103" s="252"/>
      <c r="M103" s="252"/>
      <c r="N103" s="252"/>
      <c r="O103" s="252"/>
      <c r="P103" s="252"/>
      <c r="Q103" s="253"/>
    </row>
    <row r="104" spans="1:17" s="825" customFormat="1" ht="25" customHeight="1" x14ac:dyDescent="0.25">
      <c r="A104" s="839" t="s">
        <v>236</v>
      </c>
      <c r="B104" s="826" t="s">
        <v>157</v>
      </c>
      <c r="C104" s="674">
        <v>0</v>
      </c>
      <c r="D104" s="674"/>
      <c r="E104" s="674">
        <v>0</v>
      </c>
      <c r="F104" s="870">
        <f>I104+J104+K104</f>
        <v>0</v>
      </c>
      <c r="G104" s="674">
        <v>0</v>
      </c>
      <c r="H104" s="249">
        <f t="shared" si="14"/>
        <v>0</v>
      </c>
      <c r="I104" s="251">
        <f>IF(G104&lt;70, C104*E104*16.5*1, C104*E104*16.5*1.3)</f>
        <v>0</v>
      </c>
      <c r="J104" s="675"/>
      <c r="K104" s="675"/>
      <c r="L104" s="252"/>
      <c r="M104" s="252"/>
      <c r="N104" s="252"/>
      <c r="O104" s="252"/>
      <c r="P104" s="252"/>
      <c r="Q104" s="253"/>
    </row>
    <row r="105" spans="1:17" s="825" customFormat="1" ht="25" customHeight="1" x14ac:dyDescent="0.25">
      <c r="A105" s="872"/>
      <c r="B105" s="873" t="s">
        <v>380</v>
      </c>
      <c r="C105" s="843">
        <f t="shared" ref="C105:K105" si="17">SUM(C83:C104)</f>
        <v>64</v>
      </c>
      <c r="D105" s="843">
        <f t="shared" si="17"/>
        <v>18.32</v>
      </c>
      <c r="E105" s="843">
        <f t="shared" si="17"/>
        <v>54</v>
      </c>
      <c r="F105" s="843">
        <f t="shared" si="17"/>
        <v>4875.25</v>
      </c>
      <c r="G105" s="843">
        <f t="shared" si="17"/>
        <v>1040</v>
      </c>
      <c r="H105" s="843">
        <f t="shared" si="17"/>
        <v>11500</v>
      </c>
      <c r="I105" s="843">
        <f t="shared" si="17"/>
        <v>4875.25</v>
      </c>
      <c r="J105" s="843">
        <f t="shared" si="17"/>
        <v>0</v>
      </c>
      <c r="K105" s="843">
        <f t="shared" si="17"/>
        <v>0</v>
      </c>
      <c r="L105" s="252"/>
      <c r="M105" s="252"/>
      <c r="N105" s="252"/>
      <c r="O105" s="252"/>
      <c r="P105" s="252"/>
      <c r="Q105" s="253"/>
    </row>
    <row r="106" spans="1:17" s="825" customFormat="1" ht="25" customHeight="1" x14ac:dyDescent="0.25">
      <c r="A106" s="874">
        <v>2</v>
      </c>
      <c r="B106" s="874" t="s">
        <v>501</v>
      </c>
      <c r="C106" s="674"/>
      <c r="D106" s="674"/>
      <c r="E106" s="674"/>
      <c r="F106" s="251"/>
      <c r="G106" s="674"/>
      <c r="H106" s="249"/>
      <c r="I106" s="249"/>
      <c r="J106" s="675"/>
      <c r="K106" s="675"/>
      <c r="L106" s="252"/>
      <c r="M106" s="252"/>
      <c r="N106" s="252"/>
      <c r="O106" s="252"/>
      <c r="P106" s="252"/>
      <c r="Q106" s="1447"/>
    </row>
    <row r="107" spans="1:17" s="825" customFormat="1" ht="25" customHeight="1" x14ac:dyDescent="0.25">
      <c r="A107" s="847" t="s">
        <v>147</v>
      </c>
      <c r="B107" s="848" t="s">
        <v>165</v>
      </c>
      <c r="C107" s="674"/>
      <c r="D107" s="674"/>
      <c r="E107" s="674"/>
      <c r="F107" s="251"/>
      <c r="G107" s="674"/>
      <c r="H107" s="249"/>
      <c r="I107" s="249"/>
      <c r="J107" s="675"/>
      <c r="K107" s="675"/>
      <c r="L107" s="252"/>
      <c r="M107" s="252"/>
      <c r="N107" s="252"/>
      <c r="O107" s="252"/>
      <c r="P107" s="252"/>
      <c r="Q107" s="1447"/>
    </row>
    <row r="108" spans="1:17" s="825" customFormat="1" ht="25" customHeight="1" x14ac:dyDescent="0.25">
      <c r="A108" s="826" t="s">
        <v>226</v>
      </c>
      <c r="B108" s="875" t="s">
        <v>831</v>
      </c>
      <c r="C108" s="674">
        <v>3</v>
      </c>
      <c r="D108" s="674">
        <v>1</v>
      </c>
      <c r="E108" s="674">
        <v>2</v>
      </c>
      <c r="F108" s="253">
        <f>(I108+J108+K108)</f>
        <v>69.3</v>
      </c>
      <c r="G108" s="674">
        <v>13</v>
      </c>
      <c r="H108" s="249">
        <f t="shared" si="14"/>
        <v>78</v>
      </c>
      <c r="I108" s="251">
        <f>C108*E108*16.5*0.7</f>
        <v>69.3</v>
      </c>
      <c r="J108" s="675"/>
      <c r="K108" s="675"/>
      <c r="L108" s="876"/>
      <c r="M108" s="252"/>
      <c r="N108" s="252"/>
      <c r="O108" s="252"/>
      <c r="P108" s="252"/>
      <c r="Q108" s="1447"/>
    </row>
    <row r="109" spans="1:17" s="825" customFormat="1" ht="25" customHeight="1" x14ac:dyDescent="0.25">
      <c r="A109" s="826" t="s">
        <v>227</v>
      </c>
      <c r="B109" s="875" t="s">
        <v>832</v>
      </c>
      <c r="C109" s="674">
        <v>3</v>
      </c>
      <c r="D109" s="674">
        <v>1</v>
      </c>
      <c r="E109" s="674">
        <v>2</v>
      </c>
      <c r="F109" s="253">
        <f t="shared" ref="F109:F114" si="18">(I109+J109+K109)</f>
        <v>69.3</v>
      </c>
      <c r="G109" s="674">
        <v>13</v>
      </c>
      <c r="H109" s="249">
        <f t="shared" si="14"/>
        <v>78</v>
      </c>
      <c r="I109" s="251">
        <f>C109*E109*16.5*0.7</f>
        <v>69.3</v>
      </c>
      <c r="J109" s="675"/>
      <c r="K109" s="675"/>
      <c r="L109" s="876"/>
      <c r="M109" s="252"/>
      <c r="N109" s="252"/>
      <c r="O109" s="252"/>
      <c r="P109" s="252"/>
      <c r="Q109" s="1447"/>
    </row>
    <row r="110" spans="1:17" s="825" customFormat="1" ht="25" customHeight="1" x14ac:dyDescent="0.25">
      <c r="A110" s="826" t="s">
        <v>228</v>
      </c>
      <c r="B110" s="875" t="s">
        <v>833</v>
      </c>
      <c r="C110" s="674">
        <v>3</v>
      </c>
      <c r="D110" s="674">
        <v>1</v>
      </c>
      <c r="E110" s="674">
        <v>2</v>
      </c>
      <c r="F110" s="253">
        <f t="shared" si="18"/>
        <v>69.3</v>
      </c>
      <c r="G110" s="674">
        <v>13</v>
      </c>
      <c r="H110" s="249">
        <f t="shared" si="14"/>
        <v>78</v>
      </c>
      <c r="I110" s="251">
        <f>C110*E110*16.5*0.7</f>
        <v>69.3</v>
      </c>
      <c r="J110" s="675"/>
      <c r="K110" s="675"/>
      <c r="L110" s="876"/>
      <c r="M110" s="252"/>
      <c r="N110" s="252"/>
      <c r="O110" s="252"/>
      <c r="P110" s="252"/>
      <c r="Q110" s="1447"/>
    </row>
    <row r="111" spans="1:17" s="825" customFormat="1" ht="25" customHeight="1" x14ac:dyDescent="0.25">
      <c r="A111" s="826" t="s">
        <v>229</v>
      </c>
      <c r="B111" s="875" t="s">
        <v>834</v>
      </c>
      <c r="C111" s="674">
        <v>3</v>
      </c>
      <c r="D111" s="674">
        <v>1</v>
      </c>
      <c r="E111" s="674">
        <v>2</v>
      </c>
      <c r="F111" s="253">
        <f t="shared" si="18"/>
        <v>69.3</v>
      </c>
      <c r="G111" s="674">
        <v>13</v>
      </c>
      <c r="H111" s="249">
        <f t="shared" si="14"/>
        <v>78</v>
      </c>
      <c r="I111" s="251">
        <f>C111*E111*16.5*0.7</f>
        <v>69.3</v>
      </c>
      <c r="J111" s="675"/>
      <c r="K111" s="675"/>
      <c r="L111" s="876"/>
      <c r="M111" s="252"/>
      <c r="N111" s="252"/>
      <c r="O111" s="252"/>
      <c r="P111" s="252"/>
      <c r="Q111" s="1447"/>
    </row>
    <row r="112" spans="1:17" s="825" customFormat="1" ht="25" customHeight="1" x14ac:dyDescent="0.25">
      <c r="A112" s="826" t="s">
        <v>230</v>
      </c>
      <c r="B112" s="826" t="s">
        <v>835</v>
      </c>
      <c r="C112" s="674">
        <v>3</v>
      </c>
      <c r="D112" s="674">
        <v>1</v>
      </c>
      <c r="E112" s="674">
        <v>2</v>
      </c>
      <c r="F112" s="253">
        <f t="shared" si="18"/>
        <v>69.3</v>
      </c>
      <c r="G112" s="674">
        <v>13</v>
      </c>
      <c r="H112" s="249">
        <f t="shared" si="14"/>
        <v>78</v>
      </c>
      <c r="I112" s="251">
        <f>C112*E112*16.5*0.7</f>
        <v>69.3</v>
      </c>
      <c r="J112" s="675"/>
      <c r="K112" s="675"/>
      <c r="L112" s="876"/>
      <c r="M112" s="252"/>
      <c r="N112" s="252"/>
      <c r="O112" s="252"/>
      <c r="P112" s="252"/>
      <c r="Q112" s="1447"/>
    </row>
    <row r="113" spans="1:17" s="825" customFormat="1" ht="25" customHeight="1" x14ac:dyDescent="0.25">
      <c r="A113" s="826" t="s">
        <v>231</v>
      </c>
      <c r="B113" s="850" t="s">
        <v>836</v>
      </c>
      <c r="C113" s="674">
        <v>3</v>
      </c>
      <c r="D113" s="674">
        <v>1</v>
      </c>
      <c r="E113" s="674">
        <v>2</v>
      </c>
      <c r="F113" s="253">
        <f t="shared" si="18"/>
        <v>69.3</v>
      </c>
      <c r="G113" s="674">
        <v>13</v>
      </c>
      <c r="H113" s="249">
        <f t="shared" si="14"/>
        <v>78</v>
      </c>
      <c r="I113" s="246">
        <v>0</v>
      </c>
      <c r="J113" s="675"/>
      <c r="K113" s="251">
        <f>C113*E113*16.5*0.7</f>
        <v>69.3</v>
      </c>
      <c r="L113" s="252"/>
      <c r="M113" s="252"/>
      <c r="N113" s="252"/>
      <c r="O113" s="252"/>
      <c r="P113" s="252"/>
      <c r="Q113" s="253"/>
    </row>
    <row r="114" spans="1:17" s="825" customFormat="1" ht="25" customHeight="1" x14ac:dyDescent="0.25">
      <c r="A114" s="839" t="s">
        <v>282</v>
      </c>
      <c r="B114" s="850" t="s">
        <v>837</v>
      </c>
      <c r="C114" s="674">
        <v>3</v>
      </c>
      <c r="D114" s="674">
        <v>1</v>
      </c>
      <c r="E114" s="674">
        <v>2</v>
      </c>
      <c r="F114" s="253">
        <f t="shared" si="18"/>
        <v>69.3</v>
      </c>
      <c r="G114" s="674">
        <v>13</v>
      </c>
      <c r="H114" s="249">
        <f t="shared" si="14"/>
        <v>78</v>
      </c>
      <c r="I114" s="246">
        <v>0</v>
      </c>
      <c r="J114" s="675"/>
      <c r="K114" s="251">
        <f>C114*E114*16.5*0.7</f>
        <v>69.3</v>
      </c>
      <c r="L114" s="252"/>
      <c r="M114" s="252"/>
      <c r="N114" s="252"/>
      <c r="O114" s="252"/>
      <c r="P114" s="252"/>
      <c r="Q114" s="253"/>
    </row>
    <row r="115" spans="1:17" s="825" customFormat="1" ht="25" customHeight="1" x14ac:dyDescent="0.25">
      <c r="A115" s="836" t="s">
        <v>148</v>
      </c>
      <c r="B115" s="851" t="s">
        <v>470</v>
      </c>
      <c r="C115" s="674"/>
      <c r="D115" s="674"/>
      <c r="E115" s="674"/>
      <c r="F115" s="253"/>
      <c r="G115" s="674"/>
      <c r="H115" s="249"/>
      <c r="I115" s="251"/>
      <c r="J115" s="869"/>
      <c r="K115" s="675"/>
      <c r="L115" s="252"/>
      <c r="M115" s="252"/>
      <c r="N115" s="252"/>
      <c r="O115" s="252"/>
      <c r="P115" s="252"/>
      <c r="Q115" s="253"/>
    </row>
    <row r="116" spans="1:17" s="825" customFormat="1" ht="25" customHeight="1" x14ac:dyDescent="0.25">
      <c r="A116" s="836"/>
      <c r="B116" s="826" t="s">
        <v>950</v>
      </c>
      <c r="C116" s="674">
        <v>15</v>
      </c>
      <c r="D116" s="674">
        <v>1</v>
      </c>
      <c r="E116" s="674">
        <v>1</v>
      </c>
      <c r="F116" s="253">
        <f t="shared" ref="F116:F129" si="19">I116+J116+K116</f>
        <v>210</v>
      </c>
      <c r="G116" s="674">
        <v>43</v>
      </c>
      <c r="H116" s="249">
        <f>C116*E116*G116</f>
        <v>645</v>
      </c>
      <c r="I116" s="251">
        <f>6*35</f>
        <v>210</v>
      </c>
      <c r="J116" s="869"/>
      <c r="K116" s="675"/>
      <c r="L116" s="252"/>
      <c r="M116" s="252"/>
      <c r="N116" s="252"/>
      <c r="O116" s="252"/>
      <c r="P116" s="252"/>
      <c r="Q116" s="253"/>
    </row>
    <row r="117" spans="1:17" s="825" customFormat="1" ht="25" customHeight="1" x14ac:dyDescent="0.25">
      <c r="A117" s="841"/>
      <c r="B117" s="842" t="s">
        <v>380</v>
      </c>
      <c r="C117" s="843">
        <f>SUM(C108:C116)</f>
        <v>36</v>
      </c>
      <c r="D117" s="843">
        <f t="shared" ref="D117:K117" si="20">SUM(D108:D116)</f>
        <v>8</v>
      </c>
      <c r="E117" s="843">
        <f t="shared" si="20"/>
        <v>15</v>
      </c>
      <c r="F117" s="843">
        <f t="shared" si="20"/>
        <v>695.1</v>
      </c>
      <c r="G117" s="843">
        <f>SUM(G108:G116)</f>
        <v>134</v>
      </c>
      <c r="H117" s="843">
        <f t="shared" si="20"/>
        <v>1191</v>
      </c>
      <c r="I117" s="843">
        <f t="shared" si="20"/>
        <v>556.5</v>
      </c>
      <c r="J117" s="843">
        <f t="shared" si="20"/>
        <v>0</v>
      </c>
      <c r="K117" s="843">
        <f t="shared" si="20"/>
        <v>138.6</v>
      </c>
      <c r="L117" s="252"/>
      <c r="M117" s="252"/>
      <c r="N117" s="252"/>
      <c r="O117" s="252"/>
      <c r="P117" s="252"/>
      <c r="Q117" s="253"/>
    </row>
    <row r="118" spans="1:17" s="825" customFormat="1" ht="25" customHeight="1" x14ac:dyDescent="0.25">
      <c r="A118" s="874">
        <v>1</v>
      </c>
      <c r="B118" s="848" t="s">
        <v>225</v>
      </c>
      <c r="C118" s="674"/>
      <c r="D118" s="674"/>
      <c r="E118" s="674"/>
      <c r="F118" s="253"/>
      <c r="G118" s="674"/>
      <c r="H118" s="249"/>
      <c r="I118" s="251"/>
      <c r="J118" s="869"/>
      <c r="K118" s="869"/>
      <c r="L118" s="252"/>
      <c r="M118" s="252"/>
      <c r="N118" s="252"/>
      <c r="O118" s="252"/>
      <c r="P118" s="252"/>
      <c r="Q118" s="253"/>
    </row>
    <row r="119" spans="1:17" s="825" customFormat="1" ht="25" customHeight="1" x14ac:dyDescent="0.25">
      <c r="A119" s="874" t="s">
        <v>381</v>
      </c>
      <c r="B119" s="848" t="s">
        <v>163</v>
      </c>
      <c r="C119" s="674"/>
      <c r="D119" s="674"/>
      <c r="E119" s="674"/>
      <c r="F119" s="253"/>
      <c r="G119" s="674"/>
      <c r="H119" s="249"/>
      <c r="I119" s="251"/>
      <c r="J119" s="869"/>
      <c r="K119" s="869"/>
      <c r="L119" s="252"/>
      <c r="M119" s="252"/>
      <c r="N119" s="252"/>
      <c r="O119" s="252"/>
      <c r="P119" s="252"/>
      <c r="Q119" s="253"/>
    </row>
    <row r="120" spans="1:17" s="825" customFormat="1" ht="25" customHeight="1" x14ac:dyDescent="0.25">
      <c r="A120" s="839" t="s">
        <v>228</v>
      </c>
      <c r="B120" s="806" t="s">
        <v>935</v>
      </c>
      <c r="C120" s="796">
        <v>3</v>
      </c>
      <c r="D120" s="796">
        <v>1</v>
      </c>
      <c r="E120" s="796">
        <v>12</v>
      </c>
      <c r="F120" s="253">
        <f t="shared" si="19"/>
        <v>772.2</v>
      </c>
      <c r="G120" s="796">
        <v>70</v>
      </c>
      <c r="H120" s="249">
        <f>C120*E120*G120</f>
        <v>2520</v>
      </c>
      <c r="I120" s="251">
        <f>IF(G120&lt;70, C120*E120*16.5*1, C120*E120*16.5*1.3)</f>
        <v>772.2</v>
      </c>
      <c r="J120" s="869"/>
      <c r="K120" s="869"/>
      <c r="L120" s="252"/>
      <c r="M120" s="252"/>
      <c r="N120" s="252"/>
      <c r="O120" s="252"/>
      <c r="P120" s="252"/>
      <c r="Q120" s="253"/>
    </row>
    <row r="121" spans="1:17" s="825" customFormat="1" ht="25" customHeight="1" x14ac:dyDescent="0.25">
      <c r="A121" s="839" t="s">
        <v>229</v>
      </c>
      <c r="B121" s="806" t="s">
        <v>936</v>
      </c>
      <c r="C121" s="796">
        <v>3</v>
      </c>
      <c r="D121" s="796">
        <v>1</v>
      </c>
      <c r="E121" s="796">
        <v>12</v>
      </c>
      <c r="F121" s="253">
        <f t="shared" si="19"/>
        <v>772.2</v>
      </c>
      <c r="G121" s="796">
        <v>70</v>
      </c>
      <c r="H121" s="249">
        <f t="shared" ref="H121:H129" si="21">C121*E121*G121</f>
        <v>2520</v>
      </c>
      <c r="I121" s="251">
        <f t="shared" ref="I121:I129" si="22">IF(G121&lt;70, C121*E121*16.5*1, C121*E121*16.5*1.3)</f>
        <v>772.2</v>
      </c>
      <c r="J121" s="869"/>
      <c r="K121" s="869"/>
      <c r="L121" s="252"/>
      <c r="M121" s="252"/>
      <c r="N121" s="252"/>
      <c r="O121" s="252"/>
      <c r="P121" s="252"/>
      <c r="Q121" s="253"/>
    </row>
    <row r="122" spans="1:17" s="825" customFormat="1" ht="25" customHeight="1" x14ac:dyDescent="0.25">
      <c r="A122" s="839" t="s">
        <v>230</v>
      </c>
      <c r="B122" s="806" t="s">
        <v>937</v>
      </c>
      <c r="C122" s="796">
        <v>2</v>
      </c>
      <c r="D122" s="796">
        <v>1</v>
      </c>
      <c r="E122" s="796">
        <v>15</v>
      </c>
      <c r="F122" s="253">
        <f t="shared" si="19"/>
        <v>643.5</v>
      </c>
      <c r="G122" s="796">
        <v>70</v>
      </c>
      <c r="H122" s="249">
        <f t="shared" si="21"/>
        <v>2100</v>
      </c>
      <c r="I122" s="251">
        <f t="shared" si="22"/>
        <v>643.5</v>
      </c>
      <c r="J122" s="869"/>
      <c r="K122" s="869"/>
      <c r="L122" s="252"/>
      <c r="M122" s="252"/>
      <c r="N122" s="252"/>
      <c r="O122" s="252"/>
      <c r="P122" s="252"/>
      <c r="Q122" s="253"/>
    </row>
    <row r="123" spans="1:17" s="825" customFormat="1" ht="25" customHeight="1" x14ac:dyDescent="0.25">
      <c r="A123" s="839" t="s">
        <v>231</v>
      </c>
      <c r="B123" s="806" t="s">
        <v>938</v>
      </c>
      <c r="C123" s="796">
        <v>3</v>
      </c>
      <c r="D123" s="796">
        <v>1</v>
      </c>
      <c r="E123" s="796">
        <v>15</v>
      </c>
      <c r="F123" s="253">
        <f t="shared" si="19"/>
        <v>965.25</v>
      </c>
      <c r="G123" s="796">
        <v>70</v>
      </c>
      <c r="H123" s="249">
        <f t="shared" si="21"/>
        <v>3150</v>
      </c>
      <c r="I123" s="251">
        <f t="shared" si="22"/>
        <v>965.25</v>
      </c>
      <c r="J123" s="869"/>
      <c r="K123" s="869"/>
      <c r="L123" s="252"/>
      <c r="M123" s="252"/>
      <c r="N123" s="252"/>
      <c r="O123" s="252"/>
      <c r="P123" s="252"/>
      <c r="Q123" s="253"/>
    </row>
    <row r="124" spans="1:17" s="825" customFormat="1" ht="25" customHeight="1" x14ac:dyDescent="0.25">
      <c r="A124" s="839" t="s">
        <v>282</v>
      </c>
      <c r="B124" s="806" t="s">
        <v>939</v>
      </c>
      <c r="C124" s="796">
        <v>2</v>
      </c>
      <c r="D124" s="796">
        <v>1</v>
      </c>
      <c r="E124" s="796">
        <v>15</v>
      </c>
      <c r="F124" s="253">
        <f t="shared" si="19"/>
        <v>643.5</v>
      </c>
      <c r="G124" s="796">
        <v>80</v>
      </c>
      <c r="H124" s="249">
        <f t="shared" si="21"/>
        <v>2400</v>
      </c>
      <c r="I124" s="251">
        <f t="shared" si="22"/>
        <v>643.5</v>
      </c>
      <c r="J124" s="869"/>
      <c r="K124" s="869"/>
      <c r="L124" s="252"/>
      <c r="M124" s="252"/>
      <c r="N124" s="252"/>
      <c r="O124" s="252"/>
      <c r="P124" s="252"/>
      <c r="Q124" s="253"/>
    </row>
    <row r="125" spans="1:17" s="825" customFormat="1" ht="25" customHeight="1" x14ac:dyDescent="0.25">
      <c r="A125" s="839" t="s">
        <v>284</v>
      </c>
      <c r="B125" s="805" t="s">
        <v>940</v>
      </c>
      <c r="C125" s="796">
        <v>3</v>
      </c>
      <c r="D125" s="796">
        <v>1</v>
      </c>
      <c r="E125" s="796">
        <v>15</v>
      </c>
      <c r="F125" s="253">
        <f t="shared" si="19"/>
        <v>965.25</v>
      </c>
      <c r="G125" s="796">
        <v>70</v>
      </c>
      <c r="H125" s="249">
        <f t="shared" si="21"/>
        <v>3150</v>
      </c>
      <c r="I125" s="251">
        <f t="shared" si="22"/>
        <v>965.25</v>
      </c>
      <c r="J125" s="869"/>
      <c r="K125" s="869"/>
      <c r="L125" s="252"/>
      <c r="M125" s="252"/>
      <c r="N125" s="252"/>
      <c r="O125" s="252"/>
      <c r="P125" s="252"/>
      <c r="Q125" s="253"/>
    </row>
    <row r="126" spans="1:17" s="825" customFormat="1" ht="25" customHeight="1" x14ac:dyDescent="0.25">
      <c r="A126" s="839" t="s">
        <v>286</v>
      </c>
      <c r="B126" s="840" t="s">
        <v>941</v>
      </c>
      <c r="C126" s="796">
        <v>3</v>
      </c>
      <c r="D126" s="796">
        <v>1</v>
      </c>
      <c r="E126" s="796">
        <v>15</v>
      </c>
      <c r="F126" s="253">
        <f t="shared" si="19"/>
        <v>965.25</v>
      </c>
      <c r="G126" s="796">
        <v>70</v>
      </c>
      <c r="H126" s="249">
        <f t="shared" si="21"/>
        <v>3150</v>
      </c>
      <c r="I126" s="251">
        <f t="shared" si="22"/>
        <v>965.25</v>
      </c>
      <c r="J126" s="869"/>
      <c r="K126" s="869"/>
      <c r="L126" s="252"/>
      <c r="M126" s="252"/>
      <c r="N126" s="252"/>
      <c r="O126" s="252"/>
      <c r="P126" s="252"/>
      <c r="Q126" s="253"/>
    </row>
    <row r="127" spans="1:17" s="825" customFormat="1" ht="25" customHeight="1" x14ac:dyDescent="0.25">
      <c r="A127" s="839" t="s">
        <v>289</v>
      </c>
      <c r="B127" s="840" t="s">
        <v>942</v>
      </c>
      <c r="C127" s="796">
        <v>4</v>
      </c>
      <c r="D127" s="796">
        <v>1</v>
      </c>
      <c r="E127" s="796">
        <v>10</v>
      </c>
      <c r="F127" s="253">
        <f t="shared" si="19"/>
        <v>858</v>
      </c>
      <c r="G127" s="796">
        <v>70</v>
      </c>
      <c r="H127" s="249">
        <f t="shared" si="21"/>
        <v>2800</v>
      </c>
      <c r="I127" s="251">
        <f t="shared" si="22"/>
        <v>858</v>
      </c>
      <c r="J127" s="869"/>
      <c r="K127" s="869"/>
      <c r="L127" s="252"/>
      <c r="M127" s="252"/>
      <c r="N127" s="252"/>
      <c r="O127" s="252"/>
      <c r="P127" s="252"/>
      <c r="Q127" s="253"/>
    </row>
    <row r="128" spans="1:17" s="825" customFormat="1" ht="25" customHeight="1" x14ac:dyDescent="0.25">
      <c r="A128" s="839" t="s">
        <v>290</v>
      </c>
      <c r="B128" s="840" t="s">
        <v>943</v>
      </c>
      <c r="C128" s="796">
        <v>4</v>
      </c>
      <c r="D128" s="796">
        <v>1</v>
      </c>
      <c r="E128" s="796">
        <v>10</v>
      </c>
      <c r="F128" s="253">
        <f t="shared" si="19"/>
        <v>858</v>
      </c>
      <c r="G128" s="796">
        <v>70</v>
      </c>
      <c r="H128" s="249">
        <f t="shared" si="21"/>
        <v>2800</v>
      </c>
      <c r="I128" s="251">
        <f t="shared" si="22"/>
        <v>858</v>
      </c>
      <c r="J128" s="869"/>
      <c r="K128" s="869"/>
      <c r="L128" s="252"/>
      <c r="M128" s="252"/>
      <c r="N128" s="252"/>
      <c r="O128" s="252"/>
      <c r="P128" s="252"/>
      <c r="Q128" s="253"/>
    </row>
    <row r="129" spans="1:17" s="825" customFormat="1" ht="25" customHeight="1" x14ac:dyDescent="0.25">
      <c r="A129" s="839" t="s">
        <v>291</v>
      </c>
      <c r="B129" s="840" t="s">
        <v>944</v>
      </c>
      <c r="C129" s="796">
        <v>4</v>
      </c>
      <c r="D129" s="796">
        <v>1</v>
      </c>
      <c r="E129" s="796">
        <v>10</v>
      </c>
      <c r="F129" s="253">
        <f t="shared" si="19"/>
        <v>858</v>
      </c>
      <c r="G129" s="796">
        <v>70</v>
      </c>
      <c r="H129" s="249">
        <f t="shared" si="21"/>
        <v>2800</v>
      </c>
      <c r="I129" s="251">
        <f t="shared" si="22"/>
        <v>858</v>
      </c>
      <c r="J129" s="869"/>
      <c r="K129" s="869"/>
      <c r="L129" s="252"/>
      <c r="M129" s="252"/>
      <c r="N129" s="252"/>
      <c r="O129" s="252"/>
      <c r="P129" s="252"/>
      <c r="Q129" s="253"/>
    </row>
    <row r="130" spans="1:17" s="825" customFormat="1" ht="25" customHeight="1" x14ac:dyDescent="0.25">
      <c r="A130" s="877"/>
      <c r="B130" s="878" t="s">
        <v>392</v>
      </c>
      <c r="C130" s="879">
        <f t="shared" ref="C130:K130" si="23">SUM(C120:C129)</f>
        <v>31</v>
      </c>
      <c r="D130" s="879">
        <f t="shared" si="23"/>
        <v>10</v>
      </c>
      <c r="E130" s="879">
        <f t="shared" si="23"/>
        <v>129</v>
      </c>
      <c r="F130" s="879">
        <f t="shared" si="23"/>
        <v>8301.15</v>
      </c>
      <c r="G130" s="879">
        <f t="shared" si="23"/>
        <v>710</v>
      </c>
      <c r="H130" s="879">
        <f t="shared" si="23"/>
        <v>27390</v>
      </c>
      <c r="I130" s="879">
        <f t="shared" si="23"/>
        <v>8301.15</v>
      </c>
      <c r="J130" s="879">
        <f t="shared" si="23"/>
        <v>0</v>
      </c>
      <c r="K130" s="879">
        <f t="shared" si="23"/>
        <v>0</v>
      </c>
      <c r="L130" s="252"/>
      <c r="M130" s="252"/>
      <c r="N130" s="252"/>
      <c r="O130" s="252"/>
      <c r="P130" s="252"/>
      <c r="Q130" s="253"/>
    </row>
    <row r="131" spans="1:17" s="825" customFormat="1" ht="25" customHeight="1" x14ac:dyDescent="0.25">
      <c r="A131" s="238"/>
      <c r="B131" s="263" t="s">
        <v>393</v>
      </c>
      <c r="C131" s="260">
        <f t="shared" ref="C131:K131" si="24">C105+C117+C130</f>
        <v>131</v>
      </c>
      <c r="D131" s="260">
        <f t="shared" si="24"/>
        <v>36.32</v>
      </c>
      <c r="E131" s="260">
        <f t="shared" si="24"/>
        <v>198</v>
      </c>
      <c r="F131" s="260">
        <f t="shared" si="24"/>
        <v>13871.5</v>
      </c>
      <c r="G131" s="260">
        <f t="shared" si="24"/>
        <v>1884</v>
      </c>
      <c r="H131" s="260">
        <f t="shared" si="24"/>
        <v>40081</v>
      </c>
      <c r="I131" s="260">
        <f t="shared" si="24"/>
        <v>13732.9</v>
      </c>
      <c r="J131" s="260">
        <f t="shared" si="24"/>
        <v>0</v>
      </c>
      <c r="K131" s="260">
        <f t="shared" si="24"/>
        <v>138.6</v>
      </c>
      <c r="L131" s="865">
        <f>'Bieu3 GDMN'!F25</f>
        <v>2700</v>
      </c>
      <c r="M131" s="865">
        <f>'Bieu3 GDMN'!N25</f>
        <v>2376</v>
      </c>
      <c r="N131" s="865">
        <f>I131-M131</f>
        <v>11356.9</v>
      </c>
      <c r="O131" s="865">
        <f>'Bieu3 GDMN'!O25</f>
        <v>1709.75</v>
      </c>
      <c r="P131" s="865">
        <f>'Bieu3 GDMN'!P25</f>
        <v>960</v>
      </c>
      <c r="Q131" s="370" t="s">
        <v>703</v>
      </c>
    </row>
    <row r="132" spans="1:17" s="825" customFormat="1" ht="25" customHeight="1" x14ac:dyDescent="0.25">
      <c r="A132" s="286" t="s">
        <v>422</v>
      </c>
      <c r="B132" s="880" t="s">
        <v>423</v>
      </c>
      <c r="C132" s="881"/>
      <c r="D132" s="881"/>
      <c r="E132" s="881"/>
      <c r="F132" s="882"/>
      <c r="G132" s="881"/>
      <c r="H132" s="249"/>
      <c r="I132" s="252"/>
      <c r="J132" s="252"/>
      <c r="K132" s="252"/>
      <c r="L132" s="252"/>
      <c r="M132" s="252"/>
      <c r="N132" s="252"/>
      <c r="O132" s="252"/>
      <c r="P132" s="252"/>
      <c r="Q132" s="253"/>
    </row>
    <row r="133" spans="1:17" s="825" customFormat="1" ht="25" customHeight="1" x14ac:dyDescent="0.25">
      <c r="A133" s="286" t="s">
        <v>7</v>
      </c>
      <c r="B133" s="286" t="s">
        <v>223</v>
      </c>
      <c r="C133" s="881"/>
      <c r="D133" s="881"/>
      <c r="E133" s="881"/>
      <c r="F133" s="882"/>
      <c r="G133" s="881"/>
      <c r="H133" s="249"/>
      <c r="I133" s="252"/>
      <c r="J133" s="252"/>
      <c r="K133" s="252"/>
      <c r="L133" s="252"/>
      <c r="M133" s="252"/>
      <c r="N133" s="252"/>
      <c r="O133" s="252"/>
      <c r="P133" s="252"/>
      <c r="Q133" s="253"/>
    </row>
    <row r="134" spans="1:17" s="825" customFormat="1" ht="25" customHeight="1" x14ac:dyDescent="0.25">
      <c r="A134" s="286">
        <v>1</v>
      </c>
      <c r="B134" s="286" t="s">
        <v>4</v>
      </c>
      <c r="C134" s="881"/>
      <c r="D134" s="881"/>
      <c r="E134" s="881"/>
      <c r="F134" s="882"/>
      <c r="G134" s="881"/>
      <c r="H134" s="249"/>
      <c r="I134" s="252"/>
      <c r="J134" s="252"/>
      <c r="K134" s="252"/>
      <c r="L134" s="252"/>
      <c r="M134" s="252"/>
      <c r="N134" s="252"/>
      <c r="O134" s="252"/>
      <c r="P134" s="252"/>
      <c r="Q134" s="253"/>
    </row>
    <row r="135" spans="1:17" s="825" customFormat="1" ht="25" customHeight="1" x14ac:dyDescent="0.25">
      <c r="A135" s="244" t="s">
        <v>147</v>
      </c>
      <c r="B135" s="245" t="s">
        <v>161</v>
      </c>
      <c r="C135" s="246"/>
      <c r="D135" s="246"/>
      <c r="E135" s="246"/>
      <c r="F135" s="249"/>
      <c r="G135" s="246"/>
      <c r="H135" s="249"/>
      <c r="I135" s="252"/>
      <c r="J135" s="252"/>
      <c r="K135" s="252"/>
      <c r="L135" s="252"/>
      <c r="M135" s="252"/>
      <c r="N135" s="252"/>
      <c r="O135" s="252"/>
      <c r="P135" s="252"/>
      <c r="Q135" s="253"/>
    </row>
    <row r="136" spans="1:17" s="825" customFormat="1" ht="25" customHeight="1" x14ac:dyDescent="0.25">
      <c r="A136" s="661" t="s">
        <v>226</v>
      </c>
      <c r="B136" s="806" t="s">
        <v>958</v>
      </c>
      <c r="C136" s="883">
        <v>4</v>
      </c>
      <c r="D136" s="816">
        <v>1</v>
      </c>
      <c r="E136" s="883">
        <v>13</v>
      </c>
      <c r="F136" s="253">
        <f t="shared" ref="F136:F149" si="25">I136+J136+K136</f>
        <v>1115.4000000000001</v>
      </c>
      <c r="G136" s="883">
        <v>70</v>
      </c>
      <c r="H136" s="249">
        <f>C136*E136*G136</f>
        <v>3640</v>
      </c>
      <c r="I136" s="251">
        <f>IF(G136&lt;70, C136*E136*16.5*1, C136*E136*16.5*1.3)</f>
        <v>1115.4000000000001</v>
      </c>
      <c r="J136" s="252"/>
      <c r="K136" s="252"/>
      <c r="L136" s="252"/>
      <c r="M136" s="252"/>
      <c r="N136" s="252"/>
      <c r="O136" s="252"/>
      <c r="P136" s="252"/>
      <c r="Q136" s="253"/>
    </row>
    <row r="137" spans="1:17" s="825" customFormat="1" ht="25" customHeight="1" x14ac:dyDescent="0.25">
      <c r="A137" s="662" t="s">
        <v>227</v>
      </c>
      <c r="B137" s="806" t="s">
        <v>800</v>
      </c>
      <c r="C137" s="827">
        <v>3</v>
      </c>
      <c r="D137" s="658">
        <v>1</v>
      </c>
      <c r="E137" s="827">
        <v>7</v>
      </c>
      <c r="F137" s="253">
        <f t="shared" si="25"/>
        <v>450.45</v>
      </c>
      <c r="G137" s="827">
        <v>70</v>
      </c>
      <c r="H137" s="249">
        <f t="shared" ref="H137:H146" si="26">C137*E137*G137</f>
        <v>1470</v>
      </c>
      <c r="I137" s="251">
        <f t="shared" ref="I137:I146" si="27">IF(G137&lt;70, C137*E137*16.5*1, C137*E137*16.5*1.3)</f>
        <v>450.45</v>
      </c>
      <c r="J137" s="252"/>
      <c r="K137" s="252"/>
      <c r="L137" s="252"/>
      <c r="M137" s="252"/>
      <c r="N137" s="252"/>
      <c r="O137" s="252"/>
      <c r="P137" s="252"/>
      <c r="Q137" s="253"/>
    </row>
    <row r="138" spans="1:17" s="825" customFormat="1" ht="25" customHeight="1" x14ac:dyDescent="0.25">
      <c r="A138" s="663" t="s">
        <v>228</v>
      </c>
      <c r="B138" s="806" t="s">
        <v>959</v>
      </c>
      <c r="C138" s="827">
        <v>5</v>
      </c>
      <c r="D138" s="659">
        <v>1</v>
      </c>
      <c r="E138" s="827">
        <v>6</v>
      </c>
      <c r="F138" s="253">
        <f t="shared" si="25"/>
        <v>643.5</v>
      </c>
      <c r="G138" s="827">
        <v>70</v>
      </c>
      <c r="H138" s="249">
        <f t="shared" si="26"/>
        <v>2100</v>
      </c>
      <c r="I138" s="251">
        <f t="shared" si="27"/>
        <v>643.5</v>
      </c>
      <c r="J138" s="252"/>
      <c r="K138" s="252"/>
      <c r="L138" s="252"/>
      <c r="M138" s="252"/>
      <c r="N138" s="252"/>
      <c r="O138" s="252"/>
      <c r="P138" s="252"/>
      <c r="Q138" s="253"/>
    </row>
    <row r="139" spans="1:17" s="825" customFormat="1" ht="25" customHeight="1" x14ac:dyDescent="0.25">
      <c r="A139" s="664" t="s">
        <v>229</v>
      </c>
      <c r="B139" s="806" t="s">
        <v>960</v>
      </c>
      <c r="C139" s="827">
        <v>2</v>
      </c>
      <c r="D139" s="660">
        <v>1</v>
      </c>
      <c r="E139" s="827">
        <v>1</v>
      </c>
      <c r="F139" s="253">
        <f t="shared" si="25"/>
        <v>33</v>
      </c>
      <c r="G139" s="827">
        <v>50</v>
      </c>
      <c r="H139" s="249">
        <f t="shared" si="26"/>
        <v>100</v>
      </c>
      <c r="I139" s="251">
        <f t="shared" si="27"/>
        <v>33</v>
      </c>
      <c r="J139" s="252"/>
      <c r="K139" s="252"/>
      <c r="L139" s="252"/>
      <c r="M139" s="252"/>
      <c r="N139" s="252"/>
      <c r="O139" s="252"/>
      <c r="P139" s="252"/>
      <c r="Q139" s="253"/>
    </row>
    <row r="140" spans="1:17" s="825" customFormat="1" ht="25" customHeight="1" x14ac:dyDescent="0.25">
      <c r="A140" s="662" t="s">
        <v>230</v>
      </c>
      <c r="B140" s="806" t="s">
        <v>961</v>
      </c>
      <c r="C140" s="884">
        <v>3</v>
      </c>
      <c r="D140" s="658">
        <v>1</v>
      </c>
      <c r="E140" s="884">
        <v>1</v>
      </c>
      <c r="F140" s="253">
        <f t="shared" si="25"/>
        <v>49.5</v>
      </c>
      <c r="G140" s="884">
        <v>40</v>
      </c>
      <c r="H140" s="249">
        <f t="shared" si="26"/>
        <v>120</v>
      </c>
      <c r="I140" s="251">
        <f t="shared" si="27"/>
        <v>49.5</v>
      </c>
      <c r="J140" s="252"/>
      <c r="K140" s="252"/>
      <c r="L140" s="252"/>
      <c r="M140" s="252"/>
      <c r="N140" s="252"/>
      <c r="O140" s="252"/>
      <c r="P140" s="252"/>
      <c r="Q140" s="253"/>
    </row>
    <row r="141" spans="1:17" s="825" customFormat="1" ht="25" customHeight="1" x14ac:dyDescent="0.25">
      <c r="A141" s="663" t="s">
        <v>231</v>
      </c>
      <c r="B141" s="806" t="s">
        <v>962</v>
      </c>
      <c r="C141" s="884">
        <v>2</v>
      </c>
      <c r="D141" s="658">
        <v>1</v>
      </c>
      <c r="E141" s="884">
        <v>1</v>
      </c>
      <c r="F141" s="253">
        <f t="shared" si="25"/>
        <v>33</v>
      </c>
      <c r="G141" s="884">
        <v>40</v>
      </c>
      <c r="H141" s="249">
        <f t="shared" si="26"/>
        <v>80</v>
      </c>
      <c r="I141" s="251">
        <f t="shared" si="27"/>
        <v>33</v>
      </c>
      <c r="J141" s="252"/>
      <c r="K141" s="252"/>
      <c r="L141" s="252"/>
      <c r="M141" s="252"/>
      <c r="N141" s="252"/>
      <c r="O141" s="252"/>
      <c r="P141" s="252"/>
      <c r="Q141" s="253"/>
    </row>
    <row r="142" spans="1:17" s="825" customFormat="1" ht="25" customHeight="1" x14ac:dyDescent="0.25">
      <c r="A142" s="663" t="s">
        <v>282</v>
      </c>
      <c r="B142" s="806" t="s">
        <v>963</v>
      </c>
      <c r="C142" s="884">
        <v>3</v>
      </c>
      <c r="D142" s="658">
        <v>1</v>
      </c>
      <c r="E142" s="884">
        <v>2</v>
      </c>
      <c r="F142" s="253">
        <f t="shared" si="25"/>
        <v>99</v>
      </c>
      <c r="G142" s="884">
        <v>40</v>
      </c>
      <c r="H142" s="249">
        <f t="shared" si="26"/>
        <v>240</v>
      </c>
      <c r="I142" s="251">
        <f t="shared" si="27"/>
        <v>99</v>
      </c>
      <c r="J142" s="252"/>
      <c r="K142" s="252"/>
      <c r="L142" s="252"/>
      <c r="M142" s="252"/>
      <c r="N142" s="252"/>
      <c r="O142" s="252"/>
      <c r="P142" s="252"/>
      <c r="Q142" s="253"/>
    </row>
    <row r="143" spans="1:17" s="825" customFormat="1" ht="25" customHeight="1" x14ac:dyDescent="0.25">
      <c r="A143" s="665" t="s">
        <v>283</v>
      </c>
      <c r="B143" s="806" t="s">
        <v>964</v>
      </c>
      <c r="C143" s="884">
        <v>4</v>
      </c>
      <c r="D143" s="658">
        <v>1</v>
      </c>
      <c r="E143" s="884">
        <v>1</v>
      </c>
      <c r="F143" s="253">
        <f t="shared" si="25"/>
        <v>66</v>
      </c>
      <c r="G143" s="884">
        <v>40</v>
      </c>
      <c r="H143" s="249">
        <f t="shared" si="26"/>
        <v>160</v>
      </c>
      <c r="I143" s="251">
        <f t="shared" si="27"/>
        <v>66</v>
      </c>
      <c r="J143" s="252"/>
      <c r="K143" s="252"/>
      <c r="L143" s="252"/>
      <c r="M143" s="252"/>
      <c r="N143" s="252"/>
      <c r="O143" s="252"/>
      <c r="P143" s="252"/>
      <c r="Q143" s="253"/>
    </row>
    <row r="144" spans="1:17" s="825" customFormat="1" ht="25" customHeight="1" x14ac:dyDescent="0.25">
      <c r="A144" s="665" t="s">
        <v>284</v>
      </c>
      <c r="B144" s="806" t="s">
        <v>965</v>
      </c>
      <c r="C144" s="884">
        <v>2</v>
      </c>
      <c r="D144" s="658">
        <v>1</v>
      </c>
      <c r="E144" s="884">
        <v>1</v>
      </c>
      <c r="F144" s="253">
        <f t="shared" si="25"/>
        <v>42.9</v>
      </c>
      <c r="G144" s="884">
        <v>80</v>
      </c>
      <c r="H144" s="249">
        <f t="shared" si="26"/>
        <v>160</v>
      </c>
      <c r="I144" s="251">
        <f t="shared" si="27"/>
        <v>42.9</v>
      </c>
      <c r="J144" s="252"/>
      <c r="K144" s="252"/>
      <c r="L144" s="252"/>
      <c r="M144" s="252"/>
      <c r="N144" s="252"/>
      <c r="O144" s="252"/>
      <c r="P144" s="252"/>
      <c r="Q144" s="253"/>
    </row>
    <row r="145" spans="1:17" s="825" customFormat="1" ht="25" customHeight="1" x14ac:dyDescent="0.25">
      <c r="A145" s="665" t="s">
        <v>285</v>
      </c>
      <c r="B145" s="806" t="s">
        <v>966</v>
      </c>
      <c r="C145" s="884">
        <v>2</v>
      </c>
      <c r="D145" s="658">
        <v>1</v>
      </c>
      <c r="E145" s="884">
        <v>1</v>
      </c>
      <c r="F145" s="253">
        <f t="shared" si="25"/>
        <v>42.9</v>
      </c>
      <c r="G145" s="884">
        <v>80</v>
      </c>
      <c r="H145" s="249">
        <f t="shared" si="26"/>
        <v>160</v>
      </c>
      <c r="I145" s="251">
        <f t="shared" si="27"/>
        <v>42.9</v>
      </c>
      <c r="J145" s="252"/>
      <c r="K145" s="252"/>
      <c r="L145" s="252"/>
      <c r="M145" s="252"/>
      <c r="N145" s="252"/>
      <c r="O145" s="252"/>
      <c r="P145" s="252"/>
      <c r="Q145" s="253"/>
    </row>
    <row r="146" spans="1:17" s="825" customFormat="1" ht="25" customHeight="1" x14ac:dyDescent="0.25">
      <c r="A146" s="666" t="s">
        <v>289</v>
      </c>
      <c r="B146" s="849" t="s">
        <v>801</v>
      </c>
      <c r="C146" s="697">
        <v>2</v>
      </c>
      <c r="D146" s="658">
        <v>1</v>
      </c>
      <c r="E146" s="697">
        <v>1</v>
      </c>
      <c r="F146" s="253">
        <f t="shared" si="25"/>
        <v>42.9</v>
      </c>
      <c r="G146" s="697">
        <v>80</v>
      </c>
      <c r="H146" s="249">
        <f t="shared" si="26"/>
        <v>160</v>
      </c>
      <c r="I146" s="251">
        <f t="shared" si="27"/>
        <v>42.9</v>
      </c>
      <c r="J146" s="869"/>
      <c r="K146" s="869"/>
      <c r="L146" s="869"/>
      <c r="M146" s="869"/>
      <c r="N146" s="869"/>
      <c r="O146" s="869"/>
      <c r="P146" s="869"/>
      <c r="Q146" s="885"/>
    </row>
    <row r="147" spans="1:17" s="825" customFormat="1" ht="25" customHeight="1" x14ac:dyDescent="0.25">
      <c r="A147" s="666" t="s">
        <v>148</v>
      </c>
      <c r="B147" s="849"/>
      <c r="C147" s="697"/>
      <c r="D147" s="659"/>
      <c r="E147" s="697"/>
      <c r="F147" s="253">
        <f t="shared" si="25"/>
        <v>0</v>
      </c>
      <c r="G147" s="697"/>
      <c r="H147" s="249">
        <f>C147*E147*G147</f>
        <v>0</v>
      </c>
      <c r="I147" s="251">
        <f>IF(G147&lt;70, C147*E147*16.5*1, C147*E147*16.5*1.3)</f>
        <v>0</v>
      </c>
      <c r="J147" s="869"/>
      <c r="K147" s="869"/>
      <c r="L147" s="869"/>
      <c r="M147" s="869"/>
      <c r="N147" s="869"/>
      <c r="O147" s="869"/>
      <c r="P147" s="869"/>
      <c r="Q147" s="885"/>
    </row>
    <row r="148" spans="1:17" s="825" customFormat="1" ht="25" customHeight="1" x14ac:dyDescent="0.25">
      <c r="A148" s="665" t="s">
        <v>232</v>
      </c>
      <c r="B148" s="806" t="s">
        <v>967</v>
      </c>
      <c r="C148" s="884">
        <v>1</v>
      </c>
      <c r="D148" s="659">
        <v>1.4</v>
      </c>
      <c r="E148" s="884">
        <v>6</v>
      </c>
      <c r="F148" s="253">
        <f t="shared" si="25"/>
        <v>99</v>
      </c>
      <c r="G148" s="697">
        <v>35</v>
      </c>
      <c r="H148" s="249">
        <f>C148*E148*G148</f>
        <v>210</v>
      </c>
      <c r="I148" s="251">
        <f>IF(G148&lt;70, C148*E148*16.5*1, C148*E148*16.5*1.3)</f>
        <v>99</v>
      </c>
      <c r="J148" s="869"/>
      <c r="K148" s="869"/>
      <c r="L148" s="869"/>
      <c r="M148" s="869"/>
      <c r="N148" s="869"/>
      <c r="O148" s="869"/>
      <c r="P148" s="869"/>
      <c r="Q148" s="885"/>
    </row>
    <row r="149" spans="1:17" s="825" customFormat="1" ht="25" customHeight="1" x14ac:dyDescent="0.25">
      <c r="A149" s="665" t="s">
        <v>233</v>
      </c>
      <c r="B149" s="827" t="s">
        <v>968</v>
      </c>
      <c r="C149" s="884">
        <v>1</v>
      </c>
      <c r="D149" s="659">
        <v>1.4</v>
      </c>
      <c r="E149" s="884">
        <v>14</v>
      </c>
      <c r="F149" s="253">
        <f t="shared" si="25"/>
        <v>231</v>
      </c>
      <c r="G149" s="697">
        <v>20</v>
      </c>
      <c r="H149" s="249">
        <f>C149*E149*G149</f>
        <v>280</v>
      </c>
      <c r="I149" s="251">
        <f>IF(G149&lt;70, C149*E149*16.5*1, C149*E149*16.5*1.3)</f>
        <v>231</v>
      </c>
      <c r="J149" s="869"/>
      <c r="K149" s="869"/>
      <c r="L149" s="869"/>
      <c r="M149" s="869"/>
      <c r="N149" s="869"/>
      <c r="O149" s="869"/>
      <c r="P149" s="869"/>
      <c r="Q149" s="885"/>
    </row>
    <row r="150" spans="1:17" s="825" customFormat="1" ht="25" customHeight="1" x14ac:dyDescent="0.25">
      <c r="A150" s="665" t="s">
        <v>234</v>
      </c>
      <c r="B150" s="667" t="s">
        <v>155</v>
      </c>
      <c r="C150" s="659"/>
      <c r="D150" s="659"/>
      <c r="E150" s="659"/>
      <c r="F150" s="885"/>
      <c r="G150" s="697"/>
      <c r="H150" s="674"/>
      <c r="I150" s="790"/>
      <c r="J150" s="869"/>
      <c r="K150" s="869"/>
      <c r="L150" s="869"/>
      <c r="M150" s="869"/>
      <c r="N150" s="869"/>
      <c r="O150" s="869"/>
      <c r="P150" s="869"/>
      <c r="Q150" s="885"/>
    </row>
    <row r="151" spans="1:17" s="825" customFormat="1" ht="25" customHeight="1" x14ac:dyDescent="0.25">
      <c r="A151" s="665" t="s">
        <v>235</v>
      </c>
      <c r="B151" s="667" t="s">
        <v>156</v>
      </c>
      <c r="C151" s="659"/>
      <c r="D151" s="659"/>
      <c r="E151" s="659"/>
      <c r="F151" s="885"/>
      <c r="G151" s="697"/>
      <c r="H151" s="674"/>
      <c r="I151" s="790"/>
      <c r="J151" s="869"/>
      <c r="K151" s="869"/>
      <c r="L151" s="869"/>
      <c r="M151" s="869"/>
      <c r="N151" s="869"/>
      <c r="O151" s="869"/>
      <c r="P151" s="869"/>
      <c r="Q151" s="885"/>
    </row>
    <row r="152" spans="1:17" s="825" customFormat="1" ht="25" customHeight="1" x14ac:dyDescent="0.25">
      <c r="A152" s="668" t="s">
        <v>236</v>
      </c>
      <c r="B152" s="667" t="s">
        <v>157</v>
      </c>
      <c r="C152" s="660"/>
      <c r="D152" s="660"/>
      <c r="E152" s="660"/>
      <c r="F152" s="885"/>
      <c r="G152" s="697"/>
      <c r="H152" s="674"/>
      <c r="I152" s="790"/>
      <c r="J152" s="869"/>
      <c r="K152" s="869"/>
      <c r="L152" s="869"/>
      <c r="M152" s="869"/>
      <c r="N152" s="869"/>
      <c r="O152" s="869"/>
      <c r="P152" s="869"/>
      <c r="Q152" s="885"/>
    </row>
    <row r="153" spans="1:17" s="825" customFormat="1" ht="25" customHeight="1" x14ac:dyDescent="0.25">
      <c r="A153" s="841"/>
      <c r="B153" s="842" t="s">
        <v>380</v>
      </c>
      <c r="C153" s="843">
        <f t="shared" ref="C153:K153" si="28">SUM(C136:C152)</f>
        <v>34</v>
      </c>
      <c r="D153" s="843">
        <f t="shared" si="28"/>
        <v>13.8</v>
      </c>
      <c r="E153" s="843">
        <f t="shared" si="28"/>
        <v>55</v>
      </c>
      <c r="F153" s="843">
        <f t="shared" si="28"/>
        <v>2948.5500000000006</v>
      </c>
      <c r="G153" s="843">
        <f t="shared" si="28"/>
        <v>715</v>
      </c>
      <c r="H153" s="843">
        <f t="shared" si="28"/>
        <v>8880</v>
      </c>
      <c r="I153" s="843">
        <f t="shared" si="28"/>
        <v>2948.5500000000006</v>
      </c>
      <c r="J153" s="843">
        <f t="shared" si="28"/>
        <v>0</v>
      </c>
      <c r="K153" s="843">
        <f t="shared" si="28"/>
        <v>0</v>
      </c>
      <c r="L153" s="252"/>
      <c r="M153" s="252"/>
      <c r="N153" s="252"/>
      <c r="O153" s="252"/>
      <c r="P153" s="252"/>
      <c r="Q153" s="253"/>
    </row>
    <row r="154" spans="1:17" s="825" customFormat="1" ht="25" customHeight="1" x14ac:dyDescent="0.25">
      <c r="A154" s="886">
        <v>2</v>
      </c>
      <c r="B154" s="886" t="s">
        <v>164</v>
      </c>
      <c r="C154" s="674"/>
      <c r="D154" s="674"/>
      <c r="E154" s="674"/>
      <c r="F154" s="253"/>
      <c r="G154" s="674"/>
      <c r="H154" s="249"/>
      <c r="I154" s="251"/>
      <c r="J154" s="252"/>
      <c r="K154" s="252"/>
      <c r="L154" s="252"/>
      <c r="M154" s="252"/>
      <c r="N154" s="252"/>
      <c r="O154" s="252"/>
      <c r="P154" s="252"/>
      <c r="Q154" s="253"/>
    </row>
    <row r="155" spans="1:17" s="825" customFormat="1" ht="25" customHeight="1" x14ac:dyDescent="0.25">
      <c r="A155" s="847" t="s">
        <v>147</v>
      </c>
      <c r="B155" s="848" t="s">
        <v>165</v>
      </c>
      <c r="C155" s="674"/>
      <c r="D155" s="674"/>
      <c r="E155" s="674"/>
      <c r="F155" s="253"/>
      <c r="G155" s="674"/>
      <c r="H155" s="249"/>
      <c r="I155" s="251"/>
      <c r="J155" s="252"/>
      <c r="K155" s="252"/>
      <c r="L155" s="252"/>
      <c r="M155" s="252"/>
      <c r="N155" s="252"/>
      <c r="O155" s="252"/>
      <c r="P155" s="252"/>
      <c r="Q155" s="253"/>
    </row>
    <row r="156" spans="1:17" s="825" customFormat="1" ht="25" customHeight="1" x14ac:dyDescent="0.25">
      <c r="A156" s="826" t="s">
        <v>226</v>
      </c>
      <c r="B156" s="849" t="s">
        <v>415</v>
      </c>
      <c r="C156" s="838">
        <v>3</v>
      </c>
      <c r="D156" s="674">
        <v>1</v>
      </c>
      <c r="E156" s="697">
        <v>6</v>
      </c>
      <c r="F156" s="249">
        <f>(I156+J156+K156)</f>
        <v>207.89999999999998</v>
      </c>
      <c r="G156" s="838">
        <v>15</v>
      </c>
      <c r="H156" s="249">
        <f t="shared" ref="H156:H162" si="29">C156*E156*G156</f>
        <v>270</v>
      </c>
      <c r="I156" s="251">
        <f>C156*E156*16.5*0.7</f>
        <v>207.89999999999998</v>
      </c>
      <c r="J156" s="252"/>
      <c r="K156" s="252"/>
      <c r="L156" s="252"/>
      <c r="M156" s="252"/>
      <c r="N156" s="252"/>
      <c r="O156" s="252"/>
      <c r="P156" s="252"/>
      <c r="Q156" s="253"/>
    </row>
    <row r="157" spans="1:17" s="825" customFormat="1" ht="25" customHeight="1" x14ac:dyDescent="0.25">
      <c r="A157" s="826" t="s">
        <v>227</v>
      </c>
      <c r="B157" s="849" t="s">
        <v>416</v>
      </c>
      <c r="C157" s="838">
        <v>3</v>
      </c>
      <c r="D157" s="674">
        <v>1</v>
      </c>
      <c r="E157" s="697">
        <v>2</v>
      </c>
      <c r="F157" s="249">
        <f t="shared" ref="F157:F162" si="30">(I157+J157+K157)</f>
        <v>69.3</v>
      </c>
      <c r="G157" s="838">
        <v>10</v>
      </c>
      <c r="H157" s="249">
        <f t="shared" si="29"/>
        <v>60</v>
      </c>
      <c r="I157" s="251">
        <f t="shared" ref="I157:I162" si="31">C157*E157*16.5*0.7</f>
        <v>69.3</v>
      </c>
      <c r="J157" s="252"/>
      <c r="K157" s="252"/>
      <c r="L157" s="252"/>
      <c r="M157" s="252"/>
      <c r="N157" s="252"/>
      <c r="O157" s="252"/>
      <c r="P157" s="252"/>
      <c r="Q157" s="253"/>
    </row>
    <row r="158" spans="1:17" s="825" customFormat="1" ht="25" customHeight="1" x14ac:dyDescent="0.25">
      <c r="A158" s="826" t="s">
        <v>228</v>
      </c>
      <c r="B158" s="849" t="s">
        <v>417</v>
      </c>
      <c r="C158" s="838">
        <v>3</v>
      </c>
      <c r="D158" s="674">
        <v>1</v>
      </c>
      <c r="E158" s="697">
        <v>2</v>
      </c>
      <c r="F158" s="249">
        <f t="shared" si="30"/>
        <v>69.3</v>
      </c>
      <c r="G158" s="838">
        <v>10</v>
      </c>
      <c r="H158" s="249">
        <f t="shared" si="29"/>
        <v>60</v>
      </c>
      <c r="I158" s="251">
        <f t="shared" si="31"/>
        <v>69.3</v>
      </c>
      <c r="J158" s="252"/>
      <c r="K158" s="252"/>
      <c r="L158" s="252"/>
      <c r="M158" s="252"/>
      <c r="N158" s="252"/>
      <c r="O158" s="252"/>
      <c r="P158" s="252"/>
      <c r="Q158" s="253"/>
    </row>
    <row r="159" spans="1:17" s="825" customFormat="1" ht="25" customHeight="1" x14ac:dyDescent="0.25">
      <c r="A159" s="826" t="s">
        <v>229</v>
      </c>
      <c r="B159" s="849" t="s">
        <v>418</v>
      </c>
      <c r="C159" s="838">
        <v>3</v>
      </c>
      <c r="D159" s="674">
        <v>1</v>
      </c>
      <c r="E159" s="697">
        <v>1</v>
      </c>
      <c r="F159" s="249">
        <f t="shared" si="30"/>
        <v>34.65</v>
      </c>
      <c r="G159" s="838">
        <v>10</v>
      </c>
      <c r="H159" s="249">
        <f t="shared" si="29"/>
        <v>30</v>
      </c>
      <c r="I159" s="251">
        <f t="shared" si="31"/>
        <v>34.65</v>
      </c>
      <c r="J159" s="252"/>
      <c r="K159" s="252"/>
      <c r="L159" s="252"/>
      <c r="M159" s="252"/>
      <c r="N159" s="252"/>
      <c r="O159" s="252"/>
      <c r="P159" s="252"/>
      <c r="Q159" s="253"/>
    </row>
    <row r="160" spans="1:17" s="825" customFormat="1" ht="25" customHeight="1" x14ac:dyDescent="0.25">
      <c r="A160" s="826" t="s">
        <v>230</v>
      </c>
      <c r="B160" s="850" t="s">
        <v>419</v>
      </c>
      <c r="C160" s="838">
        <v>3</v>
      </c>
      <c r="D160" s="674">
        <v>1</v>
      </c>
      <c r="E160" s="697">
        <v>6</v>
      </c>
      <c r="F160" s="249">
        <f t="shared" si="30"/>
        <v>207.89999999999998</v>
      </c>
      <c r="G160" s="838">
        <v>15</v>
      </c>
      <c r="H160" s="249">
        <f t="shared" si="29"/>
        <v>270</v>
      </c>
      <c r="I160" s="251">
        <f t="shared" si="31"/>
        <v>207.89999999999998</v>
      </c>
      <c r="J160" s="252"/>
      <c r="K160" s="252"/>
      <c r="L160" s="252"/>
      <c r="M160" s="252"/>
      <c r="N160" s="252"/>
      <c r="O160" s="252"/>
      <c r="P160" s="252"/>
      <c r="Q160" s="253"/>
    </row>
    <row r="161" spans="1:17" s="825" customFormat="1" ht="25" customHeight="1" x14ac:dyDescent="0.25">
      <c r="A161" s="826" t="s">
        <v>231</v>
      </c>
      <c r="B161" s="850" t="s">
        <v>420</v>
      </c>
      <c r="C161" s="838">
        <v>3</v>
      </c>
      <c r="D161" s="674">
        <v>1</v>
      </c>
      <c r="E161" s="697">
        <v>1</v>
      </c>
      <c r="F161" s="249">
        <f t="shared" si="30"/>
        <v>34.65</v>
      </c>
      <c r="G161" s="838">
        <v>10</v>
      </c>
      <c r="H161" s="249">
        <f t="shared" si="29"/>
        <v>30</v>
      </c>
      <c r="I161" s="251">
        <f t="shared" si="31"/>
        <v>34.65</v>
      </c>
      <c r="J161" s="252"/>
      <c r="K161" s="252"/>
      <c r="L161" s="252"/>
      <c r="M161" s="252"/>
      <c r="N161" s="252"/>
      <c r="O161" s="252"/>
      <c r="P161" s="252"/>
      <c r="Q161" s="253"/>
    </row>
    <row r="162" spans="1:17" s="825" customFormat="1" ht="25" customHeight="1" x14ac:dyDescent="0.25">
      <c r="A162" s="826" t="s">
        <v>282</v>
      </c>
      <c r="B162" s="850" t="s">
        <v>421</v>
      </c>
      <c r="C162" s="838">
        <v>3</v>
      </c>
      <c r="D162" s="674">
        <v>1</v>
      </c>
      <c r="E162" s="697">
        <v>6</v>
      </c>
      <c r="F162" s="249">
        <f t="shared" si="30"/>
        <v>207.89999999999998</v>
      </c>
      <c r="G162" s="838">
        <v>15</v>
      </c>
      <c r="H162" s="249">
        <f t="shared" si="29"/>
        <v>270</v>
      </c>
      <c r="I162" s="251">
        <f t="shared" si="31"/>
        <v>207.89999999999998</v>
      </c>
      <c r="J162" s="252"/>
      <c r="K162" s="252"/>
      <c r="L162" s="252"/>
      <c r="M162" s="252"/>
      <c r="N162" s="252"/>
      <c r="O162" s="252"/>
      <c r="P162" s="252"/>
      <c r="Q162" s="253"/>
    </row>
    <row r="163" spans="1:17" s="825" customFormat="1" ht="25" customHeight="1" x14ac:dyDescent="0.25">
      <c r="A163" s="841"/>
      <c r="B163" s="887" t="s">
        <v>380</v>
      </c>
      <c r="C163" s="843">
        <f>SUM(C156:C162)</f>
        <v>21</v>
      </c>
      <c r="D163" s="843">
        <f t="shared" ref="D163:K163" si="32">SUM(D156:D162)</f>
        <v>7</v>
      </c>
      <c r="E163" s="843">
        <f t="shared" si="32"/>
        <v>24</v>
      </c>
      <c r="F163" s="843">
        <f>SUM(F156:F162)</f>
        <v>831.59999999999991</v>
      </c>
      <c r="G163" s="843">
        <f t="shared" si="32"/>
        <v>85</v>
      </c>
      <c r="H163" s="843">
        <f t="shared" si="32"/>
        <v>990</v>
      </c>
      <c r="I163" s="843">
        <f t="shared" si="32"/>
        <v>831.59999999999991</v>
      </c>
      <c r="J163" s="843">
        <f t="shared" si="32"/>
        <v>0</v>
      </c>
      <c r="K163" s="843">
        <f t="shared" si="32"/>
        <v>0</v>
      </c>
      <c r="L163" s="252"/>
      <c r="M163" s="252"/>
      <c r="N163" s="252"/>
      <c r="O163" s="252"/>
      <c r="P163" s="252"/>
      <c r="Q163" s="253"/>
    </row>
    <row r="164" spans="1:17" s="825" customFormat="1" ht="25" customHeight="1" x14ac:dyDescent="0.25">
      <c r="A164" s="886" t="s">
        <v>8</v>
      </c>
      <c r="B164" s="886" t="s">
        <v>224</v>
      </c>
      <c r="C164" s="674"/>
      <c r="D164" s="674"/>
      <c r="E164" s="674"/>
      <c r="F164" s="253"/>
      <c r="G164" s="674"/>
      <c r="H164" s="249"/>
      <c r="I164" s="251"/>
      <c r="J164" s="252"/>
      <c r="K164" s="252"/>
      <c r="L164" s="252"/>
      <c r="M164" s="252"/>
      <c r="N164" s="252"/>
      <c r="O164" s="252"/>
      <c r="P164" s="252"/>
      <c r="Q164" s="253"/>
    </row>
    <row r="165" spans="1:17" s="825" customFormat="1" ht="25" customHeight="1" x14ac:dyDescent="0.25">
      <c r="A165" s="886">
        <v>1</v>
      </c>
      <c r="B165" s="848" t="s">
        <v>225</v>
      </c>
      <c r="C165" s="674"/>
      <c r="D165" s="674"/>
      <c r="E165" s="674"/>
      <c r="F165" s="253"/>
      <c r="G165" s="674"/>
      <c r="H165" s="249"/>
      <c r="I165" s="251"/>
      <c r="J165" s="252"/>
      <c r="K165" s="252"/>
      <c r="L165" s="252"/>
      <c r="M165" s="252"/>
      <c r="N165" s="252"/>
      <c r="O165" s="252"/>
      <c r="P165" s="252"/>
      <c r="Q165" s="253"/>
    </row>
    <row r="166" spans="1:17" s="825" customFormat="1" ht="25" customHeight="1" x14ac:dyDescent="0.25">
      <c r="A166" s="886" t="s">
        <v>147</v>
      </c>
      <c r="B166" s="848" t="s">
        <v>163</v>
      </c>
      <c r="C166" s="674"/>
      <c r="D166" s="674"/>
      <c r="E166" s="674"/>
      <c r="F166" s="249"/>
      <c r="G166" s="674"/>
      <c r="H166" s="246"/>
      <c r="I166" s="246"/>
      <c r="J166" s="252"/>
      <c r="K166" s="252"/>
      <c r="L166" s="252"/>
      <c r="M166" s="252"/>
      <c r="N166" s="252"/>
      <c r="O166" s="252"/>
      <c r="P166" s="252"/>
      <c r="Q166" s="253"/>
    </row>
    <row r="167" spans="1:17" s="825" customFormat="1" ht="25" customHeight="1" x14ac:dyDescent="0.25">
      <c r="A167" s="839" t="s">
        <v>226</v>
      </c>
      <c r="B167" s="806" t="s">
        <v>969</v>
      </c>
      <c r="C167" s="884">
        <v>5</v>
      </c>
      <c r="D167" s="796">
        <v>1</v>
      </c>
      <c r="E167" s="606">
        <v>10</v>
      </c>
      <c r="F167" s="249">
        <f>I167+J167+K167</f>
        <v>1237.5</v>
      </c>
      <c r="G167" s="606">
        <v>40</v>
      </c>
      <c r="H167" s="249">
        <f>C167*E167*G167</f>
        <v>2000</v>
      </c>
      <c r="I167" s="251">
        <f>IF(G167&lt;70, C167*E167*16.5*1.5, C167*E167*16.5*1.3*1.5)</f>
        <v>1237.5</v>
      </c>
      <c r="J167" s="252"/>
      <c r="K167" s="252"/>
      <c r="L167" s="252"/>
      <c r="M167" s="252"/>
      <c r="N167" s="252"/>
      <c r="O167" s="252"/>
      <c r="P167" s="252"/>
      <c r="Q167" s="253"/>
    </row>
    <row r="168" spans="1:17" s="825" customFormat="1" ht="25" customHeight="1" x14ac:dyDescent="0.25">
      <c r="A168" s="839" t="s">
        <v>227</v>
      </c>
      <c r="B168" s="806" t="s">
        <v>970</v>
      </c>
      <c r="C168" s="884">
        <v>5</v>
      </c>
      <c r="D168" s="796">
        <v>1</v>
      </c>
      <c r="E168" s="606">
        <v>9</v>
      </c>
      <c r="F168" s="249">
        <f>I168+J168+K168</f>
        <v>1113.75</v>
      </c>
      <c r="G168" s="606">
        <v>40</v>
      </c>
      <c r="H168" s="249">
        <f>C168*E168*G168</f>
        <v>1800</v>
      </c>
      <c r="I168" s="251">
        <f>IF(G168&lt;70, C168*E168*16.5*1.5, C168*E168*16.5*1.3*1.5)</f>
        <v>1113.75</v>
      </c>
      <c r="J168" s="252"/>
      <c r="K168" s="252"/>
      <c r="L168" s="252"/>
      <c r="M168" s="252"/>
      <c r="N168" s="252"/>
      <c r="O168" s="252"/>
      <c r="P168" s="252"/>
      <c r="Q168" s="253"/>
    </row>
    <row r="169" spans="1:17" s="825" customFormat="1" ht="25" customHeight="1" x14ac:dyDescent="0.25">
      <c r="A169" s="841"/>
      <c r="B169" s="842" t="s">
        <v>380</v>
      </c>
      <c r="C169" s="843">
        <f>SUM(C167:C168)</f>
        <v>10</v>
      </c>
      <c r="D169" s="843">
        <f t="shared" ref="D169:K169" si="33">SUM(D167:D168)</f>
        <v>2</v>
      </c>
      <c r="E169" s="843">
        <f t="shared" si="33"/>
        <v>19</v>
      </c>
      <c r="F169" s="843">
        <f t="shared" si="33"/>
        <v>2351.25</v>
      </c>
      <c r="G169" s="843">
        <f t="shared" si="33"/>
        <v>80</v>
      </c>
      <c r="H169" s="843">
        <f t="shared" si="33"/>
        <v>3800</v>
      </c>
      <c r="I169" s="843">
        <f t="shared" si="33"/>
        <v>2351.25</v>
      </c>
      <c r="J169" s="843">
        <f t="shared" si="33"/>
        <v>0</v>
      </c>
      <c r="K169" s="843">
        <f t="shared" si="33"/>
        <v>0</v>
      </c>
      <c r="L169" s="252"/>
      <c r="M169" s="252"/>
      <c r="N169" s="252"/>
      <c r="O169" s="252"/>
      <c r="P169" s="252"/>
      <c r="Q169" s="253"/>
    </row>
    <row r="170" spans="1:17" s="825" customFormat="1" ht="25" customHeight="1" x14ac:dyDescent="0.25">
      <c r="A170" s="888"/>
      <c r="B170" s="369" t="s">
        <v>424</v>
      </c>
      <c r="C170" s="365">
        <f>C153+C163+C169</f>
        <v>65</v>
      </c>
      <c r="D170" s="365">
        <f t="shared" ref="D170:K170" si="34">D153+D163+D169</f>
        <v>22.8</v>
      </c>
      <c r="E170" s="365">
        <f t="shared" si="34"/>
        <v>98</v>
      </c>
      <c r="F170" s="365">
        <f t="shared" si="34"/>
        <v>6131.4000000000005</v>
      </c>
      <c r="G170" s="365">
        <f t="shared" si="34"/>
        <v>880</v>
      </c>
      <c r="H170" s="365">
        <f t="shared" si="34"/>
        <v>13670</v>
      </c>
      <c r="I170" s="365">
        <f t="shared" si="34"/>
        <v>6131.4000000000005</v>
      </c>
      <c r="J170" s="365">
        <f t="shared" si="34"/>
        <v>0</v>
      </c>
      <c r="K170" s="365">
        <f t="shared" si="34"/>
        <v>0</v>
      </c>
      <c r="L170" s="261">
        <f>'Bieu3 TLH'!F22</f>
        <v>1620</v>
      </c>
      <c r="M170" s="261">
        <f>'Bieu3 TLH'!N22</f>
        <v>1498.5</v>
      </c>
      <c r="N170" s="261">
        <f>I170-M170</f>
        <v>4632.9000000000005</v>
      </c>
      <c r="O170" s="261">
        <f>'Bieu3 TLH'!O22</f>
        <v>1163.25</v>
      </c>
      <c r="P170" s="261">
        <f>'Bieu3 TLH'!P22</f>
        <v>590</v>
      </c>
      <c r="Q170" s="889" t="s">
        <v>704</v>
      </c>
    </row>
    <row r="171" spans="1:17" s="825" customFormat="1" ht="25" customHeight="1" x14ac:dyDescent="0.25">
      <c r="A171" s="286" t="s">
        <v>431</v>
      </c>
      <c r="B171" s="880" t="s">
        <v>432</v>
      </c>
      <c r="C171" s="881"/>
      <c r="D171" s="881"/>
      <c r="E171" s="881"/>
      <c r="F171" s="882"/>
      <c r="G171" s="881"/>
      <c r="H171" s="881"/>
      <c r="I171" s="881"/>
      <c r="J171" s="252"/>
      <c r="K171" s="252"/>
      <c r="L171" s="252"/>
      <c r="M171" s="252"/>
      <c r="N171" s="252"/>
      <c r="O171" s="252"/>
      <c r="P171" s="252"/>
      <c r="Q171" s="253"/>
    </row>
    <row r="172" spans="1:17" s="825" customFormat="1" ht="25" customHeight="1" x14ac:dyDescent="0.25">
      <c r="A172" s="286" t="s">
        <v>7</v>
      </c>
      <c r="B172" s="286" t="s">
        <v>223</v>
      </c>
      <c r="C172" s="881"/>
      <c r="D172" s="881"/>
      <c r="E172" s="881"/>
      <c r="F172" s="882"/>
      <c r="G172" s="881"/>
      <c r="H172" s="881"/>
      <c r="I172" s="881"/>
      <c r="J172" s="252"/>
      <c r="K172" s="252"/>
      <c r="L172" s="252"/>
      <c r="M172" s="252"/>
      <c r="N172" s="252"/>
      <c r="O172" s="252"/>
      <c r="P172" s="252"/>
      <c r="Q172" s="253"/>
    </row>
    <row r="173" spans="1:17" s="825" customFormat="1" ht="25" customHeight="1" x14ac:dyDescent="0.25">
      <c r="A173" s="286">
        <v>1</v>
      </c>
      <c r="B173" s="286" t="s">
        <v>4</v>
      </c>
      <c r="C173" s="881"/>
      <c r="D173" s="881"/>
      <c r="E173" s="881"/>
      <c r="F173" s="882"/>
      <c r="G173" s="881"/>
      <c r="H173" s="881"/>
      <c r="I173" s="881"/>
      <c r="J173" s="252"/>
      <c r="K173" s="252"/>
      <c r="L173" s="252"/>
      <c r="M173" s="252"/>
      <c r="N173" s="252"/>
      <c r="O173" s="252"/>
      <c r="P173" s="252"/>
      <c r="Q173" s="253"/>
    </row>
    <row r="174" spans="1:17" s="825" customFormat="1" ht="25" customHeight="1" x14ac:dyDescent="0.25">
      <c r="A174" s="826" t="s">
        <v>226</v>
      </c>
      <c r="B174" s="849" t="s">
        <v>689</v>
      </c>
      <c r="C174" s="790">
        <v>4</v>
      </c>
      <c r="D174" s="790">
        <v>1</v>
      </c>
      <c r="E174" s="790">
        <v>10</v>
      </c>
      <c r="F174" s="253">
        <f t="shared" ref="F174:F182" si="35">I174+J174+K174</f>
        <v>858</v>
      </c>
      <c r="G174" s="790">
        <v>70</v>
      </c>
      <c r="H174" s="249">
        <f t="shared" ref="H174:H182" si="36">C174*E174*G174</f>
        <v>2800</v>
      </c>
      <c r="I174" s="251">
        <f t="shared" ref="I174:I182" si="37">IF(G174&lt;70, C174*E174*16.5*1, C174*E174*16.5*1.3)</f>
        <v>858</v>
      </c>
      <c r="J174" s="252"/>
      <c r="K174" s="252"/>
      <c r="L174" s="252"/>
      <c r="M174" s="252"/>
      <c r="N174" s="252"/>
      <c r="O174" s="252"/>
      <c r="P174" s="252"/>
      <c r="Q174" s="253"/>
    </row>
    <row r="175" spans="1:17" s="825" customFormat="1" ht="25" customHeight="1" x14ac:dyDescent="0.25">
      <c r="A175" s="826" t="s">
        <v>227</v>
      </c>
      <c r="B175" s="849" t="s">
        <v>690</v>
      </c>
      <c r="C175" s="674">
        <v>3</v>
      </c>
      <c r="D175" s="674">
        <v>1</v>
      </c>
      <c r="E175" s="674">
        <v>4</v>
      </c>
      <c r="F175" s="253">
        <f t="shared" si="35"/>
        <v>257.40000000000003</v>
      </c>
      <c r="G175" s="674">
        <v>70</v>
      </c>
      <c r="H175" s="249">
        <f t="shared" si="36"/>
        <v>840</v>
      </c>
      <c r="I175" s="251">
        <f t="shared" si="37"/>
        <v>257.40000000000003</v>
      </c>
      <c r="J175" s="252"/>
      <c r="K175" s="252"/>
      <c r="L175" s="252"/>
      <c r="M175" s="252"/>
      <c r="N175" s="252"/>
      <c r="O175" s="252"/>
      <c r="P175" s="252"/>
      <c r="Q175" s="253"/>
    </row>
    <row r="176" spans="1:17" s="825" customFormat="1" ht="25" customHeight="1" x14ac:dyDescent="0.25">
      <c r="A176" s="826" t="s">
        <v>228</v>
      </c>
      <c r="B176" s="849" t="s">
        <v>426</v>
      </c>
      <c r="C176" s="674">
        <v>3</v>
      </c>
      <c r="D176" s="674">
        <v>1</v>
      </c>
      <c r="E176" s="674">
        <v>3</v>
      </c>
      <c r="F176" s="253">
        <f t="shared" si="35"/>
        <v>193.05</v>
      </c>
      <c r="G176" s="674">
        <v>70</v>
      </c>
      <c r="H176" s="249">
        <f t="shared" si="36"/>
        <v>630</v>
      </c>
      <c r="I176" s="251">
        <f t="shared" si="37"/>
        <v>193.05</v>
      </c>
      <c r="J176" s="252"/>
      <c r="K176" s="252"/>
      <c r="L176" s="252"/>
      <c r="M176" s="252"/>
      <c r="N176" s="252"/>
      <c r="O176" s="252"/>
      <c r="P176" s="252"/>
      <c r="Q176" s="253"/>
    </row>
    <row r="177" spans="1:17" s="825" customFormat="1" ht="25" customHeight="1" x14ac:dyDescent="0.25">
      <c r="A177" s="826" t="s">
        <v>229</v>
      </c>
      <c r="B177" s="849" t="s">
        <v>427</v>
      </c>
      <c r="C177" s="674">
        <v>4</v>
      </c>
      <c r="D177" s="674">
        <v>1</v>
      </c>
      <c r="E177" s="674">
        <v>3</v>
      </c>
      <c r="F177" s="253">
        <f t="shared" si="35"/>
        <v>257.40000000000003</v>
      </c>
      <c r="G177" s="674">
        <v>70</v>
      </c>
      <c r="H177" s="249">
        <f t="shared" si="36"/>
        <v>840</v>
      </c>
      <c r="I177" s="251">
        <f t="shared" si="37"/>
        <v>257.40000000000003</v>
      </c>
      <c r="J177" s="252"/>
      <c r="K177" s="252"/>
      <c r="L177" s="252"/>
      <c r="M177" s="252"/>
      <c r="N177" s="252"/>
      <c r="O177" s="252"/>
      <c r="P177" s="252"/>
      <c r="Q177" s="253"/>
    </row>
    <row r="178" spans="1:17" s="825" customFormat="1" ht="25" customHeight="1" x14ac:dyDescent="0.25">
      <c r="A178" s="826" t="s">
        <v>230</v>
      </c>
      <c r="B178" s="849" t="s">
        <v>428</v>
      </c>
      <c r="C178" s="674">
        <v>4</v>
      </c>
      <c r="D178" s="674">
        <v>1</v>
      </c>
      <c r="E178" s="674">
        <v>4</v>
      </c>
      <c r="F178" s="253">
        <f t="shared" si="35"/>
        <v>343.2</v>
      </c>
      <c r="G178" s="674">
        <v>70</v>
      </c>
      <c r="H178" s="249">
        <f t="shared" si="36"/>
        <v>1120</v>
      </c>
      <c r="I178" s="251">
        <f t="shared" si="37"/>
        <v>343.2</v>
      </c>
      <c r="J178" s="252"/>
      <c r="K178" s="252"/>
      <c r="L178" s="252"/>
      <c r="M178" s="252"/>
      <c r="N178" s="252"/>
      <c r="O178" s="252"/>
      <c r="P178" s="252"/>
      <c r="Q178" s="253"/>
    </row>
    <row r="179" spans="1:17" s="825" customFormat="1" ht="25" customHeight="1" x14ac:dyDescent="0.25">
      <c r="A179" s="826" t="s">
        <v>231</v>
      </c>
      <c r="B179" s="850" t="s">
        <v>429</v>
      </c>
      <c r="C179" s="674">
        <v>4</v>
      </c>
      <c r="D179" s="674">
        <v>1</v>
      </c>
      <c r="E179" s="674">
        <v>1</v>
      </c>
      <c r="F179" s="253">
        <f t="shared" si="35"/>
        <v>85.8</v>
      </c>
      <c r="G179" s="674">
        <v>70</v>
      </c>
      <c r="H179" s="249">
        <f t="shared" si="36"/>
        <v>280</v>
      </c>
      <c r="I179" s="251">
        <f t="shared" si="37"/>
        <v>85.8</v>
      </c>
      <c r="J179" s="252"/>
      <c r="K179" s="252"/>
      <c r="L179" s="252"/>
      <c r="M179" s="252"/>
      <c r="N179" s="252"/>
      <c r="O179" s="252"/>
      <c r="P179" s="252"/>
      <c r="Q179" s="253"/>
    </row>
    <row r="180" spans="1:17" s="825" customFormat="1" ht="25" customHeight="1" x14ac:dyDescent="0.25">
      <c r="A180" s="826" t="s">
        <v>691</v>
      </c>
      <c r="B180" s="850" t="s">
        <v>692</v>
      </c>
      <c r="C180" s="674">
        <v>2</v>
      </c>
      <c r="D180" s="674">
        <v>1</v>
      </c>
      <c r="E180" s="674">
        <v>4</v>
      </c>
      <c r="F180" s="253">
        <f t="shared" si="35"/>
        <v>171.6</v>
      </c>
      <c r="G180" s="674">
        <v>70</v>
      </c>
      <c r="H180" s="249">
        <f t="shared" si="36"/>
        <v>560</v>
      </c>
      <c r="I180" s="251">
        <f t="shared" si="37"/>
        <v>171.6</v>
      </c>
      <c r="J180" s="252"/>
      <c r="K180" s="252"/>
      <c r="L180" s="252"/>
      <c r="M180" s="252"/>
      <c r="N180" s="252"/>
      <c r="O180" s="252"/>
      <c r="P180" s="252"/>
      <c r="Q180" s="253"/>
    </row>
    <row r="181" spans="1:17" s="825" customFormat="1" ht="25" customHeight="1" x14ac:dyDescent="0.25">
      <c r="A181" s="826" t="s">
        <v>693</v>
      </c>
      <c r="B181" s="850" t="s">
        <v>694</v>
      </c>
      <c r="C181" s="674">
        <v>2</v>
      </c>
      <c r="D181" s="674">
        <v>1</v>
      </c>
      <c r="E181" s="674">
        <v>10</v>
      </c>
      <c r="F181" s="253">
        <f t="shared" si="35"/>
        <v>429</v>
      </c>
      <c r="G181" s="674">
        <v>70</v>
      </c>
      <c r="H181" s="249">
        <f t="shared" si="36"/>
        <v>1400</v>
      </c>
      <c r="I181" s="251">
        <f t="shared" si="37"/>
        <v>429</v>
      </c>
      <c r="J181" s="252"/>
      <c r="K181" s="252"/>
      <c r="L181" s="252"/>
      <c r="M181" s="252"/>
      <c r="N181" s="252"/>
      <c r="O181" s="252"/>
      <c r="P181" s="252"/>
      <c r="Q181" s="253"/>
    </row>
    <row r="182" spans="1:17" s="825" customFormat="1" ht="25" customHeight="1" x14ac:dyDescent="0.25">
      <c r="A182" s="826" t="s">
        <v>282</v>
      </c>
      <c r="B182" s="850" t="s">
        <v>430</v>
      </c>
      <c r="C182" s="674">
        <v>3</v>
      </c>
      <c r="D182" s="674">
        <v>1</v>
      </c>
      <c r="E182" s="674">
        <v>4</v>
      </c>
      <c r="F182" s="253">
        <f t="shared" si="35"/>
        <v>257.40000000000003</v>
      </c>
      <c r="G182" s="674">
        <v>70</v>
      </c>
      <c r="H182" s="249">
        <f t="shared" si="36"/>
        <v>840</v>
      </c>
      <c r="I182" s="251">
        <f t="shared" si="37"/>
        <v>257.40000000000003</v>
      </c>
      <c r="J182" s="252"/>
      <c r="K182" s="252"/>
      <c r="L182" s="252"/>
      <c r="M182" s="252"/>
      <c r="N182" s="252"/>
      <c r="O182" s="252"/>
      <c r="P182" s="252"/>
      <c r="Q182" s="253"/>
    </row>
    <row r="183" spans="1:17" s="825" customFormat="1" ht="25" customHeight="1" x14ac:dyDescent="0.25">
      <c r="A183" s="841"/>
      <c r="B183" s="842" t="s">
        <v>380</v>
      </c>
      <c r="C183" s="843">
        <f>SUM(C174:C182)</f>
        <v>29</v>
      </c>
      <c r="D183" s="843">
        <f t="shared" ref="D183:K183" si="38">SUM(D174:D182)</f>
        <v>9</v>
      </c>
      <c r="E183" s="843">
        <f t="shared" si="38"/>
        <v>43</v>
      </c>
      <c r="F183" s="843">
        <f t="shared" si="38"/>
        <v>2852.8500000000004</v>
      </c>
      <c r="G183" s="843">
        <f t="shared" si="38"/>
        <v>630</v>
      </c>
      <c r="H183" s="843">
        <f t="shared" si="38"/>
        <v>9310</v>
      </c>
      <c r="I183" s="843">
        <f>SUM(I174:I182)</f>
        <v>2852.8500000000004</v>
      </c>
      <c r="J183" s="843">
        <f t="shared" si="38"/>
        <v>0</v>
      </c>
      <c r="K183" s="843">
        <f t="shared" si="38"/>
        <v>0</v>
      </c>
      <c r="L183" s="252"/>
      <c r="M183" s="252"/>
      <c r="N183" s="252"/>
      <c r="O183" s="252"/>
      <c r="P183" s="252"/>
      <c r="Q183" s="253"/>
    </row>
    <row r="184" spans="1:17" s="825" customFormat="1" ht="25" customHeight="1" x14ac:dyDescent="0.25">
      <c r="A184" s="836" t="s">
        <v>148</v>
      </c>
      <c r="B184" s="851" t="s">
        <v>151</v>
      </c>
      <c r="C184" s="674"/>
      <c r="D184" s="674"/>
      <c r="E184" s="674"/>
      <c r="F184" s="249"/>
      <c r="G184" s="674"/>
      <c r="H184" s="249"/>
      <c r="I184" s="252"/>
      <c r="J184" s="252"/>
      <c r="K184" s="252"/>
      <c r="L184" s="252"/>
      <c r="M184" s="252"/>
      <c r="N184" s="252"/>
      <c r="O184" s="252"/>
      <c r="P184" s="252"/>
      <c r="Q184" s="253"/>
    </row>
    <row r="185" spans="1:17" s="825" customFormat="1" ht="25" customHeight="1" x14ac:dyDescent="0.25">
      <c r="A185" s="839" t="s">
        <v>232</v>
      </c>
      <c r="B185" s="826" t="s">
        <v>154</v>
      </c>
      <c r="C185" s="674"/>
      <c r="D185" s="674"/>
      <c r="E185" s="674"/>
      <c r="F185" s="249"/>
      <c r="G185" s="674"/>
      <c r="H185" s="249"/>
      <c r="I185" s="252"/>
      <c r="J185" s="252"/>
      <c r="K185" s="252"/>
      <c r="L185" s="252"/>
      <c r="M185" s="252"/>
      <c r="N185" s="252"/>
      <c r="O185" s="252"/>
      <c r="P185" s="252"/>
      <c r="Q185" s="253"/>
    </row>
    <row r="186" spans="1:17" s="825" customFormat="1" ht="25" customHeight="1" x14ac:dyDescent="0.25">
      <c r="A186" s="839" t="s">
        <v>233</v>
      </c>
      <c r="B186" s="826" t="s">
        <v>153</v>
      </c>
      <c r="C186" s="674"/>
      <c r="D186" s="674"/>
      <c r="E186" s="674"/>
      <c r="F186" s="249"/>
      <c r="G186" s="674"/>
      <c r="H186" s="249"/>
      <c r="I186" s="252"/>
      <c r="J186" s="252"/>
      <c r="K186" s="252"/>
      <c r="L186" s="252"/>
      <c r="M186" s="252"/>
      <c r="N186" s="252"/>
      <c r="O186" s="252"/>
      <c r="P186" s="252"/>
      <c r="Q186" s="253"/>
    </row>
    <row r="187" spans="1:17" s="825" customFormat="1" ht="25" customHeight="1" x14ac:dyDescent="0.25">
      <c r="A187" s="839" t="s">
        <v>234</v>
      </c>
      <c r="B187" s="826" t="s">
        <v>155</v>
      </c>
      <c r="C187" s="674"/>
      <c r="D187" s="674"/>
      <c r="E187" s="674"/>
      <c r="F187" s="249"/>
      <c r="G187" s="674"/>
      <c r="H187" s="249"/>
      <c r="I187" s="252"/>
      <c r="J187" s="252"/>
      <c r="K187" s="252"/>
      <c r="L187" s="252"/>
      <c r="M187" s="252"/>
      <c r="N187" s="252"/>
      <c r="O187" s="252"/>
      <c r="P187" s="252"/>
      <c r="Q187" s="253"/>
    </row>
    <row r="188" spans="1:17" s="825" customFormat="1" ht="25" customHeight="1" x14ac:dyDescent="0.25">
      <c r="A188" s="839" t="s">
        <v>235</v>
      </c>
      <c r="B188" s="826" t="s">
        <v>156</v>
      </c>
      <c r="C188" s="674"/>
      <c r="D188" s="674"/>
      <c r="E188" s="674"/>
      <c r="F188" s="249"/>
      <c r="G188" s="674"/>
      <c r="H188" s="249"/>
      <c r="I188" s="252"/>
      <c r="J188" s="252"/>
      <c r="K188" s="252"/>
      <c r="L188" s="252"/>
      <c r="M188" s="252"/>
      <c r="N188" s="252"/>
      <c r="O188" s="252"/>
      <c r="P188" s="252"/>
      <c r="Q188" s="253"/>
    </row>
    <row r="189" spans="1:17" s="825" customFormat="1" ht="25" customHeight="1" x14ac:dyDescent="0.25">
      <c r="A189" s="839" t="s">
        <v>236</v>
      </c>
      <c r="B189" s="826" t="s">
        <v>157</v>
      </c>
      <c r="C189" s="674"/>
      <c r="D189" s="674"/>
      <c r="E189" s="674"/>
      <c r="F189" s="249"/>
      <c r="G189" s="674"/>
      <c r="H189" s="249"/>
      <c r="I189" s="252"/>
      <c r="J189" s="252"/>
      <c r="K189" s="252"/>
      <c r="L189" s="252"/>
      <c r="M189" s="252"/>
      <c r="N189" s="252"/>
      <c r="O189" s="252"/>
      <c r="P189" s="252"/>
      <c r="Q189" s="253"/>
    </row>
    <row r="190" spans="1:17" s="825" customFormat="1" ht="25" customHeight="1" x14ac:dyDescent="0.25">
      <c r="A190" s="886">
        <v>2</v>
      </c>
      <c r="B190" s="886" t="s">
        <v>164</v>
      </c>
      <c r="C190" s="674"/>
      <c r="D190" s="674"/>
      <c r="E190" s="674"/>
      <c r="F190" s="249"/>
      <c r="G190" s="674"/>
      <c r="H190" s="249"/>
      <c r="I190" s="252"/>
      <c r="J190" s="252"/>
      <c r="K190" s="252"/>
      <c r="L190" s="252"/>
      <c r="M190" s="252"/>
      <c r="N190" s="252"/>
      <c r="O190" s="252"/>
      <c r="P190" s="252"/>
      <c r="Q190" s="253"/>
    </row>
    <row r="191" spans="1:17" s="825" customFormat="1" ht="25" customHeight="1" x14ac:dyDescent="0.25">
      <c r="A191" s="847" t="s">
        <v>147</v>
      </c>
      <c r="B191" s="848" t="s">
        <v>165</v>
      </c>
      <c r="C191" s="674"/>
      <c r="D191" s="674"/>
      <c r="E191" s="674"/>
      <c r="F191" s="253"/>
      <c r="G191" s="674"/>
      <c r="H191" s="249"/>
      <c r="I191" s="251"/>
      <c r="J191" s="252"/>
      <c r="K191" s="252"/>
      <c r="L191" s="252"/>
      <c r="M191" s="252"/>
      <c r="N191" s="252"/>
      <c r="O191" s="252"/>
      <c r="P191" s="252"/>
      <c r="Q191" s="253"/>
    </row>
    <row r="192" spans="1:17" s="825" customFormat="1" ht="25" customHeight="1" x14ac:dyDescent="0.25">
      <c r="A192" s="826" t="s">
        <v>226</v>
      </c>
      <c r="B192" s="849" t="s">
        <v>433</v>
      </c>
      <c r="C192" s="674">
        <v>3</v>
      </c>
      <c r="D192" s="674">
        <v>1</v>
      </c>
      <c r="E192" s="674">
        <v>3</v>
      </c>
      <c r="F192" s="253">
        <f>(I192+J192+K192)</f>
        <v>103.94999999999999</v>
      </c>
      <c r="G192" s="674">
        <v>25</v>
      </c>
      <c r="H192" s="249">
        <f>C192*E192*G192</f>
        <v>225</v>
      </c>
      <c r="I192" s="251">
        <f>C192*E192*16.5*0.7</f>
        <v>103.94999999999999</v>
      </c>
      <c r="J192" s="252"/>
      <c r="K192" s="252"/>
      <c r="L192" s="252"/>
      <c r="M192" s="252"/>
      <c r="N192" s="252"/>
      <c r="O192" s="252"/>
      <c r="P192" s="252"/>
      <c r="Q192" s="253"/>
    </row>
    <row r="193" spans="1:17" s="825" customFormat="1" ht="25" customHeight="1" x14ac:dyDescent="0.25">
      <c r="A193" s="826" t="s">
        <v>227</v>
      </c>
      <c r="B193" s="849" t="s">
        <v>434</v>
      </c>
      <c r="C193" s="674">
        <v>3</v>
      </c>
      <c r="D193" s="674">
        <v>1</v>
      </c>
      <c r="E193" s="674">
        <v>1</v>
      </c>
      <c r="F193" s="253">
        <f>(I193+J193+K193)</f>
        <v>34.65</v>
      </c>
      <c r="G193" s="674">
        <v>15</v>
      </c>
      <c r="H193" s="249">
        <f>C193*E193*G193</f>
        <v>45</v>
      </c>
      <c r="I193" s="251">
        <f>C193*E193*16.5*0.7</f>
        <v>34.65</v>
      </c>
      <c r="J193" s="252"/>
      <c r="K193" s="252"/>
      <c r="L193" s="252"/>
      <c r="M193" s="252"/>
      <c r="N193" s="252"/>
      <c r="O193" s="252"/>
      <c r="P193" s="252"/>
      <c r="Q193" s="253"/>
    </row>
    <row r="194" spans="1:17" s="825" customFormat="1" ht="25" customHeight="1" x14ac:dyDescent="0.25">
      <c r="A194" s="826"/>
      <c r="B194" s="849" t="s">
        <v>695</v>
      </c>
      <c r="C194" s="674">
        <v>3</v>
      </c>
      <c r="D194" s="674">
        <v>1</v>
      </c>
      <c r="E194" s="674">
        <v>1</v>
      </c>
      <c r="F194" s="253">
        <f>(I194+J194+K194)</f>
        <v>34.65</v>
      </c>
      <c r="G194" s="674">
        <v>15</v>
      </c>
      <c r="H194" s="249">
        <f>C194*E194*G194</f>
        <v>45</v>
      </c>
      <c r="I194" s="251">
        <f>C194*E194*16.5*0.7</f>
        <v>34.65</v>
      </c>
      <c r="J194" s="252"/>
      <c r="K194" s="252"/>
      <c r="L194" s="252"/>
      <c r="M194" s="252"/>
      <c r="N194" s="252"/>
      <c r="O194" s="252"/>
      <c r="P194" s="252"/>
      <c r="Q194" s="253"/>
    </row>
    <row r="195" spans="1:17" s="825" customFormat="1" ht="25" customHeight="1" x14ac:dyDescent="0.25">
      <c r="A195" s="826" t="s">
        <v>228</v>
      </c>
      <c r="B195" s="849" t="s">
        <v>435</v>
      </c>
      <c r="C195" s="674">
        <v>3</v>
      </c>
      <c r="D195" s="674">
        <v>1</v>
      </c>
      <c r="E195" s="674">
        <v>3</v>
      </c>
      <c r="F195" s="253">
        <f>(I195+J195+K195)</f>
        <v>103.94999999999999</v>
      </c>
      <c r="G195" s="674">
        <v>25</v>
      </c>
      <c r="H195" s="249">
        <f>C195*E195*G195</f>
        <v>225</v>
      </c>
      <c r="I195" s="251">
        <f>C195*E195*16.5*0.7</f>
        <v>103.94999999999999</v>
      </c>
      <c r="J195" s="252"/>
      <c r="K195" s="252"/>
      <c r="L195" s="252"/>
      <c r="M195" s="252"/>
      <c r="N195" s="252"/>
      <c r="O195" s="252"/>
      <c r="P195" s="252"/>
      <c r="Q195" s="253"/>
    </row>
    <row r="196" spans="1:17" s="825" customFormat="1" ht="25" customHeight="1" x14ac:dyDescent="0.25">
      <c r="A196" s="836" t="s">
        <v>148</v>
      </c>
      <c r="B196" s="851" t="s">
        <v>696</v>
      </c>
      <c r="C196" s="674"/>
      <c r="D196" s="674"/>
      <c r="E196" s="674"/>
      <c r="F196" s="249"/>
      <c r="G196" s="674"/>
      <c r="H196" s="249"/>
      <c r="I196" s="252"/>
      <c r="J196" s="252"/>
      <c r="K196" s="252"/>
      <c r="L196" s="252"/>
      <c r="M196" s="252"/>
      <c r="N196" s="252"/>
      <c r="O196" s="252"/>
      <c r="P196" s="252"/>
      <c r="Q196" s="253"/>
    </row>
    <row r="197" spans="1:17" s="825" customFormat="1" ht="25" customHeight="1" x14ac:dyDescent="0.25">
      <c r="A197" s="886">
        <v>3</v>
      </c>
      <c r="B197" s="886" t="s">
        <v>166</v>
      </c>
      <c r="C197" s="674"/>
      <c r="D197" s="674"/>
      <c r="E197" s="674"/>
      <c r="F197" s="249"/>
      <c r="G197" s="674"/>
      <c r="H197" s="249"/>
      <c r="I197" s="252"/>
      <c r="J197" s="252"/>
      <c r="K197" s="252"/>
      <c r="L197" s="252"/>
      <c r="M197" s="252"/>
      <c r="N197" s="252"/>
      <c r="O197" s="252"/>
      <c r="P197" s="252"/>
      <c r="Q197" s="253"/>
    </row>
    <row r="198" spans="1:17" s="825" customFormat="1" ht="25" customHeight="1" x14ac:dyDescent="0.25">
      <c r="A198" s="847" t="s">
        <v>147</v>
      </c>
      <c r="B198" s="848" t="s">
        <v>167</v>
      </c>
      <c r="C198" s="674"/>
      <c r="D198" s="674"/>
      <c r="E198" s="674"/>
      <c r="F198" s="249"/>
      <c r="G198" s="674"/>
      <c r="H198" s="249"/>
      <c r="I198" s="252"/>
      <c r="J198" s="252"/>
      <c r="K198" s="252"/>
      <c r="L198" s="252"/>
      <c r="M198" s="252"/>
      <c r="N198" s="252"/>
      <c r="O198" s="252"/>
      <c r="P198" s="252"/>
      <c r="Q198" s="253"/>
    </row>
    <row r="199" spans="1:17" s="825" customFormat="1" ht="25" customHeight="1" x14ac:dyDescent="0.25">
      <c r="A199" s="836" t="s">
        <v>148</v>
      </c>
      <c r="B199" s="851" t="s">
        <v>168</v>
      </c>
      <c r="C199" s="674"/>
      <c r="D199" s="674"/>
      <c r="E199" s="674"/>
      <c r="F199" s="249"/>
      <c r="G199" s="674"/>
      <c r="H199" s="246"/>
      <c r="I199" s="246"/>
      <c r="J199" s="252"/>
      <c r="K199" s="252"/>
      <c r="L199" s="252"/>
      <c r="M199" s="252"/>
      <c r="N199" s="252"/>
      <c r="O199" s="252"/>
      <c r="P199" s="252"/>
      <c r="Q199" s="253"/>
    </row>
    <row r="200" spans="1:17" s="825" customFormat="1" ht="25" customHeight="1" x14ac:dyDescent="0.25">
      <c r="A200" s="836" t="s">
        <v>169</v>
      </c>
      <c r="B200" s="851" t="s">
        <v>170</v>
      </c>
      <c r="C200" s="674"/>
      <c r="D200" s="674"/>
      <c r="E200" s="674"/>
      <c r="F200" s="249"/>
      <c r="G200" s="674"/>
      <c r="H200" s="249"/>
      <c r="I200" s="252"/>
      <c r="J200" s="252"/>
      <c r="K200" s="252"/>
      <c r="L200" s="252"/>
      <c r="M200" s="252"/>
      <c r="N200" s="252"/>
      <c r="O200" s="252"/>
      <c r="P200" s="252"/>
      <c r="Q200" s="253"/>
    </row>
    <row r="201" spans="1:17" s="825" customFormat="1" ht="25" customHeight="1" x14ac:dyDescent="0.25">
      <c r="A201" s="841"/>
      <c r="B201" s="842" t="s">
        <v>438</v>
      </c>
      <c r="C201" s="843">
        <f>SUM(C192:C200)</f>
        <v>12</v>
      </c>
      <c r="D201" s="843">
        <f t="shared" ref="D201:K201" si="39">SUM(D192:D200)</f>
        <v>4</v>
      </c>
      <c r="E201" s="843">
        <f t="shared" si="39"/>
        <v>8</v>
      </c>
      <c r="F201" s="843">
        <f t="shared" si="39"/>
        <v>277.2</v>
      </c>
      <c r="G201" s="843">
        <f t="shared" si="39"/>
        <v>80</v>
      </c>
      <c r="H201" s="843">
        <f t="shared" si="39"/>
        <v>540</v>
      </c>
      <c r="I201" s="843">
        <f t="shared" si="39"/>
        <v>277.2</v>
      </c>
      <c r="J201" s="843">
        <f t="shared" si="39"/>
        <v>0</v>
      </c>
      <c r="K201" s="843">
        <f t="shared" si="39"/>
        <v>0</v>
      </c>
      <c r="L201" s="252"/>
      <c r="M201" s="252"/>
      <c r="N201" s="252"/>
      <c r="O201" s="252"/>
      <c r="P201" s="252"/>
      <c r="Q201" s="253"/>
    </row>
    <row r="202" spans="1:17" s="825" customFormat="1" ht="25" customHeight="1" x14ac:dyDescent="0.25">
      <c r="A202" s="886" t="s">
        <v>8</v>
      </c>
      <c r="B202" s="886" t="s">
        <v>224</v>
      </c>
      <c r="C202" s="674"/>
      <c r="D202" s="674"/>
      <c r="E202" s="674"/>
      <c r="F202" s="249"/>
      <c r="G202" s="674"/>
      <c r="H202" s="249"/>
      <c r="I202" s="252"/>
      <c r="J202" s="252"/>
      <c r="K202" s="252"/>
      <c r="L202" s="252"/>
      <c r="M202" s="252"/>
      <c r="N202" s="252"/>
      <c r="O202" s="252"/>
      <c r="P202" s="252"/>
      <c r="Q202" s="253"/>
    </row>
    <row r="203" spans="1:17" s="825" customFormat="1" ht="25" customHeight="1" x14ac:dyDescent="0.25">
      <c r="A203" s="886">
        <v>1</v>
      </c>
      <c r="B203" s="848" t="s">
        <v>225</v>
      </c>
      <c r="C203" s="674"/>
      <c r="D203" s="674"/>
      <c r="E203" s="674"/>
      <c r="F203" s="253"/>
      <c r="G203" s="674"/>
      <c r="H203" s="249"/>
      <c r="I203" s="251"/>
      <c r="J203" s="252"/>
      <c r="K203" s="252"/>
      <c r="L203" s="252"/>
      <c r="M203" s="252"/>
      <c r="N203" s="252"/>
      <c r="O203" s="252"/>
      <c r="P203" s="252"/>
      <c r="Q203" s="253"/>
    </row>
    <row r="204" spans="1:17" s="825" customFormat="1" ht="25" customHeight="1" x14ac:dyDescent="0.25">
      <c r="A204" s="886" t="s">
        <v>147</v>
      </c>
      <c r="B204" s="848" t="s">
        <v>163</v>
      </c>
      <c r="C204" s="674"/>
      <c r="D204" s="674"/>
      <c r="E204" s="674"/>
      <c r="F204" s="253"/>
      <c r="G204" s="674"/>
      <c r="H204" s="249"/>
      <c r="I204" s="251"/>
      <c r="J204" s="252"/>
      <c r="K204" s="252"/>
      <c r="L204" s="252"/>
      <c r="M204" s="252"/>
      <c r="N204" s="252"/>
      <c r="O204" s="252"/>
      <c r="P204" s="252"/>
      <c r="Q204" s="253"/>
    </row>
    <row r="205" spans="1:17" s="825" customFormat="1" ht="25" customHeight="1" x14ac:dyDescent="0.25">
      <c r="A205" s="839" t="s">
        <v>226</v>
      </c>
      <c r="B205" s="849" t="s">
        <v>697</v>
      </c>
      <c r="C205" s="674">
        <v>5</v>
      </c>
      <c r="D205" s="674">
        <v>1</v>
      </c>
      <c r="E205" s="674">
        <v>16</v>
      </c>
      <c r="F205" s="253">
        <f>(I205+J205+K205)</f>
        <v>1320</v>
      </c>
      <c r="G205" s="674">
        <v>60</v>
      </c>
      <c r="H205" s="249">
        <f t="shared" ref="H205:H210" si="40">C205*E205*G205</f>
        <v>4800</v>
      </c>
      <c r="I205" s="251">
        <f t="shared" ref="I205:I210" si="41">IF(G205&lt;70, C205*E205*16.5*1, C205*E205*16.5*1.3)</f>
        <v>1320</v>
      </c>
      <c r="J205" s="252"/>
      <c r="K205" s="252"/>
      <c r="L205" s="252"/>
      <c r="M205" s="252"/>
      <c r="N205" s="252"/>
      <c r="O205" s="252"/>
      <c r="P205" s="252"/>
      <c r="Q205" s="253"/>
    </row>
    <row r="206" spans="1:17" s="825" customFormat="1" ht="25" customHeight="1" x14ac:dyDescent="0.25">
      <c r="A206" s="839" t="s">
        <v>227</v>
      </c>
      <c r="B206" s="849" t="s">
        <v>436</v>
      </c>
      <c r="C206" s="674">
        <v>5</v>
      </c>
      <c r="D206" s="674">
        <v>1</v>
      </c>
      <c r="E206" s="674">
        <v>7</v>
      </c>
      <c r="F206" s="253">
        <f>I206+J206+K206</f>
        <v>577.5</v>
      </c>
      <c r="G206" s="674">
        <v>60</v>
      </c>
      <c r="H206" s="249">
        <f t="shared" si="40"/>
        <v>2100</v>
      </c>
      <c r="I206" s="251">
        <f t="shared" si="41"/>
        <v>577.5</v>
      </c>
      <c r="J206" s="252"/>
      <c r="K206" s="252"/>
      <c r="L206" s="252"/>
      <c r="M206" s="252"/>
      <c r="N206" s="252"/>
      <c r="O206" s="252"/>
      <c r="P206" s="252"/>
      <c r="Q206" s="253"/>
    </row>
    <row r="207" spans="1:17" s="825" customFormat="1" ht="25" customHeight="1" x14ac:dyDescent="0.25">
      <c r="A207" s="839" t="s">
        <v>228</v>
      </c>
      <c r="B207" s="849" t="s">
        <v>425</v>
      </c>
      <c r="C207" s="674">
        <v>3</v>
      </c>
      <c r="D207" s="674">
        <v>1</v>
      </c>
      <c r="E207" s="674">
        <v>16</v>
      </c>
      <c r="F207" s="253">
        <f>I207+J207+K207</f>
        <v>792</v>
      </c>
      <c r="G207" s="674">
        <v>60</v>
      </c>
      <c r="H207" s="249">
        <f t="shared" si="40"/>
        <v>2880</v>
      </c>
      <c r="I207" s="251">
        <f t="shared" si="41"/>
        <v>792</v>
      </c>
      <c r="J207" s="252"/>
      <c r="K207" s="252"/>
      <c r="L207" s="252"/>
      <c r="M207" s="252"/>
      <c r="N207" s="252"/>
      <c r="O207" s="252"/>
      <c r="P207" s="252"/>
      <c r="Q207" s="253"/>
    </row>
    <row r="208" spans="1:17" s="825" customFormat="1" ht="25" customHeight="1" x14ac:dyDescent="0.25">
      <c r="A208" s="839" t="s">
        <v>229</v>
      </c>
      <c r="B208" s="849" t="s">
        <v>437</v>
      </c>
      <c r="C208" s="674">
        <v>3</v>
      </c>
      <c r="D208" s="674">
        <v>1</v>
      </c>
      <c r="E208" s="674">
        <v>7</v>
      </c>
      <c r="F208" s="253">
        <f>I208+J208+K208</f>
        <v>346.5</v>
      </c>
      <c r="G208" s="674">
        <v>60</v>
      </c>
      <c r="H208" s="249">
        <f t="shared" si="40"/>
        <v>1260</v>
      </c>
      <c r="I208" s="251">
        <f t="shared" si="41"/>
        <v>346.5</v>
      </c>
      <c r="J208" s="252"/>
      <c r="K208" s="252"/>
      <c r="L208" s="252"/>
      <c r="M208" s="252"/>
      <c r="N208" s="252"/>
      <c r="O208" s="252"/>
      <c r="P208" s="252"/>
      <c r="Q208" s="253"/>
    </row>
    <row r="209" spans="1:17" s="825" customFormat="1" ht="25" customHeight="1" x14ac:dyDescent="0.25">
      <c r="A209" s="839" t="s">
        <v>230</v>
      </c>
      <c r="B209" s="849" t="s">
        <v>505</v>
      </c>
      <c r="C209" s="674">
        <v>5</v>
      </c>
      <c r="D209" s="674">
        <v>1</v>
      </c>
      <c r="E209" s="674">
        <v>7</v>
      </c>
      <c r="F209" s="253">
        <f>I209+J209+K209</f>
        <v>577.5</v>
      </c>
      <c r="G209" s="674">
        <v>50</v>
      </c>
      <c r="H209" s="249">
        <f t="shared" si="40"/>
        <v>1750</v>
      </c>
      <c r="I209" s="251">
        <f t="shared" si="41"/>
        <v>577.5</v>
      </c>
      <c r="J209" s="252"/>
      <c r="K209" s="252"/>
      <c r="L209" s="252"/>
      <c r="M209" s="252"/>
      <c r="N209" s="252"/>
      <c r="O209" s="252"/>
      <c r="P209" s="252"/>
      <c r="Q209" s="253"/>
    </row>
    <row r="210" spans="1:17" s="855" customFormat="1" ht="25" customHeight="1" x14ac:dyDescent="0.25">
      <c r="A210" s="854" t="s">
        <v>231</v>
      </c>
      <c r="B210" s="890" t="s">
        <v>506</v>
      </c>
      <c r="C210" s="418">
        <v>5</v>
      </c>
      <c r="D210" s="418">
        <v>1</v>
      </c>
      <c r="E210" s="418">
        <v>16</v>
      </c>
      <c r="F210" s="856">
        <f>I210+J210+K210</f>
        <v>1320</v>
      </c>
      <c r="G210" s="418">
        <v>50</v>
      </c>
      <c r="H210" s="414">
        <f t="shared" si="40"/>
        <v>4000</v>
      </c>
      <c r="I210" s="891">
        <f t="shared" si="41"/>
        <v>1320</v>
      </c>
      <c r="J210" s="892"/>
      <c r="K210" s="893"/>
      <c r="L210" s="893"/>
      <c r="M210" s="893"/>
      <c r="N210" s="415"/>
      <c r="O210" s="893"/>
      <c r="P210" s="893"/>
      <c r="Q210" s="856"/>
    </row>
    <row r="211" spans="1:17" s="855" customFormat="1" ht="25" customHeight="1" x14ac:dyDescent="0.25">
      <c r="A211" s="841"/>
      <c r="B211" s="842" t="s">
        <v>380</v>
      </c>
      <c r="C211" s="843">
        <f>SUM(C205:C210)</f>
        <v>26</v>
      </c>
      <c r="D211" s="843">
        <f>SUM(D205:D210)</f>
        <v>6</v>
      </c>
      <c r="E211" s="843">
        <f>SUM(E205:E210)</f>
        <v>69</v>
      </c>
      <c r="F211" s="843">
        <f t="shared" ref="F211:K211" si="42">SUM(F205:F210)</f>
        <v>4933.5</v>
      </c>
      <c r="G211" s="843">
        <f t="shared" si="42"/>
        <v>340</v>
      </c>
      <c r="H211" s="843">
        <f t="shared" si="42"/>
        <v>16790</v>
      </c>
      <c r="I211" s="843">
        <f t="shared" si="42"/>
        <v>4933.5</v>
      </c>
      <c r="J211" s="843">
        <f t="shared" si="42"/>
        <v>0</v>
      </c>
      <c r="K211" s="843">
        <f t="shared" si="42"/>
        <v>0</v>
      </c>
      <c r="L211" s="860"/>
      <c r="M211" s="860"/>
      <c r="N211" s="419"/>
      <c r="O211" s="860"/>
      <c r="P211" s="860"/>
      <c r="Q211" s="861"/>
    </row>
    <row r="212" spans="1:17" s="825" customFormat="1" ht="25" customHeight="1" x14ac:dyDescent="0.25">
      <c r="A212" s="888"/>
      <c r="B212" s="894" t="s">
        <v>439</v>
      </c>
      <c r="C212" s="365">
        <f>C183+C201+C211</f>
        <v>67</v>
      </c>
      <c r="D212" s="365">
        <f t="shared" ref="D212:K212" si="43">D183+D201+D211</f>
        <v>19</v>
      </c>
      <c r="E212" s="365">
        <f t="shared" si="43"/>
        <v>120</v>
      </c>
      <c r="F212" s="365">
        <f t="shared" si="43"/>
        <v>8063.55</v>
      </c>
      <c r="G212" s="365">
        <f t="shared" si="43"/>
        <v>1050</v>
      </c>
      <c r="H212" s="365">
        <f t="shared" si="43"/>
        <v>26640</v>
      </c>
      <c r="I212" s="365">
        <f t="shared" si="43"/>
        <v>8063.55</v>
      </c>
      <c r="J212" s="365">
        <f t="shared" si="43"/>
        <v>0</v>
      </c>
      <c r="K212" s="365">
        <f t="shared" si="43"/>
        <v>0</v>
      </c>
      <c r="L212" s="370">
        <f>'Bieu3 GDH'!F20</f>
        <v>1080</v>
      </c>
      <c r="M212" s="370">
        <f>'Bieu3 GDH'!N20</f>
        <v>1039.5</v>
      </c>
      <c r="N212" s="365">
        <f>I212-M212</f>
        <v>7024.05</v>
      </c>
      <c r="O212" s="370">
        <f>'Bieu3 GDH'!O20</f>
        <v>805.25</v>
      </c>
      <c r="P212" s="370">
        <f>'Bieu3 GDH'!P20</f>
        <v>370</v>
      </c>
      <c r="Q212" s="371" t="s">
        <v>705</v>
      </c>
    </row>
    <row r="213" spans="1:17" s="825" customFormat="1" ht="25" customHeight="1" x14ac:dyDescent="0.25">
      <c r="A213" s="242" t="s">
        <v>6</v>
      </c>
      <c r="B213" s="867" t="s">
        <v>483</v>
      </c>
      <c r="C213" s="243"/>
      <c r="D213" s="243"/>
      <c r="E213" s="243"/>
      <c r="F213" s="315"/>
      <c r="G213" s="243"/>
      <c r="H213" s="243"/>
      <c r="I213" s="243"/>
      <c r="J213" s="243"/>
      <c r="K213" s="238"/>
      <c r="L213" s="895"/>
      <c r="M213" s="249"/>
      <c r="N213" s="249"/>
      <c r="O213" s="249"/>
      <c r="P213" s="249"/>
      <c r="Q213" s="249"/>
    </row>
    <row r="214" spans="1:17" s="825" customFormat="1" ht="25" customHeight="1" x14ac:dyDescent="0.25">
      <c r="A214" s="242" t="s">
        <v>7</v>
      </c>
      <c r="B214" s="242" t="s">
        <v>223</v>
      </c>
      <c r="C214" s="243"/>
      <c r="D214" s="243"/>
      <c r="E214" s="243"/>
      <c r="F214" s="315"/>
      <c r="G214" s="243"/>
      <c r="H214" s="243"/>
      <c r="I214" s="243"/>
      <c r="J214" s="243"/>
      <c r="K214" s="238"/>
      <c r="L214" s="895"/>
      <c r="M214" s="249"/>
      <c r="N214" s="249"/>
      <c r="O214" s="249"/>
      <c r="P214" s="249"/>
      <c r="Q214" s="249"/>
    </row>
    <row r="215" spans="1:17" s="825" customFormat="1" ht="25" customHeight="1" x14ac:dyDescent="0.25">
      <c r="A215" s="242">
        <v>1</v>
      </c>
      <c r="B215" s="242" t="s">
        <v>4</v>
      </c>
      <c r="C215" s="243"/>
      <c r="D215" s="243"/>
      <c r="E215" s="243"/>
      <c r="F215" s="315"/>
      <c r="G215" s="243"/>
      <c r="H215" s="243"/>
      <c r="I215" s="243"/>
      <c r="J215" s="243"/>
      <c r="K215" s="238"/>
      <c r="L215" s="895"/>
      <c r="M215" s="249"/>
      <c r="N215" s="249"/>
      <c r="O215" s="249"/>
      <c r="P215" s="249"/>
      <c r="Q215" s="249"/>
    </row>
    <row r="216" spans="1:17" s="825" customFormat="1" ht="25" customHeight="1" x14ac:dyDescent="0.25">
      <c r="A216" s="244" t="s">
        <v>147</v>
      </c>
      <c r="B216" s="245" t="s">
        <v>161</v>
      </c>
      <c r="C216" s="246"/>
      <c r="D216" s="246"/>
      <c r="E216" s="246"/>
      <c r="F216" s="249"/>
      <c r="G216" s="246"/>
      <c r="H216" s="246"/>
      <c r="I216" s="247"/>
      <c r="J216" s="247"/>
      <c r="K216" s="238"/>
      <c r="L216" s="895"/>
      <c r="M216" s="249"/>
      <c r="N216" s="249"/>
      <c r="O216" s="249"/>
      <c r="P216" s="249"/>
      <c r="Q216" s="249"/>
    </row>
    <row r="217" spans="1:17" s="825" customFormat="1" ht="25" customHeight="1" x14ac:dyDescent="0.25">
      <c r="A217" s="875" t="s">
        <v>226</v>
      </c>
      <c r="B217" s="806" t="s">
        <v>442</v>
      </c>
      <c r="C217" s="796">
        <v>2</v>
      </c>
      <c r="D217" s="796">
        <v>1</v>
      </c>
      <c r="E217" s="796">
        <v>1</v>
      </c>
      <c r="F217" s="253">
        <f t="shared" ref="F217:F224" si="44">I217+J217+K217</f>
        <v>42.9</v>
      </c>
      <c r="G217" s="796">
        <v>80</v>
      </c>
      <c r="H217" s="249">
        <f>C217*E217*G217</f>
        <v>160</v>
      </c>
      <c r="I217" s="251">
        <f t="shared" ref="I217:I224" si="45">IF(G217&lt;70, C217*E217*16.5*1, C217*E217*16.5*1.3)</f>
        <v>42.9</v>
      </c>
      <c r="J217" s="695"/>
      <c r="K217" s="839"/>
      <c r="L217" s="895"/>
      <c r="M217" s="249"/>
      <c r="N217" s="249"/>
      <c r="O217" s="249"/>
      <c r="P217" s="249"/>
      <c r="Q217" s="249"/>
    </row>
    <row r="218" spans="1:17" s="825" customFormat="1" ht="25" customHeight="1" x14ac:dyDescent="0.25">
      <c r="A218" s="875" t="s">
        <v>227</v>
      </c>
      <c r="B218" s="827" t="s">
        <v>443</v>
      </c>
      <c r="C218" s="796">
        <v>3</v>
      </c>
      <c r="D218" s="796">
        <v>1</v>
      </c>
      <c r="E218" s="796">
        <v>1</v>
      </c>
      <c r="F218" s="253">
        <f t="shared" si="44"/>
        <v>64.350000000000009</v>
      </c>
      <c r="G218" s="796">
        <v>80</v>
      </c>
      <c r="H218" s="249">
        <f t="shared" ref="H218:H224" si="46">C218*E218*G218</f>
        <v>240</v>
      </c>
      <c r="I218" s="251">
        <f t="shared" si="45"/>
        <v>64.350000000000009</v>
      </c>
      <c r="J218" s="695"/>
      <c r="K218" s="839"/>
      <c r="L218" s="895"/>
      <c r="M218" s="249"/>
      <c r="N218" s="249"/>
      <c r="O218" s="249"/>
      <c r="P218" s="249"/>
      <c r="Q218" s="249"/>
    </row>
    <row r="219" spans="1:17" s="825" customFormat="1" ht="25" customHeight="1" x14ac:dyDescent="0.25">
      <c r="A219" s="875" t="s">
        <v>228</v>
      </c>
      <c r="B219" s="806" t="s">
        <v>442</v>
      </c>
      <c r="C219" s="796">
        <v>2</v>
      </c>
      <c r="D219" s="796">
        <v>1</v>
      </c>
      <c r="E219" s="796">
        <v>2</v>
      </c>
      <c r="F219" s="253">
        <f t="shared" si="44"/>
        <v>85.8</v>
      </c>
      <c r="G219" s="796">
        <v>80</v>
      </c>
      <c r="H219" s="249">
        <f t="shared" si="46"/>
        <v>320</v>
      </c>
      <c r="I219" s="251">
        <f t="shared" si="45"/>
        <v>85.8</v>
      </c>
      <c r="J219" s="869"/>
      <c r="K219" s="839"/>
      <c r="L219" s="895"/>
      <c r="M219" s="249"/>
      <c r="N219" s="249"/>
      <c r="O219" s="249"/>
      <c r="P219" s="249"/>
      <c r="Q219" s="249"/>
    </row>
    <row r="220" spans="1:17" s="825" customFormat="1" ht="25" customHeight="1" x14ac:dyDescent="0.25">
      <c r="A220" s="875" t="s">
        <v>229</v>
      </c>
      <c r="B220" s="806" t="s">
        <v>444</v>
      </c>
      <c r="C220" s="804">
        <v>3</v>
      </c>
      <c r="D220" s="804">
        <v>1</v>
      </c>
      <c r="E220" s="804">
        <v>1</v>
      </c>
      <c r="F220" s="253">
        <f t="shared" si="44"/>
        <v>49.5</v>
      </c>
      <c r="G220" s="804">
        <v>40</v>
      </c>
      <c r="H220" s="249">
        <f t="shared" si="46"/>
        <v>120</v>
      </c>
      <c r="I220" s="251">
        <f t="shared" si="45"/>
        <v>49.5</v>
      </c>
      <c r="J220" s="695"/>
      <c r="K220" s="839"/>
      <c r="L220" s="895"/>
      <c r="M220" s="249"/>
      <c r="N220" s="249"/>
      <c r="O220" s="249"/>
      <c r="P220" s="249"/>
      <c r="Q220" s="249"/>
    </row>
    <row r="221" spans="1:17" s="825" customFormat="1" ht="25" customHeight="1" x14ac:dyDescent="0.25">
      <c r="A221" s="875" t="s">
        <v>230</v>
      </c>
      <c r="B221" s="806" t="s">
        <v>445</v>
      </c>
      <c r="C221" s="804">
        <v>2</v>
      </c>
      <c r="D221" s="804">
        <v>1</v>
      </c>
      <c r="E221" s="804">
        <v>1</v>
      </c>
      <c r="F221" s="253">
        <f t="shared" si="44"/>
        <v>33</v>
      </c>
      <c r="G221" s="804">
        <v>40</v>
      </c>
      <c r="H221" s="249">
        <f t="shared" si="46"/>
        <v>80</v>
      </c>
      <c r="I221" s="251">
        <f t="shared" si="45"/>
        <v>33</v>
      </c>
      <c r="J221" s="695"/>
      <c r="K221" s="839"/>
      <c r="L221" s="895"/>
      <c r="M221" s="249"/>
      <c r="N221" s="249"/>
      <c r="O221" s="249"/>
      <c r="P221" s="249"/>
      <c r="Q221" s="249"/>
    </row>
    <row r="222" spans="1:17" s="825" customFormat="1" ht="25" customHeight="1" x14ac:dyDescent="0.25">
      <c r="A222" s="875" t="s">
        <v>231</v>
      </c>
      <c r="B222" s="806" t="s">
        <v>442</v>
      </c>
      <c r="C222" s="796">
        <v>2</v>
      </c>
      <c r="D222" s="796">
        <v>1</v>
      </c>
      <c r="E222" s="804">
        <v>1</v>
      </c>
      <c r="F222" s="253">
        <f t="shared" si="44"/>
        <v>42.9</v>
      </c>
      <c r="G222" s="796">
        <v>80</v>
      </c>
      <c r="H222" s="249">
        <f t="shared" si="46"/>
        <v>160</v>
      </c>
      <c r="I222" s="251">
        <f t="shared" si="45"/>
        <v>42.9</v>
      </c>
      <c r="J222" s="695"/>
      <c r="K222" s="839"/>
      <c r="L222" s="895"/>
      <c r="M222" s="249"/>
      <c r="N222" s="249"/>
      <c r="O222" s="249"/>
      <c r="P222" s="249"/>
      <c r="Q222" s="249"/>
    </row>
    <row r="223" spans="1:17" s="825" customFormat="1" ht="25" customHeight="1" x14ac:dyDescent="0.25">
      <c r="A223" s="875" t="s">
        <v>282</v>
      </c>
      <c r="B223" s="806" t="s">
        <v>448</v>
      </c>
      <c r="C223" s="796">
        <v>4</v>
      </c>
      <c r="D223" s="796">
        <v>1</v>
      </c>
      <c r="E223" s="796">
        <v>1</v>
      </c>
      <c r="F223" s="253">
        <f t="shared" si="44"/>
        <v>66</v>
      </c>
      <c r="G223" s="796">
        <v>30</v>
      </c>
      <c r="H223" s="249">
        <f t="shared" si="46"/>
        <v>120</v>
      </c>
      <c r="I223" s="251">
        <f t="shared" si="45"/>
        <v>66</v>
      </c>
      <c r="J223" s="695"/>
      <c r="K223" s="839"/>
      <c r="L223" s="895"/>
      <c r="M223" s="249"/>
      <c r="N223" s="249"/>
      <c r="O223" s="249"/>
      <c r="P223" s="249"/>
      <c r="Q223" s="249"/>
    </row>
    <row r="224" spans="1:17" s="825" customFormat="1" ht="25" customHeight="1" x14ac:dyDescent="0.25">
      <c r="A224" s="875" t="s">
        <v>283</v>
      </c>
      <c r="B224" s="806" t="s">
        <v>449</v>
      </c>
      <c r="C224" s="896">
        <v>4</v>
      </c>
      <c r="D224" s="897">
        <v>1</v>
      </c>
      <c r="E224" s="897">
        <v>1</v>
      </c>
      <c r="F224" s="253">
        <f t="shared" si="44"/>
        <v>66</v>
      </c>
      <c r="G224" s="897">
        <v>40</v>
      </c>
      <c r="H224" s="249">
        <f t="shared" si="46"/>
        <v>160</v>
      </c>
      <c r="I224" s="251">
        <f t="shared" si="45"/>
        <v>66</v>
      </c>
      <c r="J224" s="695"/>
      <c r="K224" s="839"/>
      <c r="L224" s="895"/>
      <c r="M224" s="249"/>
      <c r="N224" s="249"/>
      <c r="O224" s="249"/>
      <c r="P224" s="249"/>
      <c r="Q224" s="249"/>
    </row>
    <row r="225" spans="1:17" s="825" customFormat="1" ht="25" customHeight="1" x14ac:dyDescent="0.25">
      <c r="A225" s="875" t="s">
        <v>284</v>
      </c>
      <c r="B225" s="806" t="s">
        <v>445</v>
      </c>
      <c r="C225" s="804">
        <v>2</v>
      </c>
      <c r="D225" s="834">
        <v>1</v>
      </c>
      <c r="E225" s="834">
        <v>1</v>
      </c>
      <c r="F225" s="898">
        <f>I225+J225+K225</f>
        <v>33</v>
      </c>
      <c r="G225" s="834">
        <v>40</v>
      </c>
      <c r="H225" s="249">
        <f>C225*E225*G225</f>
        <v>80</v>
      </c>
      <c r="I225" s="251">
        <f>IF(G225&lt;70, C225*E225*16.5*1, C225*E225*16.5*1.3)</f>
        <v>33</v>
      </c>
      <c r="J225" s="695"/>
      <c r="K225" s="839"/>
      <c r="L225" s="895"/>
      <c r="M225" s="249"/>
      <c r="N225" s="249"/>
      <c r="O225" s="249"/>
      <c r="P225" s="249"/>
      <c r="Q225" s="249"/>
    </row>
    <row r="226" spans="1:17" s="825" customFormat="1" ht="25" customHeight="1" x14ac:dyDescent="0.25">
      <c r="A226" s="875" t="s">
        <v>285</v>
      </c>
      <c r="B226" s="806" t="s">
        <v>454</v>
      </c>
      <c r="C226" s="796">
        <v>4</v>
      </c>
      <c r="D226" s="796">
        <v>1</v>
      </c>
      <c r="E226" s="796">
        <v>1</v>
      </c>
      <c r="F226" s="898">
        <f>I226+J226+K226</f>
        <v>66</v>
      </c>
      <c r="G226" s="796">
        <v>40</v>
      </c>
      <c r="H226" s="249">
        <f>C226*E226*G226</f>
        <v>160</v>
      </c>
      <c r="I226" s="251">
        <f>IF(G226&lt;70, C226*E226*16.5*1, C226*E226*16.5*1.3)</f>
        <v>66</v>
      </c>
      <c r="J226" s="695"/>
      <c r="K226" s="839"/>
      <c r="L226" s="895"/>
      <c r="M226" s="249"/>
      <c r="N226" s="249"/>
      <c r="O226" s="249"/>
      <c r="P226" s="249"/>
      <c r="Q226" s="249"/>
    </row>
    <row r="227" spans="1:17" s="825" customFormat="1" ht="25" customHeight="1" x14ac:dyDescent="0.25">
      <c r="A227" s="875" t="s">
        <v>286</v>
      </c>
      <c r="B227" s="806" t="s">
        <v>455</v>
      </c>
      <c r="C227" s="796">
        <v>4</v>
      </c>
      <c r="D227" s="796">
        <v>1</v>
      </c>
      <c r="E227" s="796">
        <v>1</v>
      </c>
      <c r="F227" s="898">
        <f>I227+J227+K227</f>
        <v>66</v>
      </c>
      <c r="G227" s="796">
        <v>40</v>
      </c>
      <c r="H227" s="249">
        <f>C227*E227*G227</f>
        <v>160</v>
      </c>
      <c r="I227" s="251">
        <f>IF(G227&lt;70, C227*E227*16.5*1, C227*E227*16.5*1.3)</f>
        <v>66</v>
      </c>
      <c r="J227" s="695"/>
      <c r="K227" s="839"/>
      <c r="L227" s="895"/>
      <c r="M227" s="249"/>
      <c r="N227" s="249"/>
      <c r="O227" s="249"/>
      <c r="P227" s="249"/>
      <c r="Q227" s="249"/>
    </row>
    <row r="228" spans="1:17" s="825" customFormat="1" ht="25" customHeight="1" x14ac:dyDescent="0.25">
      <c r="A228" s="875" t="s">
        <v>289</v>
      </c>
      <c r="B228" s="806" t="s">
        <v>456</v>
      </c>
      <c r="C228" s="796">
        <v>3</v>
      </c>
      <c r="D228" s="796">
        <v>1</v>
      </c>
      <c r="E228" s="796">
        <v>1</v>
      </c>
      <c r="F228" s="898">
        <f>I228+J228+K228</f>
        <v>49.5</v>
      </c>
      <c r="G228" s="796">
        <v>40</v>
      </c>
      <c r="H228" s="249">
        <f>C228*E228*G228</f>
        <v>120</v>
      </c>
      <c r="I228" s="251">
        <f>IF(G228&lt;70, C228*E228*16.5*1, C228*E228*16.5*1.3)</f>
        <v>49.5</v>
      </c>
      <c r="J228" s="695"/>
      <c r="K228" s="839"/>
      <c r="L228" s="895"/>
      <c r="M228" s="249"/>
      <c r="N228" s="249"/>
      <c r="O228" s="249"/>
      <c r="P228" s="249"/>
      <c r="Q228" s="249"/>
    </row>
    <row r="229" spans="1:17" s="825" customFormat="1" ht="25" customHeight="1" x14ac:dyDescent="0.25">
      <c r="A229" s="875" t="s">
        <v>290</v>
      </c>
      <c r="B229" s="806" t="s">
        <v>457</v>
      </c>
      <c r="C229" s="796">
        <v>1</v>
      </c>
      <c r="D229" s="796">
        <v>1.3</v>
      </c>
      <c r="E229" s="796">
        <v>1</v>
      </c>
      <c r="F229" s="898">
        <f>I229+J229+K229</f>
        <v>16.5</v>
      </c>
      <c r="G229" s="796">
        <v>40</v>
      </c>
      <c r="H229" s="249">
        <f>C229*E229*G229</f>
        <v>40</v>
      </c>
      <c r="I229" s="251">
        <f>IF(G229&lt;70, C229*E229*16.5*1, C229*E229*16.5*1.3)</f>
        <v>16.5</v>
      </c>
      <c r="J229" s="695"/>
      <c r="K229" s="839"/>
      <c r="L229" s="895"/>
      <c r="M229" s="249"/>
      <c r="N229" s="249"/>
      <c r="O229" s="249"/>
      <c r="P229" s="249"/>
      <c r="Q229" s="249"/>
    </row>
    <row r="230" spans="1:17" s="825" customFormat="1" ht="25" customHeight="1" x14ac:dyDescent="0.25">
      <c r="A230" s="836" t="s">
        <v>148</v>
      </c>
      <c r="B230" s="851" t="s">
        <v>151</v>
      </c>
      <c r="C230" s="674"/>
      <c r="D230" s="674"/>
      <c r="E230" s="674"/>
      <c r="F230" s="249"/>
      <c r="G230" s="674"/>
      <c r="H230" s="249"/>
      <c r="I230" s="252"/>
      <c r="J230" s="869"/>
      <c r="K230" s="839"/>
      <c r="L230" s="895"/>
      <c r="M230" s="249"/>
      <c r="N230" s="249"/>
      <c r="O230" s="249"/>
      <c r="P230" s="249"/>
      <c r="Q230" s="249"/>
    </row>
    <row r="231" spans="1:17" s="825" customFormat="1" ht="25" customHeight="1" x14ac:dyDescent="0.25">
      <c r="A231" s="839" t="s">
        <v>232</v>
      </c>
      <c r="B231" s="826" t="s">
        <v>154</v>
      </c>
      <c r="C231" s="674"/>
      <c r="D231" s="674"/>
      <c r="E231" s="674"/>
      <c r="F231" s="249"/>
      <c r="G231" s="674"/>
      <c r="H231" s="249"/>
      <c r="I231" s="252"/>
      <c r="J231" s="869"/>
      <c r="K231" s="839"/>
      <c r="L231" s="895"/>
      <c r="M231" s="249"/>
      <c r="N231" s="249"/>
      <c r="O231" s="249"/>
      <c r="P231" s="249"/>
      <c r="Q231" s="249"/>
    </row>
    <row r="232" spans="1:17" s="825" customFormat="1" ht="25" customHeight="1" x14ac:dyDescent="0.25">
      <c r="A232" s="839" t="s">
        <v>233</v>
      </c>
      <c r="B232" s="826" t="s">
        <v>153</v>
      </c>
      <c r="C232" s="674"/>
      <c r="D232" s="674"/>
      <c r="E232" s="674"/>
      <c r="F232" s="249"/>
      <c r="G232" s="674"/>
      <c r="H232" s="249"/>
      <c r="I232" s="252"/>
      <c r="J232" s="869"/>
      <c r="K232" s="839"/>
      <c r="L232" s="895"/>
      <c r="M232" s="249"/>
      <c r="N232" s="249"/>
      <c r="O232" s="249"/>
      <c r="P232" s="249"/>
      <c r="Q232" s="249"/>
    </row>
    <row r="233" spans="1:17" s="825" customFormat="1" ht="25" customHeight="1" x14ac:dyDescent="0.25">
      <c r="A233" s="854" t="s">
        <v>234</v>
      </c>
      <c r="B233" s="899" t="s">
        <v>156</v>
      </c>
      <c r="C233" s="418">
        <v>5</v>
      </c>
      <c r="D233" s="418" t="s">
        <v>665</v>
      </c>
      <c r="E233" s="418">
        <v>1</v>
      </c>
      <c r="F233" s="900">
        <f>I233+J233+K233</f>
        <v>42</v>
      </c>
      <c r="G233" s="418">
        <v>21</v>
      </c>
      <c r="H233" s="414">
        <f>C233*E233*G233</f>
        <v>105</v>
      </c>
      <c r="I233" s="901">
        <f>21*2</f>
        <v>42</v>
      </c>
      <c r="J233" s="857"/>
      <c r="K233" s="854"/>
      <c r="L233" s="895"/>
      <c r="M233" s="249"/>
      <c r="N233" s="249"/>
      <c r="O233" s="249"/>
      <c r="P233" s="249"/>
      <c r="Q233" s="249"/>
    </row>
    <row r="234" spans="1:17" s="825" customFormat="1" ht="25" customHeight="1" x14ac:dyDescent="0.25">
      <c r="A234" s="854" t="s">
        <v>235</v>
      </c>
      <c r="B234" s="826" t="s">
        <v>157</v>
      </c>
      <c r="C234" s="674"/>
      <c r="D234" s="674"/>
      <c r="E234" s="674"/>
      <c r="F234" s="249"/>
      <c r="G234" s="674"/>
      <c r="H234" s="249"/>
      <c r="I234" s="252"/>
      <c r="J234" s="869"/>
      <c r="K234" s="839"/>
      <c r="L234" s="895"/>
      <c r="M234" s="249"/>
      <c r="N234" s="249"/>
      <c r="O234" s="249"/>
      <c r="P234" s="249"/>
      <c r="Q234" s="249"/>
    </row>
    <row r="235" spans="1:17" s="825" customFormat="1" ht="25" customHeight="1" x14ac:dyDescent="0.25">
      <c r="A235" s="852"/>
      <c r="B235" s="902" t="s">
        <v>380</v>
      </c>
      <c r="C235" s="903">
        <f>SUM(C217:C234)</f>
        <v>41</v>
      </c>
      <c r="D235" s="903">
        <f t="shared" ref="D235:I235" si="47">SUM(D217:D234)</f>
        <v>13.3</v>
      </c>
      <c r="E235" s="903">
        <f t="shared" si="47"/>
        <v>15</v>
      </c>
      <c r="F235" s="903">
        <f t="shared" si="47"/>
        <v>723.45</v>
      </c>
      <c r="G235" s="903">
        <f t="shared" si="47"/>
        <v>691</v>
      </c>
      <c r="H235" s="903">
        <f t="shared" si="47"/>
        <v>2025</v>
      </c>
      <c r="I235" s="903">
        <f t="shared" si="47"/>
        <v>723.45</v>
      </c>
      <c r="J235" s="903">
        <f>SUM(J217:J234)</f>
        <v>0</v>
      </c>
      <c r="K235" s="903">
        <f>SUM(K217:K234)</f>
        <v>0</v>
      </c>
      <c r="L235" s="826"/>
      <c r="M235" s="674"/>
      <c r="N235" s="674"/>
      <c r="O235" s="674"/>
      <c r="P235" s="674"/>
      <c r="Q235" s="674"/>
    </row>
    <row r="236" spans="1:17" s="825" customFormat="1" ht="25" customHeight="1" x14ac:dyDescent="0.25">
      <c r="A236" s="846">
        <v>2</v>
      </c>
      <c r="B236" s="846" t="s">
        <v>164</v>
      </c>
      <c r="C236" s="674"/>
      <c r="D236" s="674"/>
      <c r="E236" s="674"/>
      <c r="F236" s="249"/>
      <c r="G236" s="674"/>
      <c r="H236" s="249"/>
      <c r="I236" s="252"/>
      <c r="J236" s="869"/>
      <c r="K236" s="839"/>
      <c r="L236" s="895"/>
      <c r="M236" s="249"/>
      <c r="N236" s="249"/>
      <c r="O236" s="249"/>
      <c r="P236" s="249"/>
      <c r="Q236" s="249"/>
    </row>
    <row r="237" spans="1:17" s="825" customFormat="1" ht="25" customHeight="1" x14ac:dyDescent="0.25">
      <c r="A237" s="847" t="s">
        <v>147</v>
      </c>
      <c r="B237" s="848" t="s">
        <v>165</v>
      </c>
      <c r="C237" s="674"/>
      <c r="D237" s="674"/>
      <c r="E237" s="674"/>
      <c r="F237" s="249"/>
      <c r="G237" s="674"/>
      <c r="H237" s="249"/>
      <c r="I237" s="252"/>
      <c r="J237" s="869"/>
      <c r="K237" s="839"/>
      <c r="L237" s="895"/>
      <c r="M237" s="249"/>
      <c r="N237" s="249"/>
      <c r="O237" s="249"/>
      <c r="P237" s="249"/>
      <c r="Q237" s="249"/>
    </row>
    <row r="238" spans="1:17" s="825" customFormat="1" ht="25" customHeight="1" x14ac:dyDescent="0.25">
      <c r="A238" s="826" t="s">
        <v>226</v>
      </c>
      <c r="B238" s="849" t="s">
        <v>458</v>
      </c>
      <c r="C238" s="674">
        <v>3</v>
      </c>
      <c r="D238" s="674">
        <v>1</v>
      </c>
      <c r="E238" s="796">
        <v>6</v>
      </c>
      <c r="F238" s="253">
        <f t="shared" ref="F238:F250" si="48">I238+J238+K24</f>
        <v>207.89999999999998</v>
      </c>
      <c r="G238" s="674">
        <v>30</v>
      </c>
      <c r="H238" s="249">
        <f>C238*E238*G238</f>
        <v>540</v>
      </c>
      <c r="I238" s="251">
        <f t="shared" ref="I238:I245" si="49">C238*E238*16.5*0.7</f>
        <v>207.89999999999998</v>
      </c>
      <c r="J238" s="869"/>
      <c r="K238" s="839"/>
      <c r="L238" s="895"/>
      <c r="M238" s="249"/>
      <c r="N238" s="249"/>
      <c r="O238" s="249"/>
      <c r="P238" s="249"/>
      <c r="Q238" s="249"/>
    </row>
    <row r="239" spans="1:17" s="825" customFormat="1" ht="25" customHeight="1" x14ac:dyDescent="0.25">
      <c r="A239" s="826" t="s">
        <v>227</v>
      </c>
      <c r="B239" s="849" t="s">
        <v>459</v>
      </c>
      <c r="C239" s="674">
        <v>3</v>
      </c>
      <c r="D239" s="674">
        <v>1</v>
      </c>
      <c r="E239" s="796">
        <v>6</v>
      </c>
      <c r="F239" s="253">
        <f t="shared" si="48"/>
        <v>207.89999999999998</v>
      </c>
      <c r="G239" s="674">
        <v>30</v>
      </c>
      <c r="H239" s="249">
        <f t="shared" ref="H239:H250" si="50">C239*E239*G239</f>
        <v>540</v>
      </c>
      <c r="I239" s="251">
        <f t="shared" si="49"/>
        <v>207.89999999999998</v>
      </c>
      <c r="J239" s="869"/>
      <c r="K239" s="839"/>
      <c r="L239" s="895"/>
      <c r="M239" s="249"/>
      <c r="N239" s="249"/>
      <c r="O239" s="249"/>
      <c r="P239" s="249"/>
      <c r="Q239" s="249"/>
    </row>
    <row r="240" spans="1:17" s="825" customFormat="1" ht="25" customHeight="1" x14ac:dyDescent="0.25">
      <c r="A240" s="826" t="s">
        <v>228</v>
      </c>
      <c r="B240" s="849" t="s">
        <v>460</v>
      </c>
      <c r="C240" s="674">
        <v>3</v>
      </c>
      <c r="D240" s="674">
        <v>1</v>
      </c>
      <c r="E240" s="796">
        <v>2</v>
      </c>
      <c r="F240" s="253">
        <f t="shared" si="48"/>
        <v>69.3</v>
      </c>
      <c r="G240" s="674">
        <v>30</v>
      </c>
      <c r="H240" s="249">
        <f t="shared" si="50"/>
        <v>180</v>
      </c>
      <c r="I240" s="251">
        <f t="shared" si="49"/>
        <v>69.3</v>
      </c>
      <c r="J240" s="869"/>
      <c r="K240" s="839"/>
      <c r="L240" s="895"/>
      <c r="M240" s="249"/>
      <c r="N240" s="249"/>
      <c r="O240" s="249"/>
      <c r="P240" s="249"/>
      <c r="Q240" s="249"/>
    </row>
    <row r="241" spans="1:17" s="825" customFormat="1" ht="25" customHeight="1" x14ac:dyDescent="0.25">
      <c r="A241" s="826" t="s">
        <v>229</v>
      </c>
      <c r="B241" s="849" t="s">
        <v>461</v>
      </c>
      <c r="C241" s="674">
        <v>3</v>
      </c>
      <c r="D241" s="674">
        <v>1</v>
      </c>
      <c r="E241" s="796">
        <v>2</v>
      </c>
      <c r="F241" s="253">
        <f t="shared" si="48"/>
        <v>69.3</v>
      </c>
      <c r="G241" s="674">
        <v>30</v>
      </c>
      <c r="H241" s="249">
        <f t="shared" si="50"/>
        <v>180</v>
      </c>
      <c r="I241" s="251">
        <f t="shared" si="49"/>
        <v>69.3</v>
      </c>
      <c r="J241" s="869"/>
      <c r="K241" s="839"/>
      <c r="L241" s="895"/>
      <c r="M241" s="249"/>
      <c r="N241" s="249"/>
      <c r="O241" s="249"/>
      <c r="P241" s="249"/>
      <c r="Q241" s="249"/>
    </row>
    <row r="242" spans="1:17" s="825" customFormat="1" ht="25" customHeight="1" x14ac:dyDescent="0.25">
      <c r="A242" s="826" t="s">
        <v>230</v>
      </c>
      <c r="B242" s="850" t="s">
        <v>462</v>
      </c>
      <c r="C242" s="674">
        <v>3</v>
      </c>
      <c r="D242" s="674">
        <v>1</v>
      </c>
      <c r="E242" s="796">
        <v>6</v>
      </c>
      <c r="F242" s="253">
        <f t="shared" si="48"/>
        <v>207.89999999999998</v>
      </c>
      <c r="G242" s="674">
        <v>30</v>
      </c>
      <c r="H242" s="249">
        <f t="shared" si="50"/>
        <v>540</v>
      </c>
      <c r="I242" s="251">
        <f t="shared" si="49"/>
        <v>207.89999999999998</v>
      </c>
      <c r="J242" s="869"/>
      <c r="K242" s="839"/>
      <c r="L242" s="895"/>
      <c r="M242" s="249"/>
      <c r="N242" s="249"/>
      <c r="O242" s="249"/>
      <c r="P242" s="249"/>
      <c r="Q242" s="249"/>
    </row>
    <row r="243" spans="1:17" s="825" customFormat="1" ht="25" customHeight="1" x14ac:dyDescent="0.25">
      <c r="A243" s="826" t="s">
        <v>231</v>
      </c>
      <c r="B243" s="850" t="s">
        <v>463</v>
      </c>
      <c r="C243" s="674">
        <v>3</v>
      </c>
      <c r="D243" s="674">
        <v>1</v>
      </c>
      <c r="E243" s="796">
        <v>6</v>
      </c>
      <c r="F243" s="253">
        <f t="shared" si="48"/>
        <v>207.89999999999998</v>
      </c>
      <c r="G243" s="674">
        <v>30</v>
      </c>
      <c r="H243" s="249">
        <f t="shared" si="50"/>
        <v>540</v>
      </c>
      <c r="I243" s="251">
        <f t="shared" si="49"/>
        <v>207.89999999999998</v>
      </c>
      <c r="J243" s="869"/>
      <c r="K243" s="836"/>
      <c r="L243" s="245"/>
      <c r="M243" s="302"/>
      <c r="N243" s="302"/>
      <c r="O243" s="302"/>
      <c r="P243" s="302"/>
      <c r="Q243" s="302"/>
    </row>
    <row r="244" spans="1:17" s="825" customFormat="1" ht="25" customHeight="1" x14ac:dyDescent="0.25">
      <c r="A244" s="826" t="s">
        <v>282</v>
      </c>
      <c r="B244" s="850" t="s">
        <v>464</v>
      </c>
      <c r="C244" s="674">
        <v>3</v>
      </c>
      <c r="D244" s="674">
        <v>1</v>
      </c>
      <c r="E244" s="796">
        <v>2</v>
      </c>
      <c r="F244" s="253">
        <f t="shared" si="48"/>
        <v>69.3</v>
      </c>
      <c r="G244" s="674">
        <v>30</v>
      </c>
      <c r="H244" s="249">
        <f t="shared" si="50"/>
        <v>180</v>
      </c>
      <c r="I244" s="251">
        <f t="shared" si="49"/>
        <v>69.3</v>
      </c>
      <c r="J244" s="869"/>
      <c r="K244" s="846"/>
      <c r="L244" s="242"/>
      <c r="M244" s="302"/>
      <c r="N244" s="302"/>
      <c r="O244" s="302"/>
      <c r="P244" s="302"/>
      <c r="Q244" s="302"/>
    </row>
    <row r="245" spans="1:17" s="825" customFormat="1" ht="25" customHeight="1" x14ac:dyDescent="0.25">
      <c r="A245" s="826" t="s">
        <v>283</v>
      </c>
      <c r="B245" s="850" t="s">
        <v>465</v>
      </c>
      <c r="C245" s="674">
        <v>3</v>
      </c>
      <c r="D245" s="674">
        <v>1</v>
      </c>
      <c r="E245" s="796">
        <v>2</v>
      </c>
      <c r="F245" s="253">
        <f t="shared" si="48"/>
        <v>69.3</v>
      </c>
      <c r="G245" s="674">
        <v>30</v>
      </c>
      <c r="H245" s="249">
        <f t="shared" si="50"/>
        <v>180</v>
      </c>
      <c r="I245" s="251">
        <f t="shared" si="49"/>
        <v>69.3</v>
      </c>
      <c r="J245" s="869"/>
      <c r="K245" s="836"/>
      <c r="L245" s="242"/>
      <c r="M245" s="302"/>
      <c r="N245" s="302"/>
      <c r="O245" s="302"/>
      <c r="P245" s="302"/>
      <c r="Q245" s="302"/>
    </row>
    <row r="246" spans="1:17" s="825" customFormat="1" ht="25" customHeight="1" x14ac:dyDescent="0.25">
      <c r="A246" s="826" t="s">
        <v>284</v>
      </c>
      <c r="B246" s="850" t="s">
        <v>466</v>
      </c>
      <c r="C246" s="674">
        <v>3</v>
      </c>
      <c r="D246" s="674">
        <v>1</v>
      </c>
      <c r="E246" s="796">
        <v>6</v>
      </c>
      <c r="F246" s="253">
        <f t="shared" si="48"/>
        <v>207.89999999999998</v>
      </c>
      <c r="G246" s="674">
        <v>30</v>
      </c>
      <c r="H246" s="249">
        <f t="shared" si="50"/>
        <v>540</v>
      </c>
      <c r="I246" s="904"/>
      <c r="J246" s="251">
        <f>C246*E246*16.5*0.7</f>
        <v>207.89999999999998</v>
      </c>
      <c r="K246" s="846"/>
      <c r="L246" s="242"/>
      <c r="M246" s="302"/>
      <c r="N246" s="302"/>
      <c r="O246" s="302"/>
      <c r="P246" s="302"/>
      <c r="Q246" s="302"/>
    </row>
    <row r="247" spans="1:17" s="825" customFormat="1" ht="25" customHeight="1" x14ac:dyDescent="0.25">
      <c r="A247" s="826" t="s">
        <v>285</v>
      </c>
      <c r="B247" s="850" t="s">
        <v>467</v>
      </c>
      <c r="C247" s="674">
        <v>3</v>
      </c>
      <c r="D247" s="674">
        <v>1</v>
      </c>
      <c r="E247" s="796">
        <v>6</v>
      </c>
      <c r="F247" s="253">
        <f t="shared" si="48"/>
        <v>207.89999999999998</v>
      </c>
      <c r="G247" s="674">
        <v>30</v>
      </c>
      <c r="H247" s="249">
        <f t="shared" si="50"/>
        <v>540</v>
      </c>
      <c r="I247" s="904"/>
      <c r="J247" s="251">
        <f>C247*E247*16.5*0.7</f>
        <v>207.89999999999998</v>
      </c>
      <c r="K247" s="846"/>
      <c r="L247" s="242"/>
      <c r="M247" s="302"/>
      <c r="N247" s="302"/>
      <c r="O247" s="302"/>
      <c r="P247" s="302"/>
      <c r="Q247" s="302"/>
    </row>
    <row r="248" spans="1:17" s="870" customFormat="1" ht="25" customHeight="1" x14ac:dyDescent="0.25">
      <c r="A248" s="826" t="s">
        <v>286</v>
      </c>
      <c r="B248" s="850" t="s">
        <v>468</v>
      </c>
      <c r="C248" s="674">
        <v>3</v>
      </c>
      <c r="D248" s="674">
        <v>1</v>
      </c>
      <c r="E248" s="796">
        <v>2</v>
      </c>
      <c r="F248" s="253">
        <f t="shared" si="48"/>
        <v>69.3</v>
      </c>
      <c r="G248" s="674">
        <v>30</v>
      </c>
      <c r="H248" s="249">
        <f t="shared" si="50"/>
        <v>180</v>
      </c>
      <c r="I248" s="905"/>
      <c r="J248" s="251">
        <f>C248*E248*16.5*0.7</f>
        <v>69.3</v>
      </c>
      <c r="K248" s="839"/>
      <c r="L248" s="258"/>
      <c r="M248" s="302"/>
      <c r="N248" s="302"/>
      <c r="O248" s="302"/>
      <c r="P248" s="302"/>
      <c r="Q248" s="302"/>
    </row>
    <row r="249" spans="1:17" s="870" customFormat="1" ht="25" customHeight="1" x14ac:dyDescent="0.25">
      <c r="A249" s="826" t="s">
        <v>289</v>
      </c>
      <c r="B249" s="850" t="s">
        <v>469</v>
      </c>
      <c r="C249" s="674">
        <v>3</v>
      </c>
      <c r="D249" s="674">
        <v>1</v>
      </c>
      <c r="E249" s="796">
        <v>2</v>
      </c>
      <c r="F249" s="253">
        <f t="shared" si="48"/>
        <v>69.3</v>
      </c>
      <c r="G249" s="674">
        <v>30</v>
      </c>
      <c r="H249" s="249">
        <f t="shared" si="50"/>
        <v>180</v>
      </c>
      <c r="I249" s="905"/>
      <c r="J249" s="251">
        <f>C249*E249*16.5*0.7</f>
        <v>69.3</v>
      </c>
      <c r="K249" s="839"/>
      <c r="L249" s="258"/>
      <c r="M249" s="302"/>
      <c r="N249" s="302"/>
      <c r="O249" s="302"/>
      <c r="P249" s="302"/>
      <c r="Q249" s="302"/>
    </row>
    <row r="250" spans="1:17" s="870" customFormat="1" ht="25" customHeight="1" x14ac:dyDescent="0.3">
      <c r="A250" s="826" t="s">
        <v>290</v>
      </c>
      <c r="B250" s="850" t="s">
        <v>463</v>
      </c>
      <c r="C250" s="674">
        <v>3</v>
      </c>
      <c r="D250" s="674">
        <v>1</v>
      </c>
      <c r="E250" s="796">
        <v>6</v>
      </c>
      <c r="F250" s="253">
        <f t="shared" si="48"/>
        <v>207.89999999999998</v>
      </c>
      <c r="G250" s="674">
        <v>30</v>
      </c>
      <c r="H250" s="249">
        <f t="shared" si="50"/>
        <v>540</v>
      </c>
      <c r="I250" s="252"/>
      <c r="J250" s="251">
        <f>C250*E250*16.5*0.7</f>
        <v>207.89999999999998</v>
      </c>
      <c r="K250" s="906"/>
      <c r="L250" s="303"/>
      <c r="M250" s="304"/>
      <c r="N250" s="304"/>
      <c r="O250" s="304"/>
      <c r="P250" s="304"/>
      <c r="Q250" s="304"/>
    </row>
    <row r="251" spans="1:17" s="870" customFormat="1" ht="25" customHeight="1" x14ac:dyDescent="0.3">
      <c r="A251" s="836" t="s">
        <v>148</v>
      </c>
      <c r="B251" s="851" t="s">
        <v>812</v>
      </c>
      <c r="C251" s="674"/>
      <c r="D251" s="674"/>
      <c r="E251" s="674"/>
      <c r="F251" s="249"/>
      <c r="G251" s="674"/>
      <c r="H251" s="249"/>
      <c r="I251" s="252"/>
      <c r="J251" s="869"/>
      <c r="K251" s="906"/>
      <c r="L251" s="303"/>
      <c r="M251" s="304"/>
      <c r="N251" s="304"/>
      <c r="O251" s="304"/>
      <c r="P251" s="304"/>
      <c r="Q251" s="304"/>
    </row>
    <row r="252" spans="1:17" s="870" customFormat="1" ht="25" customHeight="1" x14ac:dyDescent="0.3">
      <c r="A252" s="839" t="s">
        <v>512</v>
      </c>
      <c r="B252" s="826" t="s">
        <v>471</v>
      </c>
      <c r="C252" s="674">
        <v>15</v>
      </c>
      <c r="D252" s="674">
        <v>1</v>
      </c>
      <c r="E252" s="674">
        <v>1</v>
      </c>
      <c r="F252" s="253">
        <f>I252+J252+K252</f>
        <v>175</v>
      </c>
      <c r="G252" s="674">
        <v>5</v>
      </c>
      <c r="H252" s="249">
        <f>C252*G252</f>
        <v>75</v>
      </c>
      <c r="I252" s="251">
        <f>G252*35</f>
        <v>175</v>
      </c>
      <c r="J252" s="869"/>
      <c r="K252" s="906"/>
      <c r="L252" s="305"/>
      <c r="M252" s="305"/>
      <c r="N252" s="305"/>
      <c r="O252" s="305"/>
      <c r="P252" s="305"/>
      <c r="Q252" s="305"/>
    </row>
    <row r="253" spans="1:17" s="870" customFormat="1" ht="25" customHeight="1" x14ac:dyDescent="0.3">
      <c r="A253" s="839" t="s">
        <v>513</v>
      </c>
      <c r="B253" s="826" t="s">
        <v>666</v>
      </c>
      <c r="C253" s="674">
        <v>15</v>
      </c>
      <c r="D253" s="674">
        <v>1</v>
      </c>
      <c r="E253" s="674">
        <v>1</v>
      </c>
      <c r="F253" s="253">
        <f>I253+K253+J253</f>
        <v>245</v>
      </c>
      <c r="G253" s="674">
        <v>7</v>
      </c>
      <c r="H253" s="249">
        <f t="shared" ref="H253:H266" si="51">C253*G253</f>
        <v>105</v>
      </c>
      <c r="I253" s="251"/>
      <c r="K253" s="790">
        <f>G253*35</f>
        <v>245</v>
      </c>
      <c r="L253" s="304"/>
      <c r="M253" s="304"/>
      <c r="N253" s="304"/>
      <c r="O253" s="304"/>
      <c r="P253" s="304"/>
      <c r="Q253" s="304"/>
    </row>
    <row r="254" spans="1:17" s="870" customFormat="1" ht="25" customHeight="1" x14ac:dyDescent="0.3">
      <c r="A254" s="839" t="s">
        <v>514</v>
      </c>
      <c r="B254" s="826" t="s">
        <v>472</v>
      </c>
      <c r="C254" s="674">
        <v>15</v>
      </c>
      <c r="D254" s="674">
        <v>1</v>
      </c>
      <c r="E254" s="674">
        <v>1</v>
      </c>
      <c r="F254" s="253">
        <f t="shared" ref="F254:F267" si="52">I254+J254+K254</f>
        <v>175</v>
      </c>
      <c r="G254" s="674">
        <v>5</v>
      </c>
      <c r="H254" s="249">
        <f t="shared" si="51"/>
        <v>75</v>
      </c>
      <c r="I254" s="251">
        <f>G254*35</f>
        <v>175</v>
      </c>
      <c r="J254" s="790"/>
      <c r="K254" s="906"/>
      <c r="L254" s="307"/>
      <c r="M254" s="307"/>
      <c r="N254" s="307"/>
      <c r="O254" s="307"/>
      <c r="P254" s="307"/>
      <c r="Q254" s="307"/>
    </row>
    <row r="255" spans="1:17" s="870" customFormat="1" ht="25" customHeight="1" x14ac:dyDescent="0.3">
      <c r="A255" s="839" t="s">
        <v>515</v>
      </c>
      <c r="B255" s="826" t="s">
        <v>473</v>
      </c>
      <c r="C255" s="674">
        <v>15</v>
      </c>
      <c r="D255" s="674">
        <v>1</v>
      </c>
      <c r="E255" s="674">
        <v>1</v>
      </c>
      <c r="F255" s="253">
        <f t="shared" si="52"/>
        <v>175</v>
      </c>
      <c r="G255" s="674">
        <v>5</v>
      </c>
      <c r="H255" s="249">
        <f t="shared" si="51"/>
        <v>75</v>
      </c>
      <c r="I255" s="252"/>
      <c r="J255" s="790">
        <f>G255*35</f>
        <v>175</v>
      </c>
      <c r="K255" s="906"/>
      <c r="L255" s="303"/>
      <c r="M255" s="1449"/>
      <c r="N255" s="1449"/>
      <c r="O255" s="1449"/>
      <c r="P255" s="1449"/>
      <c r="Q255" s="1449"/>
    </row>
    <row r="256" spans="1:17" s="870" customFormat="1" ht="25" customHeight="1" x14ac:dyDescent="0.3">
      <c r="A256" s="839" t="s">
        <v>516</v>
      </c>
      <c r="B256" s="826" t="s">
        <v>474</v>
      </c>
      <c r="C256" s="674">
        <v>15</v>
      </c>
      <c r="D256" s="674">
        <v>1</v>
      </c>
      <c r="E256" s="674">
        <v>1</v>
      </c>
      <c r="F256" s="253">
        <f t="shared" si="52"/>
        <v>175</v>
      </c>
      <c r="G256" s="674">
        <v>5</v>
      </c>
      <c r="H256" s="249">
        <f t="shared" si="51"/>
        <v>75</v>
      </c>
      <c r="I256" s="252"/>
      <c r="J256" s="790">
        <f>G256*35</f>
        <v>175</v>
      </c>
      <c r="K256" s="906"/>
      <c r="L256" s="303"/>
      <c r="M256" s="304"/>
      <c r="N256" s="304"/>
      <c r="O256" s="304"/>
      <c r="P256" s="304"/>
      <c r="Q256" s="304"/>
    </row>
    <row r="257" spans="1:17" ht="25" customHeight="1" x14ac:dyDescent="0.3">
      <c r="A257" s="839" t="s">
        <v>517</v>
      </c>
      <c r="B257" s="826" t="s">
        <v>508</v>
      </c>
      <c r="C257" s="674">
        <v>15</v>
      </c>
      <c r="D257" s="674">
        <v>1</v>
      </c>
      <c r="E257" s="674">
        <v>1</v>
      </c>
      <c r="F257" s="253">
        <f t="shared" si="52"/>
        <v>175</v>
      </c>
      <c r="G257" s="674">
        <v>5</v>
      </c>
      <c r="H257" s="249">
        <f t="shared" si="51"/>
        <v>75</v>
      </c>
      <c r="I257" s="251">
        <f t="shared" ref="I257:I262" si="53">G257*35</f>
        <v>175</v>
      </c>
      <c r="J257" s="907"/>
      <c r="K257" s="906"/>
      <c r="L257" s="303"/>
      <c r="M257" s="304"/>
      <c r="N257" s="304"/>
      <c r="O257" s="304"/>
      <c r="P257" s="304"/>
      <c r="Q257" s="304"/>
    </row>
    <row r="258" spans="1:17" ht="25" customHeight="1" x14ac:dyDescent="0.3">
      <c r="A258" s="839" t="s">
        <v>518</v>
      </c>
      <c r="B258" s="826" t="s">
        <v>509</v>
      </c>
      <c r="C258" s="674">
        <v>15</v>
      </c>
      <c r="D258" s="674">
        <v>1</v>
      </c>
      <c r="E258" s="674">
        <v>1</v>
      </c>
      <c r="F258" s="253">
        <f t="shared" si="52"/>
        <v>175</v>
      </c>
      <c r="G258" s="674">
        <v>5</v>
      </c>
      <c r="H258" s="249">
        <f t="shared" si="51"/>
        <v>75</v>
      </c>
      <c r="I258" s="251">
        <f t="shared" si="53"/>
        <v>175</v>
      </c>
      <c r="J258" s="907"/>
      <c r="K258" s="906"/>
      <c r="L258" s="303"/>
      <c r="M258" s="308"/>
      <c r="N258" s="308"/>
      <c r="O258" s="308"/>
      <c r="P258" s="308"/>
      <c r="Q258" s="308"/>
    </row>
    <row r="259" spans="1:17" ht="25" customHeight="1" x14ac:dyDescent="0.3">
      <c r="A259" s="839" t="s">
        <v>519</v>
      </c>
      <c r="B259" s="826" t="s">
        <v>510</v>
      </c>
      <c r="C259" s="674">
        <v>15</v>
      </c>
      <c r="D259" s="674">
        <v>1</v>
      </c>
      <c r="E259" s="674">
        <v>1</v>
      </c>
      <c r="F259" s="253">
        <f t="shared" si="52"/>
        <v>175</v>
      </c>
      <c r="G259" s="674">
        <v>5</v>
      </c>
      <c r="H259" s="249">
        <f t="shared" si="51"/>
        <v>75</v>
      </c>
      <c r="I259" s="251">
        <f t="shared" si="53"/>
        <v>175</v>
      </c>
      <c r="J259" s="908"/>
      <c r="K259" s="906"/>
      <c r="L259" s="303"/>
      <c r="M259" s="308"/>
      <c r="N259" s="308"/>
      <c r="O259" s="308"/>
      <c r="P259" s="308"/>
      <c r="Q259" s="308"/>
    </row>
    <row r="260" spans="1:17" ht="25" customHeight="1" x14ac:dyDescent="0.3">
      <c r="A260" s="839" t="s">
        <v>520</v>
      </c>
      <c r="B260" s="826" t="s">
        <v>511</v>
      </c>
      <c r="C260" s="674">
        <v>15</v>
      </c>
      <c r="D260" s="674">
        <v>1</v>
      </c>
      <c r="E260" s="674">
        <v>1</v>
      </c>
      <c r="F260" s="253">
        <f t="shared" si="52"/>
        <v>175</v>
      </c>
      <c r="G260" s="674">
        <v>5</v>
      </c>
      <c r="H260" s="249">
        <f t="shared" si="51"/>
        <v>75</v>
      </c>
      <c r="I260" s="251">
        <f t="shared" si="53"/>
        <v>175</v>
      </c>
      <c r="J260" s="790"/>
      <c r="K260" s="906"/>
      <c r="L260" s="303"/>
      <c r="M260" s="308"/>
      <c r="N260" s="308"/>
      <c r="O260" s="308"/>
      <c r="P260" s="308"/>
      <c r="Q260" s="308"/>
    </row>
    <row r="261" spans="1:17" ht="25" customHeight="1" x14ac:dyDescent="0.3">
      <c r="A261" s="839" t="s">
        <v>521</v>
      </c>
      <c r="B261" s="826" t="s">
        <v>566</v>
      </c>
      <c r="C261" s="674">
        <v>15</v>
      </c>
      <c r="D261" s="674">
        <v>1</v>
      </c>
      <c r="E261" s="674">
        <v>1</v>
      </c>
      <c r="F261" s="253">
        <f t="shared" si="52"/>
        <v>175</v>
      </c>
      <c r="G261" s="674">
        <v>5</v>
      </c>
      <c r="H261" s="249">
        <f t="shared" si="51"/>
        <v>75</v>
      </c>
      <c r="I261" s="251">
        <f t="shared" si="53"/>
        <v>175</v>
      </c>
      <c r="J261" s="790"/>
      <c r="K261" s="906"/>
      <c r="L261" s="303"/>
      <c r="M261" s="308"/>
      <c r="N261" s="308"/>
      <c r="O261" s="308"/>
      <c r="P261" s="308"/>
      <c r="Q261" s="308"/>
    </row>
    <row r="262" spans="1:17" ht="25" customHeight="1" x14ac:dyDescent="0.3">
      <c r="A262" s="839" t="s">
        <v>667</v>
      </c>
      <c r="B262" s="826" t="s">
        <v>668</v>
      </c>
      <c r="C262" s="674">
        <v>15</v>
      </c>
      <c r="D262" s="674">
        <v>1</v>
      </c>
      <c r="E262" s="674">
        <v>1</v>
      </c>
      <c r="F262" s="253">
        <f t="shared" si="52"/>
        <v>175</v>
      </c>
      <c r="G262" s="674">
        <v>5</v>
      </c>
      <c r="H262" s="249">
        <f t="shared" si="51"/>
        <v>75</v>
      </c>
      <c r="I262" s="251">
        <f t="shared" si="53"/>
        <v>175</v>
      </c>
      <c r="J262" s="790"/>
      <c r="K262" s="906"/>
      <c r="L262" s="303"/>
      <c r="M262" s="308"/>
      <c r="N262" s="308"/>
      <c r="O262" s="308"/>
      <c r="P262" s="308"/>
      <c r="Q262" s="308"/>
    </row>
    <row r="263" spans="1:17" ht="25" customHeight="1" x14ac:dyDescent="0.3">
      <c r="A263" s="839" t="s">
        <v>669</v>
      </c>
      <c r="B263" s="826" t="s">
        <v>670</v>
      </c>
      <c r="C263" s="674">
        <v>15</v>
      </c>
      <c r="D263" s="674">
        <v>1</v>
      </c>
      <c r="E263" s="674">
        <v>1</v>
      </c>
      <c r="F263" s="253">
        <f t="shared" si="52"/>
        <v>70</v>
      </c>
      <c r="G263" s="674">
        <v>2</v>
      </c>
      <c r="H263" s="249">
        <f>C263*G263</f>
        <v>30</v>
      </c>
      <c r="I263" s="251"/>
      <c r="J263" s="790">
        <f>G263*35</f>
        <v>70</v>
      </c>
      <c r="K263" s="906"/>
      <c r="L263" s="303"/>
      <c r="M263" s="308"/>
      <c r="N263" s="308"/>
      <c r="O263" s="308"/>
      <c r="P263" s="308"/>
      <c r="Q263" s="308"/>
    </row>
    <row r="264" spans="1:17" ht="25" customHeight="1" x14ac:dyDescent="0.3">
      <c r="A264" s="839" t="s">
        <v>671</v>
      </c>
      <c r="B264" s="826" t="s">
        <v>672</v>
      </c>
      <c r="C264" s="674">
        <v>15</v>
      </c>
      <c r="D264" s="674">
        <v>1</v>
      </c>
      <c r="E264" s="674">
        <v>1</v>
      </c>
      <c r="F264" s="253">
        <f t="shared" si="52"/>
        <v>70</v>
      </c>
      <c r="G264" s="674">
        <v>2</v>
      </c>
      <c r="H264" s="249">
        <f t="shared" si="51"/>
        <v>30</v>
      </c>
      <c r="I264" s="251"/>
      <c r="J264" s="790">
        <f>G264*35</f>
        <v>70</v>
      </c>
      <c r="K264" s="906"/>
      <c r="L264" s="303"/>
      <c r="M264" s="309"/>
      <c r="N264" s="309"/>
      <c r="O264" s="309"/>
      <c r="P264" s="309"/>
      <c r="Q264" s="309"/>
    </row>
    <row r="265" spans="1:17" ht="25" customHeight="1" x14ac:dyDescent="0.3">
      <c r="A265" s="909"/>
      <c r="B265" s="840" t="s">
        <v>672</v>
      </c>
      <c r="C265" s="796">
        <v>15</v>
      </c>
      <c r="D265" s="796">
        <v>1</v>
      </c>
      <c r="E265" s="796">
        <v>1</v>
      </c>
      <c r="F265" s="910"/>
      <c r="G265" s="796">
        <v>2</v>
      </c>
      <c r="H265" s="796">
        <f t="shared" si="51"/>
        <v>30</v>
      </c>
      <c r="I265" s="804"/>
      <c r="J265" s="790">
        <f>G265*35</f>
        <v>70</v>
      </c>
      <c r="K265" s="911"/>
      <c r="L265" s="911"/>
      <c r="M265" s="912"/>
      <c r="N265" s="912"/>
      <c r="O265" s="912"/>
      <c r="P265" s="912"/>
      <c r="Q265" s="912"/>
    </row>
    <row r="266" spans="1:17" ht="25" customHeight="1" x14ac:dyDescent="0.3">
      <c r="A266" s="909"/>
      <c r="B266" s="840" t="s">
        <v>973</v>
      </c>
      <c r="C266" s="796">
        <v>15</v>
      </c>
      <c r="D266" s="796">
        <v>1</v>
      </c>
      <c r="E266" s="796">
        <v>1</v>
      </c>
      <c r="F266" s="910"/>
      <c r="G266" s="796">
        <v>2</v>
      </c>
      <c r="H266" s="796">
        <f t="shared" si="51"/>
        <v>30</v>
      </c>
      <c r="I266" s="804"/>
      <c r="J266" s="790">
        <f>G266*35</f>
        <v>70</v>
      </c>
      <c r="K266" s="911"/>
      <c r="L266" s="911"/>
      <c r="M266" s="912"/>
      <c r="N266" s="912"/>
      <c r="O266" s="912"/>
      <c r="P266" s="912"/>
      <c r="Q266" s="912"/>
    </row>
    <row r="267" spans="1:17" ht="25" customHeight="1" x14ac:dyDescent="0.3">
      <c r="A267" s="888"/>
      <c r="B267" s="913" t="s">
        <v>974</v>
      </c>
      <c r="C267" s="674">
        <v>15</v>
      </c>
      <c r="D267" s="674">
        <v>1</v>
      </c>
      <c r="E267" s="674">
        <v>1</v>
      </c>
      <c r="F267" s="253">
        <f t="shared" si="52"/>
        <v>2625</v>
      </c>
      <c r="G267" s="674">
        <v>75</v>
      </c>
      <c r="H267" s="249">
        <f>C267*G267</f>
        <v>1125</v>
      </c>
      <c r="I267" s="251"/>
      <c r="J267" s="790"/>
      <c r="K267" s="790">
        <f>G267*35</f>
        <v>2625</v>
      </c>
      <c r="L267" s="303"/>
      <c r="M267" s="304"/>
      <c r="N267" s="304"/>
      <c r="O267" s="304"/>
      <c r="P267" s="304"/>
      <c r="Q267" s="304"/>
    </row>
    <row r="268" spans="1:17" ht="25" customHeight="1" x14ac:dyDescent="0.3">
      <c r="A268" s="841"/>
      <c r="B268" s="842" t="s">
        <v>380</v>
      </c>
      <c r="C268" s="843">
        <f>SUM(C238:C267)</f>
        <v>279</v>
      </c>
      <c r="D268" s="843">
        <f t="shared" ref="D268:J268" si="54">SUM(D238:D267)</f>
        <v>29</v>
      </c>
      <c r="E268" s="843">
        <f t="shared" si="54"/>
        <v>70</v>
      </c>
      <c r="F268" s="843">
        <f t="shared" si="54"/>
        <v>6631.1</v>
      </c>
      <c r="G268" s="843">
        <f t="shared" si="54"/>
        <v>530</v>
      </c>
      <c r="H268" s="843">
        <f t="shared" si="54"/>
        <v>6960</v>
      </c>
      <c r="I268" s="843">
        <f t="shared" si="54"/>
        <v>2508.8000000000002</v>
      </c>
      <c r="J268" s="843">
        <f t="shared" si="54"/>
        <v>1392.3</v>
      </c>
      <c r="K268" s="843">
        <f>SUM(K238:K267)</f>
        <v>2870</v>
      </c>
      <c r="L268" s="303"/>
      <c r="M268" s="304"/>
      <c r="N268" s="304"/>
      <c r="O268" s="304"/>
      <c r="P268" s="304"/>
      <c r="Q268" s="304"/>
    </row>
    <row r="269" spans="1:17" ht="25" customHeight="1" x14ac:dyDescent="0.3">
      <c r="A269" s="846">
        <v>3</v>
      </c>
      <c r="B269" s="846" t="s">
        <v>166</v>
      </c>
      <c r="C269" s="674"/>
      <c r="D269" s="674"/>
      <c r="E269" s="674"/>
      <c r="F269" s="253"/>
      <c r="G269" s="674"/>
      <c r="H269" s="249"/>
      <c r="I269" s="251"/>
      <c r="J269" s="869"/>
      <c r="K269" s="906"/>
      <c r="L269" s="303"/>
      <c r="M269" s="304"/>
      <c r="N269" s="304"/>
      <c r="O269" s="304"/>
      <c r="P269" s="304"/>
      <c r="Q269" s="304"/>
    </row>
    <row r="270" spans="1:17" ht="25" customHeight="1" x14ac:dyDescent="0.3">
      <c r="A270" s="847" t="s">
        <v>147</v>
      </c>
      <c r="B270" s="848" t="s">
        <v>167</v>
      </c>
      <c r="C270" s="674"/>
      <c r="D270" s="674"/>
      <c r="E270" s="674"/>
      <c r="F270" s="253"/>
      <c r="G270" s="674"/>
      <c r="H270" s="249"/>
      <c r="I270" s="251"/>
      <c r="J270" s="869"/>
      <c r="K270" s="906"/>
      <c r="L270" s="303"/>
      <c r="M270" s="304"/>
      <c r="N270" s="304"/>
      <c r="O270" s="304"/>
      <c r="P270" s="304"/>
      <c r="Q270" s="304"/>
    </row>
    <row r="271" spans="1:17" ht="25" customHeight="1" x14ac:dyDescent="0.3">
      <c r="A271" s="826" t="s">
        <v>226</v>
      </c>
      <c r="B271" s="849" t="s">
        <v>475</v>
      </c>
      <c r="C271" s="674">
        <v>3</v>
      </c>
      <c r="D271" s="674">
        <v>1</v>
      </c>
      <c r="E271" s="674">
        <v>1</v>
      </c>
      <c r="F271" s="249">
        <f>I271+J271+K271</f>
        <v>99</v>
      </c>
      <c r="G271" s="674">
        <v>11</v>
      </c>
      <c r="H271" s="249">
        <f>C271*E271*G271</f>
        <v>33</v>
      </c>
      <c r="I271" s="251"/>
      <c r="J271" s="869"/>
      <c r="K271" s="906">
        <f>IF(G271&lt;70, C271*E271*16.5*2, C271*E271*16.5*2)</f>
        <v>99</v>
      </c>
      <c r="L271" s="303"/>
      <c r="M271" s="304"/>
      <c r="N271" s="304"/>
      <c r="O271" s="304"/>
      <c r="P271" s="304"/>
      <c r="Q271" s="304"/>
    </row>
    <row r="272" spans="1:17" ht="25" customHeight="1" x14ac:dyDescent="0.3">
      <c r="A272" s="826" t="s">
        <v>227</v>
      </c>
      <c r="B272" s="849" t="s">
        <v>476</v>
      </c>
      <c r="C272" s="674">
        <v>3</v>
      </c>
      <c r="D272" s="674">
        <v>1</v>
      </c>
      <c r="E272" s="674">
        <v>1</v>
      </c>
      <c r="F272" s="249">
        <f>I272+J272+K272</f>
        <v>99</v>
      </c>
      <c r="G272" s="674">
        <v>11</v>
      </c>
      <c r="H272" s="249">
        <f>C272*E272*G272</f>
        <v>33</v>
      </c>
      <c r="I272" s="251">
        <f>IF(G272&lt;70, C272*E272*16.5*2, C272*E272*16.5*2)</f>
        <v>99</v>
      </c>
      <c r="J272" s="869"/>
      <c r="K272" s="906"/>
      <c r="L272" s="303"/>
      <c r="M272" s="304"/>
      <c r="N272" s="304"/>
      <c r="O272" s="304"/>
      <c r="P272" s="304"/>
      <c r="Q272" s="304"/>
    </row>
    <row r="273" spans="1:17" ht="25" customHeight="1" x14ac:dyDescent="0.3">
      <c r="A273" s="839" t="s">
        <v>477</v>
      </c>
      <c r="B273" s="826" t="s">
        <v>478</v>
      </c>
      <c r="C273" s="674">
        <v>3</v>
      </c>
      <c r="D273" s="674">
        <v>1</v>
      </c>
      <c r="E273" s="674">
        <v>1</v>
      </c>
      <c r="F273" s="249">
        <f>I273+J273+K273</f>
        <v>99</v>
      </c>
      <c r="G273" s="674">
        <v>11</v>
      </c>
      <c r="H273" s="249">
        <f>C273*E273*G273</f>
        <v>33</v>
      </c>
      <c r="I273" s="251">
        <f>IF(G273&lt;70, C273*E273*16.5*2, C273*E273*16.5*2)</f>
        <v>99</v>
      </c>
      <c r="J273" s="869"/>
      <c r="K273" s="906"/>
      <c r="L273" s="303"/>
      <c r="M273" s="304"/>
      <c r="N273" s="304"/>
      <c r="O273" s="304"/>
      <c r="P273" s="304"/>
      <c r="Q273" s="304"/>
    </row>
    <row r="274" spans="1:17" ht="25" customHeight="1" x14ac:dyDescent="0.3">
      <c r="A274" s="836" t="s">
        <v>148</v>
      </c>
      <c r="B274" s="851" t="s">
        <v>168</v>
      </c>
      <c r="C274" s="674"/>
      <c r="D274" s="674"/>
      <c r="E274" s="674"/>
      <c r="F274" s="253"/>
      <c r="G274" s="674"/>
      <c r="H274" s="249"/>
      <c r="I274" s="252"/>
      <c r="J274" s="869"/>
      <c r="K274" s="906"/>
      <c r="L274" s="303"/>
      <c r="M274" s="304"/>
      <c r="N274" s="304"/>
      <c r="O274" s="304"/>
      <c r="P274" s="304"/>
      <c r="Q274" s="304"/>
    </row>
    <row r="275" spans="1:17" ht="25" customHeight="1" x14ac:dyDescent="0.3">
      <c r="A275" s="836"/>
      <c r="B275" s="851" t="s">
        <v>674</v>
      </c>
      <c r="C275" s="674"/>
      <c r="D275" s="674"/>
      <c r="E275" s="674"/>
      <c r="F275" s="249"/>
      <c r="G275" s="674"/>
      <c r="H275" s="249"/>
      <c r="I275" s="252"/>
      <c r="J275" s="869"/>
      <c r="K275" s="906"/>
      <c r="L275" s="303"/>
      <c r="M275" s="304"/>
      <c r="N275" s="304"/>
      <c r="O275" s="304"/>
      <c r="P275" s="304"/>
      <c r="Q275" s="304" t="s">
        <v>707</v>
      </c>
    </row>
    <row r="276" spans="1:17" ht="25" customHeight="1" x14ac:dyDescent="0.3">
      <c r="A276" s="836"/>
      <c r="B276" s="851" t="s">
        <v>675</v>
      </c>
      <c r="C276" s="674"/>
      <c r="D276" s="674"/>
      <c r="E276" s="674"/>
      <c r="F276" s="871"/>
      <c r="G276" s="908"/>
      <c r="H276" s="908"/>
      <c r="I276" s="908"/>
      <c r="J276" s="869"/>
      <c r="K276" s="906"/>
      <c r="L276" s="303"/>
      <c r="M276" s="304"/>
      <c r="N276" s="304"/>
      <c r="O276" s="304"/>
      <c r="P276" s="304"/>
      <c r="Q276" s="304"/>
    </row>
    <row r="277" spans="1:17" ht="25" customHeight="1" x14ac:dyDescent="0.3">
      <c r="A277" s="836"/>
      <c r="B277" s="851" t="s">
        <v>479</v>
      </c>
      <c r="C277" s="674"/>
      <c r="D277" s="674"/>
      <c r="E277" s="674"/>
      <c r="F277" s="249">
        <f>I277+J276+K276</f>
        <v>1140</v>
      </c>
      <c r="G277" s="674"/>
      <c r="H277" s="249"/>
      <c r="I277" s="252">
        <v>1140</v>
      </c>
      <c r="J277" s="869"/>
      <c r="K277" s="906"/>
      <c r="L277" s="303"/>
      <c r="M277" s="304"/>
      <c r="N277" s="304"/>
      <c r="O277" s="304"/>
      <c r="P277" s="304"/>
      <c r="Q277" s="304"/>
    </row>
    <row r="278" spans="1:17" ht="25" customHeight="1" x14ac:dyDescent="0.3">
      <c r="A278" s="839"/>
      <c r="B278" s="826" t="s">
        <v>480</v>
      </c>
      <c r="C278" s="674"/>
      <c r="D278" s="674"/>
      <c r="E278" s="674"/>
      <c r="F278" s="249">
        <f>I278+J277+K277</f>
        <v>300</v>
      </c>
      <c r="G278" s="674"/>
      <c r="H278" s="249"/>
      <c r="I278" s="252">
        <v>300</v>
      </c>
      <c r="J278" s="869"/>
      <c r="K278" s="906"/>
      <c r="L278" s="303"/>
      <c r="M278" s="304"/>
      <c r="N278" s="304"/>
      <c r="O278" s="304"/>
      <c r="P278" s="304"/>
      <c r="Q278" s="304"/>
    </row>
    <row r="279" spans="1:17" ht="25" customHeight="1" x14ac:dyDescent="0.3">
      <c r="A279" s="836" t="s">
        <v>169</v>
      </c>
      <c r="B279" s="851" t="s">
        <v>170</v>
      </c>
      <c r="C279" s="674"/>
      <c r="D279" s="674"/>
      <c r="E279" s="674"/>
      <c r="F279" s="253"/>
      <c r="G279" s="674"/>
      <c r="H279" s="249"/>
      <c r="I279" s="252"/>
      <c r="J279" s="869"/>
      <c r="K279" s="906"/>
      <c r="L279" s="303"/>
      <c r="M279" s="304"/>
      <c r="N279" s="304"/>
      <c r="O279" s="304"/>
      <c r="P279" s="304"/>
      <c r="Q279" s="304"/>
    </row>
    <row r="280" spans="1:17" ht="25" customHeight="1" x14ac:dyDescent="0.3">
      <c r="A280" s="839"/>
      <c r="B280" s="826" t="s">
        <v>975</v>
      </c>
      <c r="C280" s="674"/>
      <c r="D280" s="674"/>
      <c r="E280" s="674"/>
      <c r="F280" s="249">
        <f>I280+J280+K280</f>
        <v>1000</v>
      </c>
      <c r="G280" s="674"/>
      <c r="H280" s="246"/>
      <c r="I280" s="246">
        <v>1000</v>
      </c>
      <c r="J280" s="869"/>
      <c r="K280" s="906"/>
      <c r="L280" s="303"/>
      <c r="M280" s="304"/>
      <c r="N280" s="304"/>
      <c r="O280" s="304"/>
      <c r="P280" s="304"/>
      <c r="Q280" s="304"/>
    </row>
    <row r="281" spans="1:17" ht="25" customHeight="1" x14ac:dyDescent="0.3">
      <c r="A281" s="839"/>
      <c r="B281" s="826" t="s">
        <v>481</v>
      </c>
      <c r="C281" s="674"/>
      <c r="D281" s="674"/>
      <c r="E281" s="674"/>
      <c r="F281" s="249">
        <f>I281+J281+K281</f>
        <v>1000</v>
      </c>
      <c r="G281" s="674"/>
      <c r="H281" s="249"/>
      <c r="I281" s="252">
        <v>1000</v>
      </c>
      <c r="J281" s="869"/>
      <c r="K281" s="906"/>
      <c r="L281" s="303"/>
      <c r="M281" s="304"/>
      <c r="N281" s="304"/>
      <c r="O281" s="304"/>
      <c r="P281" s="304"/>
      <c r="Q281" s="304"/>
    </row>
    <row r="282" spans="1:17" ht="25" customHeight="1" x14ac:dyDescent="0.3">
      <c r="A282" s="839"/>
      <c r="B282" s="826" t="s">
        <v>480</v>
      </c>
      <c r="C282" s="674"/>
      <c r="D282" s="674"/>
      <c r="E282" s="674"/>
      <c r="F282" s="249">
        <f>I282+J282+K282</f>
        <v>350</v>
      </c>
      <c r="G282" s="674"/>
      <c r="H282" s="249"/>
      <c r="I282" s="252"/>
      <c r="J282" s="869">
        <v>350</v>
      </c>
      <c r="K282" s="906"/>
      <c r="L282" s="303"/>
      <c r="M282" s="304"/>
      <c r="N282" s="304"/>
      <c r="O282" s="304"/>
      <c r="P282" s="304"/>
      <c r="Q282" s="304"/>
    </row>
    <row r="283" spans="1:17" ht="25" customHeight="1" x14ac:dyDescent="0.3">
      <c r="A283" s="841"/>
      <c r="B283" s="842" t="s">
        <v>380</v>
      </c>
      <c r="C283" s="843">
        <f t="shared" ref="C283:K283" si="55">SUM(C271:C282)</f>
        <v>9</v>
      </c>
      <c r="D283" s="843">
        <f t="shared" si="55"/>
        <v>3</v>
      </c>
      <c r="E283" s="843">
        <f t="shared" si="55"/>
        <v>3</v>
      </c>
      <c r="F283" s="843">
        <f t="shared" si="55"/>
        <v>4087</v>
      </c>
      <c r="G283" s="843">
        <f t="shared" si="55"/>
        <v>33</v>
      </c>
      <c r="H283" s="843">
        <f t="shared" si="55"/>
        <v>99</v>
      </c>
      <c r="I283" s="843">
        <f t="shared" si="55"/>
        <v>3638</v>
      </c>
      <c r="J283" s="843">
        <f t="shared" si="55"/>
        <v>350</v>
      </c>
      <c r="K283" s="843">
        <f t="shared" si="55"/>
        <v>99</v>
      </c>
      <c r="L283" s="303"/>
      <c r="M283" s="304"/>
      <c r="N283" s="304"/>
      <c r="O283" s="304"/>
      <c r="P283" s="304"/>
      <c r="Q283" s="304"/>
    </row>
    <row r="284" spans="1:17" ht="25" customHeight="1" x14ac:dyDescent="0.3">
      <c r="A284" s="874" t="s">
        <v>502</v>
      </c>
      <c r="B284" s="874" t="s">
        <v>503</v>
      </c>
      <c r="C284" s="674"/>
      <c r="D284" s="674"/>
      <c r="E284" s="674"/>
      <c r="F284" s="253"/>
      <c r="G284" s="674"/>
      <c r="H284" s="249"/>
      <c r="I284" s="251"/>
      <c r="J284" s="869"/>
      <c r="K284" s="906"/>
      <c r="L284" s="303"/>
      <c r="M284" s="304"/>
      <c r="N284" s="304"/>
      <c r="O284" s="304"/>
      <c r="P284" s="304"/>
      <c r="Q284" s="304"/>
    </row>
    <row r="285" spans="1:17" ht="25" customHeight="1" x14ac:dyDescent="0.3">
      <c r="A285" s="874">
        <v>1</v>
      </c>
      <c r="B285" s="848" t="s">
        <v>225</v>
      </c>
      <c r="C285" s="674"/>
      <c r="D285" s="674"/>
      <c r="E285" s="674"/>
      <c r="F285" s="253"/>
      <c r="G285" s="674"/>
      <c r="H285" s="249"/>
      <c r="I285" s="251"/>
      <c r="J285" s="869"/>
      <c r="K285" s="906"/>
      <c r="L285" s="303"/>
      <c r="M285" s="304"/>
      <c r="N285" s="304"/>
      <c r="O285" s="304"/>
      <c r="P285" s="304"/>
      <c r="Q285" s="304"/>
    </row>
    <row r="286" spans="1:17" ht="25" customHeight="1" x14ac:dyDescent="0.3">
      <c r="A286" s="874" t="s">
        <v>381</v>
      </c>
      <c r="B286" s="848" t="s">
        <v>163</v>
      </c>
      <c r="C286" s="674"/>
      <c r="D286" s="674"/>
      <c r="E286" s="674"/>
      <c r="F286" s="249"/>
      <c r="G286" s="674"/>
      <c r="H286" s="246"/>
      <c r="I286" s="246"/>
      <c r="J286" s="869"/>
      <c r="K286" s="906"/>
      <c r="L286" s="303"/>
      <c r="M286" s="304"/>
      <c r="N286" s="304"/>
      <c r="O286" s="304"/>
      <c r="P286" s="304"/>
      <c r="Q286" s="304"/>
    </row>
    <row r="287" spans="1:17" s="915" customFormat="1" ht="25" customHeight="1" x14ac:dyDescent="0.3">
      <c r="A287" s="854" t="s">
        <v>226</v>
      </c>
      <c r="B287" s="914" t="s">
        <v>677</v>
      </c>
      <c r="C287" s="418">
        <v>2</v>
      </c>
      <c r="D287" s="418">
        <v>1</v>
      </c>
      <c r="E287" s="418">
        <v>5</v>
      </c>
      <c r="F287" s="414">
        <f>I287+J287+K287</f>
        <v>165</v>
      </c>
      <c r="G287" s="674">
        <v>40</v>
      </c>
      <c r="H287" s="249">
        <f>C287*E287*G287</f>
        <v>400</v>
      </c>
      <c r="I287" s="251">
        <f>IF(G287&lt;70, C287*E287*16.5*1, C287*E287*16.5*1.3)</f>
        <v>165</v>
      </c>
      <c r="J287" s="869"/>
      <c r="K287" s="906"/>
      <c r="L287" s="416"/>
      <c r="M287" s="417"/>
      <c r="N287" s="417"/>
      <c r="O287" s="417"/>
      <c r="P287" s="417"/>
      <c r="Q287" s="417"/>
    </row>
    <row r="288" spans="1:17" s="915" customFormat="1" ht="25" customHeight="1" x14ac:dyDescent="0.3">
      <c r="A288" s="854" t="s">
        <v>226</v>
      </c>
      <c r="B288" s="914" t="s">
        <v>813</v>
      </c>
      <c r="C288" s="418">
        <v>2</v>
      </c>
      <c r="D288" s="418">
        <v>1</v>
      </c>
      <c r="E288" s="418">
        <v>5</v>
      </c>
      <c r="F288" s="414">
        <f>I288+J288+K288</f>
        <v>165</v>
      </c>
      <c r="G288" s="674">
        <v>40</v>
      </c>
      <c r="H288" s="249">
        <f>C288*E288*G288</f>
        <v>400</v>
      </c>
      <c r="I288" s="251">
        <f>IF(G288&lt;70, C288*E288*16.5*1, C288*E288*16.5*1.3)</f>
        <v>165</v>
      </c>
      <c r="J288" s="869"/>
      <c r="K288" s="906"/>
      <c r="L288" s="420"/>
      <c r="M288" s="404"/>
      <c r="N288" s="404"/>
      <c r="O288" s="404"/>
      <c r="P288" s="404"/>
      <c r="Q288" s="404"/>
    </row>
    <row r="289" spans="1:17" s="915" customFormat="1" ht="25" customHeight="1" x14ac:dyDescent="0.3">
      <c r="A289" s="854" t="s">
        <v>227</v>
      </c>
      <c r="B289" s="914" t="s">
        <v>814</v>
      </c>
      <c r="C289" s="418">
        <v>2</v>
      </c>
      <c r="D289" s="418">
        <v>1</v>
      </c>
      <c r="E289" s="418">
        <v>5</v>
      </c>
      <c r="F289" s="414">
        <f>I289+J289+K289</f>
        <v>165</v>
      </c>
      <c r="G289" s="674">
        <v>40</v>
      </c>
      <c r="H289" s="249">
        <f>C289*E289*G289</f>
        <v>400</v>
      </c>
      <c r="I289" s="251">
        <f>IF(G289&lt;70, C289*E289*16.5*1, C289*E289*16.5*1.3)</f>
        <v>165</v>
      </c>
      <c r="J289" s="869"/>
      <c r="K289" s="906"/>
      <c r="L289" s="916"/>
      <c r="M289" s="916"/>
      <c r="N289" s="916"/>
      <c r="O289" s="916"/>
      <c r="P289" s="916"/>
      <c r="Q289" s="404"/>
    </row>
    <row r="290" spans="1:17" s="915" customFormat="1" ht="25" customHeight="1" x14ac:dyDescent="0.3">
      <c r="A290" s="841"/>
      <c r="B290" s="842" t="s">
        <v>380</v>
      </c>
      <c r="C290" s="843">
        <f>SUM(C287:C289)</f>
        <v>6</v>
      </c>
      <c r="D290" s="843">
        <f t="shared" ref="D290:K290" si="56">SUM(D287:D289)</f>
        <v>3</v>
      </c>
      <c r="E290" s="843">
        <f t="shared" si="56"/>
        <v>15</v>
      </c>
      <c r="F290" s="843">
        <f t="shared" si="56"/>
        <v>495</v>
      </c>
      <c r="G290" s="843">
        <f t="shared" si="56"/>
        <v>120</v>
      </c>
      <c r="H290" s="843">
        <f t="shared" si="56"/>
        <v>1200</v>
      </c>
      <c r="I290" s="843">
        <f t="shared" si="56"/>
        <v>495</v>
      </c>
      <c r="J290" s="843">
        <f t="shared" si="56"/>
        <v>0</v>
      </c>
      <c r="K290" s="843">
        <f t="shared" si="56"/>
        <v>0</v>
      </c>
      <c r="L290" s="917"/>
      <c r="M290" s="917"/>
      <c r="N290" s="917"/>
      <c r="O290" s="917"/>
      <c r="P290" s="917"/>
      <c r="Q290" s="404"/>
    </row>
    <row r="291" spans="1:17" s="915" customFormat="1" ht="25" customHeight="1" x14ac:dyDescent="0.25">
      <c r="A291" s="888"/>
      <c r="B291" s="369" t="s">
        <v>482</v>
      </c>
      <c r="C291" s="365">
        <f>C235+C268+C283+C290</f>
        <v>335</v>
      </c>
      <c r="D291" s="365">
        <f t="shared" ref="D291:I291" si="57">D235+D268+D283+D290</f>
        <v>48.3</v>
      </c>
      <c r="E291" s="365">
        <f t="shared" si="57"/>
        <v>103</v>
      </c>
      <c r="F291" s="365">
        <f t="shared" si="57"/>
        <v>11936.55</v>
      </c>
      <c r="G291" s="365">
        <f t="shared" si="57"/>
        <v>1374</v>
      </c>
      <c r="H291" s="365">
        <f t="shared" si="57"/>
        <v>10284</v>
      </c>
      <c r="I291" s="365">
        <f t="shared" si="57"/>
        <v>7365.25</v>
      </c>
      <c r="J291" s="365">
        <f>J235+J268+J283+J290</f>
        <v>1742.3</v>
      </c>
      <c r="K291" s="365">
        <f>K235+K268+K283+K290</f>
        <v>2969</v>
      </c>
      <c r="L291" s="918">
        <f>'Bieu3 QLGD'!F25</f>
        <v>1890</v>
      </c>
      <c r="M291" s="918">
        <f>'Bieu3 QLGD'!N25</f>
        <v>1606.5</v>
      </c>
      <c r="N291" s="918">
        <f>I291-M291</f>
        <v>5758.75</v>
      </c>
      <c r="O291" s="918">
        <f>'Bieu3 QLGD'!O25</f>
        <v>1266.75</v>
      </c>
      <c r="P291" s="918">
        <f>'Bieu3 QLGD'!P25</f>
        <v>650</v>
      </c>
      <c r="Q291" s="919" t="s">
        <v>709</v>
      </c>
    </row>
    <row r="292" spans="1:17" s="915" customFormat="1" ht="25" customHeight="1" x14ac:dyDescent="0.3">
      <c r="A292" s="920"/>
      <c r="B292" s="921"/>
      <c r="C292" s="922"/>
      <c r="D292" s="922"/>
      <c r="E292" s="923"/>
      <c r="F292" s="922"/>
      <c r="G292" s="922"/>
      <c r="H292" s="922"/>
      <c r="I292" s="922"/>
      <c r="J292" s="922"/>
      <c r="K292" s="924"/>
      <c r="L292" s="917"/>
      <c r="M292" s="917"/>
      <c r="N292" s="917"/>
      <c r="O292" s="917"/>
      <c r="P292" s="917"/>
      <c r="Q292" s="404"/>
    </row>
    <row r="293" spans="1:17" ht="25" customHeight="1" x14ac:dyDescent="0.25">
      <c r="A293" s="242" t="s">
        <v>7</v>
      </c>
      <c r="B293" s="242" t="s">
        <v>162</v>
      </c>
      <c r="C293" s="246">
        <f t="shared" ref="C293:P293" si="58">C45+C153+C183+C235+C105</f>
        <v>269</v>
      </c>
      <c r="D293" s="246">
        <f t="shared" si="58"/>
        <v>87.56</v>
      </c>
      <c r="E293" s="246">
        <f t="shared" si="58"/>
        <v>275</v>
      </c>
      <c r="F293" s="246">
        <f t="shared" si="58"/>
        <v>18067.700000000004</v>
      </c>
      <c r="G293" s="246">
        <f t="shared" si="58"/>
        <v>4837</v>
      </c>
      <c r="H293" s="246">
        <f t="shared" si="58"/>
        <v>49463</v>
      </c>
      <c r="I293" s="246">
        <f t="shared" si="58"/>
        <v>18067.700000000004</v>
      </c>
      <c r="J293" s="246">
        <f t="shared" si="58"/>
        <v>0</v>
      </c>
      <c r="K293" s="246">
        <f t="shared" si="58"/>
        <v>0</v>
      </c>
      <c r="L293" s="246">
        <f t="shared" si="58"/>
        <v>0</v>
      </c>
      <c r="M293" s="246">
        <f t="shared" si="58"/>
        <v>0</v>
      </c>
      <c r="N293" s="246">
        <f t="shared" si="58"/>
        <v>0</v>
      </c>
      <c r="O293" s="246">
        <f t="shared" si="58"/>
        <v>0</v>
      </c>
      <c r="P293" s="246">
        <f t="shared" si="58"/>
        <v>0</v>
      </c>
      <c r="Q293" s="253"/>
    </row>
    <row r="294" spans="1:17" ht="25" customHeight="1" x14ac:dyDescent="0.25">
      <c r="A294" s="256" t="s">
        <v>8</v>
      </c>
      <c r="B294" s="242" t="s">
        <v>172</v>
      </c>
      <c r="C294" s="246">
        <f t="shared" ref="C294:K294" si="59">C268+C201+C163+C117+C56</f>
        <v>381</v>
      </c>
      <c r="D294" s="246">
        <f t="shared" si="59"/>
        <v>55</v>
      </c>
      <c r="E294" s="246">
        <f t="shared" si="59"/>
        <v>171</v>
      </c>
      <c r="F294" s="246">
        <f t="shared" si="59"/>
        <v>17755.849999999999</v>
      </c>
      <c r="G294" s="246">
        <f t="shared" si="59"/>
        <v>895</v>
      </c>
      <c r="H294" s="246">
        <f t="shared" si="59"/>
        <v>10836</v>
      </c>
      <c r="I294" s="246">
        <f t="shared" si="59"/>
        <v>13494.95</v>
      </c>
      <c r="J294" s="246">
        <f t="shared" si="59"/>
        <v>1392.3</v>
      </c>
      <c r="K294" s="246">
        <f t="shared" si="59"/>
        <v>3008.6</v>
      </c>
      <c r="L294" s="246">
        <v>0</v>
      </c>
      <c r="M294" s="246">
        <v>0</v>
      </c>
      <c r="N294" s="246">
        <v>0</v>
      </c>
      <c r="O294" s="246">
        <v>0</v>
      </c>
      <c r="P294" s="246">
        <v>0</v>
      </c>
      <c r="Q294" s="253"/>
    </row>
    <row r="295" spans="1:17" ht="25" customHeight="1" x14ac:dyDescent="0.25">
      <c r="A295" s="256" t="s">
        <v>25</v>
      </c>
      <c r="B295" s="245" t="s">
        <v>166</v>
      </c>
      <c r="C295" s="246">
        <f>C283</f>
        <v>9</v>
      </c>
      <c r="D295" s="246">
        <f>D283</f>
        <v>3</v>
      </c>
      <c r="E295" s="246">
        <f t="shared" ref="E295:K295" si="60">E283</f>
        <v>3</v>
      </c>
      <c r="F295" s="246">
        <f t="shared" si="60"/>
        <v>4087</v>
      </c>
      <c r="G295" s="246">
        <f t="shared" si="60"/>
        <v>33</v>
      </c>
      <c r="H295" s="246">
        <f t="shared" si="60"/>
        <v>99</v>
      </c>
      <c r="I295" s="246">
        <f t="shared" si="60"/>
        <v>3638</v>
      </c>
      <c r="J295" s="246">
        <f t="shared" si="60"/>
        <v>350</v>
      </c>
      <c r="K295" s="246">
        <f t="shared" si="60"/>
        <v>99</v>
      </c>
      <c r="L295" s="246">
        <v>0</v>
      </c>
      <c r="M295" s="246">
        <v>0</v>
      </c>
      <c r="N295" s="246">
        <v>0</v>
      </c>
      <c r="O295" s="246">
        <v>0</v>
      </c>
      <c r="P295" s="246">
        <v>0</v>
      </c>
      <c r="Q295" s="253"/>
    </row>
    <row r="296" spans="1:17" ht="25" customHeight="1" x14ac:dyDescent="0.25">
      <c r="A296" s="256"/>
      <c r="B296" s="245" t="s">
        <v>542</v>
      </c>
      <c r="C296" s="246">
        <f t="shared" ref="C296:K296" si="61">C290+C211+C169+C130+C76</f>
        <v>123</v>
      </c>
      <c r="D296" s="246">
        <f t="shared" si="61"/>
        <v>36</v>
      </c>
      <c r="E296" s="246">
        <f t="shared" si="61"/>
        <v>305</v>
      </c>
      <c r="F296" s="246">
        <f t="shared" si="61"/>
        <v>20106.900000000001</v>
      </c>
      <c r="G296" s="246">
        <f t="shared" si="61"/>
        <v>1850</v>
      </c>
      <c r="H296" s="246">
        <f t="shared" si="61"/>
        <v>58940</v>
      </c>
      <c r="I296" s="246">
        <f t="shared" si="61"/>
        <v>20106.900000000001</v>
      </c>
      <c r="J296" s="246">
        <f t="shared" si="61"/>
        <v>0</v>
      </c>
      <c r="K296" s="246">
        <f t="shared" si="61"/>
        <v>0</v>
      </c>
      <c r="L296" s="246">
        <v>0</v>
      </c>
      <c r="M296" s="246">
        <v>0</v>
      </c>
      <c r="N296" s="246">
        <v>0</v>
      </c>
      <c r="O296" s="246">
        <v>0</v>
      </c>
      <c r="P296" s="246">
        <v>0</v>
      </c>
      <c r="Q296" s="253"/>
    </row>
    <row r="297" spans="1:17" ht="25" customHeight="1" x14ac:dyDescent="0.25">
      <c r="A297" s="256"/>
      <c r="B297" s="245" t="s">
        <v>543</v>
      </c>
      <c r="C297" s="246">
        <v>0</v>
      </c>
      <c r="D297" s="246"/>
      <c r="E297" s="246">
        <v>0</v>
      </c>
      <c r="F297" s="246">
        <v>0</v>
      </c>
      <c r="G297" s="246">
        <v>0</v>
      </c>
      <c r="H297" s="246">
        <v>0</v>
      </c>
      <c r="I297" s="246">
        <v>0</v>
      </c>
      <c r="J297" s="246">
        <v>0</v>
      </c>
      <c r="K297" s="246">
        <v>0</v>
      </c>
      <c r="L297" s="246">
        <v>0</v>
      </c>
      <c r="M297" s="246">
        <v>0</v>
      </c>
      <c r="N297" s="246">
        <v>0</v>
      </c>
      <c r="O297" s="246">
        <v>0</v>
      </c>
      <c r="P297" s="246">
        <v>0</v>
      </c>
      <c r="Q297" s="253"/>
    </row>
    <row r="298" spans="1:17" ht="25" customHeight="1" x14ac:dyDescent="0.25">
      <c r="A298" s="238"/>
      <c r="B298" s="264" t="s">
        <v>484</v>
      </c>
      <c r="C298" s="260">
        <f>C291+C212+C170+C131+C78</f>
        <v>782</v>
      </c>
      <c r="D298" s="260">
        <f t="shared" ref="D298:P298" si="62">D291+D212+D170+D131+D78</f>
        <v>181.55999999999997</v>
      </c>
      <c r="E298" s="260">
        <f t="shared" si="62"/>
        <v>754</v>
      </c>
      <c r="F298" s="260">
        <f t="shared" si="62"/>
        <v>60017.45</v>
      </c>
      <c r="G298" s="260">
        <f t="shared" si="62"/>
        <v>7615</v>
      </c>
      <c r="H298" s="260">
        <f t="shared" si="62"/>
        <v>119338</v>
      </c>
      <c r="I298" s="260">
        <f t="shared" si="62"/>
        <v>55307.55</v>
      </c>
      <c r="J298" s="260">
        <f t="shared" si="62"/>
        <v>1742.3</v>
      </c>
      <c r="K298" s="260">
        <f t="shared" si="62"/>
        <v>3107.6</v>
      </c>
      <c r="L298" s="260">
        <f t="shared" si="62"/>
        <v>9922</v>
      </c>
      <c r="M298" s="866">
        <f>M291+M212+M170+M131+M78</f>
        <v>8923</v>
      </c>
      <c r="N298" s="866">
        <f>N291+N212+N170+N131+N78</f>
        <v>46384.55</v>
      </c>
      <c r="O298" s="260">
        <f t="shared" si="62"/>
        <v>6367.25</v>
      </c>
      <c r="P298" s="260">
        <f t="shared" si="62"/>
        <v>3350</v>
      </c>
      <c r="Q298" s="253"/>
    </row>
    <row r="299" spans="1:17" x14ac:dyDescent="0.3">
      <c r="C299" s="174"/>
      <c r="D299" s="1450" t="s">
        <v>570</v>
      </c>
      <c r="E299" s="1450"/>
      <c r="F299" s="1450"/>
      <c r="G299" s="1450"/>
      <c r="H299" s="1450"/>
      <c r="I299" s="1450"/>
      <c r="J299" s="241">
        <f>J298+K298</f>
        <v>4849.8999999999996</v>
      </c>
      <c r="K299" s="10"/>
      <c r="L299" s="10"/>
      <c r="M299" s="10"/>
      <c r="N299" s="1451" t="s">
        <v>982</v>
      </c>
      <c r="O299" s="1451"/>
      <c r="P299" s="1451"/>
      <c r="Q299" s="1451"/>
    </row>
    <row r="300" spans="1:17" ht="12.75" customHeight="1" x14ac:dyDescent="0.3">
      <c r="A300" s="14"/>
      <c r="B300" s="14"/>
      <c r="C300" s="174"/>
      <c r="D300" s="174"/>
      <c r="E300" s="174"/>
      <c r="G300" s="174"/>
      <c r="H300" s="174"/>
      <c r="I300" s="174"/>
      <c r="J300" s="174"/>
      <c r="K300" s="10"/>
      <c r="L300" s="10"/>
      <c r="M300" s="10"/>
      <c r="N300" s="1442" t="s">
        <v>548</v>
      </c>
      <c r="O300" s="1442"/>
      <c r="P300" s="1442"/>
      <c r="Q300" s="1442"/>
    </row>
    <row r="301" spans="1:17" ht="12" customHeight="1" x14ac:dyDescent="0.3">
      <c r="A301" s="14"/>
      <c r="B301" s="1452" t="s">
        <v>976</v>
      </c>
      <c r="C301" s="1452"/>
      <c r="D301" s="1452"/>
      <c r="E301" s="1452"/>
      <c r="F301" s="1452"/>
      <c r="G301" s="1452"/>
      <c r="H301" s="1452"/>
      <c r="I301" s="1452"/>
      <c r="J301" s="1452"/>
      <c r="K301" s="1452"/>
      <c r="L301" s="10"/>
      <c r="M301" s="10"/>
      <c r="N301" s="10"/>
      <c r="O301" s="10"/>
      <c r="P301" s="10"/>
      <c r="Q301" s="153"/>
    </row>
    <row r="302" spans="1:17" ht="26.25" customHeight="1" x14ac:dyDescent="0.3">
      <c r="A302" s="14"/>
      <c r="B302" s="1453" t="s">
        <v>237</v>
      </c>
      <c r="C302" s="1453"/>
      <c r="D302" s="1453"/>
      <c r="E302" s="1453"/>
      <c r="F302" s="1453"/>
      <c r="G302" s="1453"/>
      <c r="H302" s="1453"/>
      <c r="I302" s="1453"/>
      <c r="J302" s="1453"/>
      <c r="K302" s="1453"/>
      <c r="L302" s="10"/>
      <c r="M302" s="10"/>
      <c r="N302" s="10"/>
      <c r="O302" s="10"/>
      <c r="P302" s="10"/>
      <c r="Q302" s="153"/>
    </row>
    <row r="303" spans="1:17" ht="30" customHeight="1" x14ac:dyDescent="0.3">
      <c r="A303" s="14"/>
      <c r="B303" s="1448" t="s">
        <v>74</v>
      </c>
      <c r="C303" s="1448"/>
      <c r="D303" s="1448"/>
      <c r="E303" s="1448"/>
      <c r="F303" s="1448"/>
      <c r="G303" s="1448"/>
      <c r="H303" s="1448"/>
      <c r="I303" s="1448"/>
      <c r="J303" s="1448"/>
      <c r="K303" s="1448"/>
      <c r="L303" s="10"/>
      <c r="M303" s="10"/>
      <c r="N303" s="1435" t="s">
        <v>766</v>
      </c>
      <c r="O303" s="1435"/>
      <c r="P303" s="1435"/>
      <c r="Q303" s="1435"/>
    </row>
    <row r="304" spans="1:17" x14ac:dyDescent="0.3">
      <c r="B304" s="821" t="s">
        <v>771</v>
      </c>
      <c r="C304" s="16"/>
      <c r="D304" s="16"/>
      <c r="E304" s="16"/>
      <c r="F304" s="16"/>
      <c r="G304" s="16"/>
      <c r="H304" s="16"/>
      <c r="I304" s="16"/>
      <c r="J304" s="16"/>
      <c r="K304" s="16"/>
      <c r="L304" s="10"/>
    </row>
    <row r="305" spans="2:12" x14ac:dyDescent="0.3">
      <c r="B305" s="821" t="s">
        <v>772</v>
      </c>
      <c r="C305" s="10"/>
      <c r="D305" s="10"/>
      <c r="E305" s="10"/>
      <c r="F305" s="10"/>
      <c r="G305" s="10"/>
      <c r="H305" s="10"/>
      <c r="I305" s="10"/>
      <c r="J305" s="10"/>
      <c r="K305" s="10"/>
      <c r="L305" s="10"/>
    </row>
    <row r="306" spans="2:12" x14ac:dyDescent="0.3">
      <c r="B306" s="821" t="s">
        <v>773</v>
      </c>
      <c r="C306" s="10"/>
      <c r="D306" s="10"/>
      <c r="E306" s="10"/>
      <c r="F306" s="10"/>
      <c r="G306" s="10"/>
      <c r="H306" s="10"/>
      <c r="I306" s="10"/>
      <c r="J306" s="10"/>
      <c r="K306" s="10"/>
      <c r="L306" s="10"/>
    </row>
    <row r="307" spans="2:12" x14ac:dyDescent="0.3">
      <c r="B307" s="821" t="s">
        <v>774</v>
      </c>
      <c r="C307" s="10"/>
      <c r="D307" s="10"/>
      <c r="E307" s="10"/>
      <c r="F307" s="10"/>
      <c r="G307" s="10"/>
      <c r="H307" s="10"/>
      <c r="I307" s="10"/>
      <c r="J307" s="10"/>
      <c r="K307" s="10"/>
      <c r="L307" s="10"/>
    </row>
    <row r="308" spans="2:12" x14ac:dyDescent="0.3">
      <c r="B308" s="14"/>
      <c r="C308" s="613"/>
      <c r="D308" s="613"/>
      <c r="E308" s="613"/>
      <c r="F308" s="613"/>
      <c r="G308" s="613"/>
      <c r="H308" s="10"/>
      <c r="I308" s="10"/>
      <c r="J308" s="10"/>
      <c r="K308" s="10"/>
      <c r="L308" s="10"/>
    </row>
  </sheetData>
  <mergeCells count="28">
    <mergeCell ref="L5:L6"/>
    <mergeCell ref="N5:N6"/>
    <mergeCell ref="A5:A6"/>
    <mergeCell ref="B5:B6"/>
    <mergeCell ref="C5:C6"/>
    <mergeCell ref="E5:E6"/>
    <mergeCell ref="F5:F6"/>
    <mergeCell ref="A1:C1"/>
    <mergeCell ref="I1:N1"/>
    <mergeCell ref="A2:C2"/>
    <mergeCell ref="I2:N2"/>
    <mergeCell ref="A3:Q3"/>
    <mergeCell ref="O5:O6"/>
    <mergeCell ref="P5:P6"/>
    <mergeCell ref="Q5:Q6"/>
    <mergeCell ref="Q106:Q112"/>
    <mergeCell ref="B303:K303"/>
    <mergeCell ref="N303:Q303"/>
    <mergeCell ref="M255:Q255"/>
    <mergeCell ref="D299:I299"/>
    <mergeCell ref="N299:Q299"/>
    <mergeCell ref="N300:Q300"/>
    <mergeCell ref="B301:K301"/>
    <mergeCell ref="B302:K302"/>
    <mergeCell ref="M5:M6"/>
    <mergeCell ref="G5:G6"/>
    <mergeCell ref="H5:H6"/>
    <mergeCell ref="I5:K5"/>
  </mergeCells>
  <pageMargins left="0.24" right="0.2" top="0.37" bottom="0.26" header="0.74" footer="0.6"/>
  <pageSetup paperSize="9" scale="85" orientation="landscape"/>
  <ignoredErrors>
    <ignoredError sqref="F226:F229 F220:F225 J235:K235 K268 F277:H277 F278:F282 C117:F117 C105:E105 G105:K105 H117:K117" emptyCellReference="1"/>
  </ignoredErrors>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2B1E-3234-EE4A-9E72-A7C90A07DB32}">
  <dimension ref="A1:I42"/>
  <sheetViews>
    <sheetView workbookViewId="0">
      <selection activeCell="G3" sqref="G3"/>
    </sheetView>
  </sheetViews>
  <sheetFormatPr defaultColWidth="10.90625" defaultRowHeight="12.5" x14ac:dyDescent="0.25"/>
  <cols>
    <col min="1" max="1" width="5.6328125" customWidth="1"/>
    <col min="2" max="2" width="34.453125" customWidth="1"/>
    <col min="3" max="4" width="9.1796875" customWidth="1"/>
    <col min="5" max="5" width="11.453125" customWidth="1"/>
    <col min="6" max="6" width="15.453125" customWidth="1"/>
    <col min="7" max="7" width="41.81640625" customWidth="1"/>
    <col min="8" max="256" width="8.81640625" customWidth="1"/>
    <col min="257" max="257" width="5.6328125" customWidth="1"/>
    <col min="258" max="258" width="34.453125" customWidth="1"/>
    <col min="259" max="260" width="9.1796875" customWidth="1"/>
    <col min="261" max="261" width="11.453125" customWidth="1"/>
    <col min="262" max="262" width="15.453125" customWidth="1"/>
    <col min="263" max="263" width="41.81640625" customWidth="1"/>
    <col min="264" max="512" width="8.81640625" customWidth="1"/>
    <col min="513" max="513" width="5.6328125" customWidth="1"/>
    <col min="514" max="514" width="34.453125" customWidth="1"/>
    <col min="515" max="516" width="9.1796875" customWidth="1"/>
    <col min="517" max="517" width="11.453125" customWidth="1"/>
    <col min="518" max="518" width="15.453125" customWidth="1"/>
    <col min="519" max="519" width="41.81640625" customWidth="1"/>
    <col min="520" max="768" width="8.81640625" customWidth="1"/>
    <col min="769" max="769" width="5.6328125" customWidth="1"/>
    <col min="770" max="770" width="34.453125" customWidth="1"/>
    <col min="771" max="772" width="9.1796875" customWidth="1"/>
    <col min="773" max="773" width="11.453125" customWidth="1"/>
    <col min="774" max="774" width="15.453125" customWidth="1"/>
    <col min="775" max="775" width="41.81640625" customWidth="1"/>
    <col min="776" max="1024" width="8.81640625" customWidth="1"/>
    <col min="1025" max="1025" width="5.6328125" customWidth="1"/>
    <col min="1026" max="1026" width="34.453125" customWidth="1"/>
    <col min="1027" max="1028" width="9.1796875" customWidth="1"/>
    <col min="1029" max="1029" width="11.453125" customWidth="1"/>
    <col min="1030" max="1030" width="15.453125" customWidth="1"/>
    <col min="1031" max="1031" width="41.81640625" customWidth="1"/>
    <col min="1032" max="1280" width="8.81640625" customWidth="1"/>
    <col min="1281" max="1281" width="5.6328125" customWidth="1"/>
    <col min="1282" max="1282" width="34.453125" customWidth="1"/>
    <col min="1283" max="1284" width="9.1796875" customWidth="1"/>
    <col min="1285" max="1285" width="11.453125" customWidth="1"/>
    <col min="1286" max="1286" width="15.453125" customWidth="1"/>
    <col min="1287" max="1287" width="41.81640625" customWidth="1"/>
    <col min="1288" max="1536" width="8.81640625" customWidth="1"/>
    <col min="1537" max="1537" width="5.6328125" customWidth="1"/>
    <col min="1538" max="1538" width="34.453125" customWidth="1"/>
    <col min="1539" max="1540" width="9.1796875" customWidth="1"/>
    <col min="1541" max="1541" width="11.453125" customWidth="1"/>
    <col min="1542" max="1542" width="15.453125" customWidth="1"/>
    <col min="1543" max="1543" width="41.81640625" customWidth="1"/>
    <col min="1544" max="1792" width="8.81640625" customWidth="1"/>
    <col min="1793" max="1793" width="5.6328125" customWidth="1"/>
    <col min="1794" max="1794" width="34.453125" customWidth="1"/>
    <col min="1795" max="1796" width="9.1796875" customWidth="1"/>
    <col min="1797" max="1797" width="11.453125" customWidth="1"/>
    <col min="1798" max="1798" width="15.453125" customWidth="1"/>
    <col min="1799" max="1799" width="41.81640625" customWidth="1"/>
    <col min="1800" max="2048" width="8.81640625" customWidth="1"/>
    <col min="2049" max="2049" width="5.6328125" customWidth="1"/>
    <col min="2050" max="2050" width="34.453125" customWidth="1"/>
    <col min="2051" max="2052" width="9.1796875" customWidth="1"/>
    <col min="2053" max="2053" width="11.453125" customWidth="1"/>
    <col min="2054" max="2054" width="15.453125" customWidth="1"/>
    <col min="2055" max="2055" width="41.81640625" customWidth="1"/>
    <col min="2056" max="2304" width="8.81640625" customWidth="1"/>
    <col min="2305" max="2305" width="5.6328125" customWidth="1"/>
    <col min="2306" max="2306" width="34.453125" customWidth="1"/>
    <col min="2307" max="2308" width="9.1796875" customWidth="1"/>
    <col min="2309" max="2309" width="11.453125" customWidth="1"/>
    <col min="2310" max="2310" width="15.453125" customWidth="1"/>
    <col min="2311" max="2311" width="41.81640625" customWidth="1"/>
    <col min="2312" max="2560" width="8.81640625" customWidth="1"/>
    <col min="2561" max="2561" width="5.6328125" customWidth="1"/>
    <col min="2562" max="2562" width="34.453125" customWidth="1"/>
    <col min="2563" max="2564" width="9.1796875" customWidth="1"/>
    <col min="2565" max="2565" width="11.453125" customWidth="1"/>
    <col min="2566" max="2566" width="15.453125" customWidth="1"/>
    <col min="2567" max="2567" width="41.81640625" customWidth="1"/>
    <col min="2568" max="2816" width="8.81640625" customWidth="1"/>
    <col min="2817" max="2817" width="5.6328125" customWidth="1"/>
    <col min="2818" max="2818" width="34.453125" customWidth="1"/>
    <col min="2819" max="2820" width="9.1796875" customWidth="1"/>
    <col min="2821" max="2821" width="11.453125" customWidth="1"/>
    <col min="2822" max="2822" width="15.453125" customWidth="1"/>
    <col min="2823" max="2823" width="41.81640625" customWidth="1"/>
    <col min="2824" max="3072" width="8.81640625" customWidth="1"/>
    <col min="3073" max="3073" width="5.6328125" customWidth="1"/>
    <col min="3074" max="3074" width="34.453125" customWidth="1"/>
    <col min="3075" max="3076" width="9.1796875" customWidth="1"/>
    <col min="3077" max="3077" width="11.453125" customWidth="1"/>
    <col min="3078" max="3078" width="15.453125" customWidth="1"/>
    <col min="3079" max="3079" width="41.81640625" customWidth="1"/>
    <col min="3080" max="3328" width="8.81640625" customWidth="1"/>
    <col min="3329" max="3329" width="5.6328125" customWidth="1"/>
    <col min="3330" max="3330" width="34.453125" customWidth="1"/>
    <col min="3331" max="3332" width="9.1796875" customWidth="1"/>
    <col min="3333" max="3333" width="11.453125" customWidth="1"/>
    <col min="3334" max="3334" width="15.453125" customWidth="1"/>
    <col min="3335" max="3335" width="41.81640625" customWidth="1"/>
    <col min="3336" max="3584" width="8.81640625" customWidth="1"/>
    <col min="3585" max="3585" width="5.6328125" customWidth="1"/>
    <col min="3586" max="3586" width="34.453125" customWidth="1"/>
    <col min="3587" max="3588" width="9.1796875" customWidth="1"/>
    <col min="3589" max="3589" width="11.453125" customWidth="1"/>
    <col min="3590" max="3590" width="15.453125" customWidth="1"/>
    <col min="3591" max="3591" width="41.81640625" customWidth="1"/>
    <col min="3592" max="3840" width="8.81640625" customWidth="1"/>
    <col min="3841" max="3841" width="5.6328125" customWidth="1"/>
    <col min="3842" max="3842" width="34.453125" customWidth="1"/>
    <col min="3843" max="3844" width="9.1796875" customWidth="1"/>
    <col min="3845" max="3845" width="11.453125" customWidth="1"/>
    <col min="3846" max="3846" width="15.453125" customWidth="1"/>
    <col min="3847" max="3847" width="41.81640625" customWidth="1"/>
    <col min="3848" max="4096" width="8.81640625" customWidth="1"/>
    <col min="4097" max="4097" width="5.6328125" customWidth="1"/>
    <col min="4098" max="4098" width="34.453125" customWidth="1"/>
    <col min="4099" max="4100" width="9.1796875" customWidth="1"/>
    <col min="4101" max="4101" width="11.453125" customWidth="1"/>
    <col min="4102" max="4102" width="15.453125" customWidth="1"/>
    <col min="4103" max="4103" width="41.81640625" customWidth="1"/>
    <col min="4104" max="4352" width="8.81640625" customWidth="1"/>
    <col min="4353" max="4353" width="5.6328125" customWidth="1"/>
    <col min="4354" max="4354" width="34.453125" customWidth="1"/>
    <col min="4355" max="4356" width="9.1796875" customWidth="1"/>
    <col min="4357" max="4357" width="11.453125" customWidth="1"/>
    <col min="4358" max="4358" width="15.453125" customWidth="1"/>
    <col min="4359" max="4359" width="41.81640625" customWidth="1"/>
    <col min="4360" max="4608" width="8.81640625" customWidth="1"/>
    <col min="4609" max="4609" width="5.6328125" customWidth="1"/>
    <col min="4610" max="4610" width="34.453125" customWidth="1"/>
    <col min="4611" max="4612" width="9.1796875" customWidth="1"/>
    <col min="4613" max="4613" width="11.453125" customWidth="1"/>
    <col min="4614" max="4614" width="15.453125" customWidth="1"/>
    <col min="4615" max="4615" width="41.81640625" customWidth="1"/>
    <col min="4616" max="4864" width="8.81640625" customWidth="1"/>
    <col min="4865" max="4865" width="5.6328125" customWidth="1"/>
    <col min="4866" max="4866" width="34.453125" customWidth="1"/>
    <col min="4867" max="4868" width="9.1796875" customWidth="1"/>
    <col min="4869" max="4869" width="11.453125" customWidth="1"/>
    <col min="4870" max="4870" width="15.453125" customWidth="1"/>
    <col min="4871" max="4871" width="41.81640625" customWidth="1"/>
    <col min="4872" max="5120" width="8.81640625" customWidth="1"/>
    <col min="5121" max="5121" width="5.6328125" customWidth="1"/>
    <col min="5122" max="5122" width="34.453125" customWidth="1"/>
    <col min="5123" max="5124" width="9.1796875" customWidth="1"/>
    <col min="5125" max="5125" width="11.453125" customWidth="1"/>
    <col min="5126" max="5126" width="15.453125" customWidth="1"/>
    <col min="5127" max="5127" width="41.81640625" customWidth="1"/>
    <col min="5128" max="5376" width="8.81640625" customWidth="1"/>
    <col min="5377" max="5377" width="5.6328125" customWidth="1"/>
    <col min="5378" max="5378" width="34.453125" customWidth="1"/>
    <col min="5379" max="5380" width="9.1796875" customWidth="1"/>
    <col min="5381" max="5381" width="11.453125" customWidth="1"/>
    <col min="5382" max="5382" width="15.453125" customWidth="1"/>
    <col min="5383" max="5383" width="41.81640625" customWidth="1"/>
    <col min="5384" max="5632" width="8.81640625" customWidth="1"/>
    <col min="5633" max="5633" width="5.6328125" customWidth="1"/>
    <col min="5634" max="5634" width="34.453125" customWidth="1"/>
    <col min="5635" max="5636" width="9.1796875" customWidth="1"/>
    <col min="5637" max="5637" width="11.453125" customWidth="1"/>
    <col min="5638" max="5638" width="15.453125" customWidth="1"/>
    <col min="5639" max="5639" width="41.81640625" customWidth="1"/>
    <col min="5640" max="5888" width="8.81640625" customWidth="1"/>
    <col min="5889" max="5889" width="5.6328125" customWidth="1"/>
    <col min="5890" max="5890" width="34.453125" customWidth="1"/>
    <col min="5891" max="5892" width="9.1796875" customWidth="1"/>
    <col min="5893" max="5893" width="11.453125" customWidth="1"/>
    <col min="5894" max="5894" width="15.453125" customWidth="1"/>
    <col min="5895" max="5895" width="41.81640625" customWidth="1"/>
    <col min="5896" max="6144" width="8.81640625" customWidth="1"/>
    <col min="6145" max="6145" width="5.6328125" customWidth="1"/>
    <col min="6146" max="6146" width="34.453125" customWidth="1"/>
    <col min="6147" max="6148" width="9.1796875" customWidth="1"/>
    <col min="6149" max="6149" width="11.453125" customWidth="1"/>
    <col min="6150" max="6150" width="15.453125" customWidth="1"/>
    <col min="6151" max="6151" width="41.81640625" customWidth="1"/>
    <col min="6152" max="6400" width="8.81640625" customWidth="1"/>
    <col min="6401" max="6401" width="5.6328125" customWidth="1"/>
    <col min="6402" max="6402" width="34.453125" customWidth="1"/>
    <col min="6403" max="6404" width="9.1796875" customWidth="1"/>
    <col min="6405" max="6405" width="11.453125" customWidth="1"/>
    <col min="6406" max="6406" width="15.453125" customWidth="1"/>
    <col min="6407" max="6407" width="41.81640625" customWidth="1"/>
    <col min="6408" max="6656" width="8.81640625" customWidth="1"/>
    <col min="6657" max="6657" width="5.6328125" customWidth="1"/>
    <col min="6658" max="6658" width="34.453125" customWidth="1"/>
    <col min="6659" max="6660" width="9.1796875" customWidth="1"/>
    <col min="6661" max="6661" width="11.453125" customWidth="1"/>
    <col min="6662" max="6662" width="15.453125" customWidth="1"/>
    <col min="6663" max="6663" width="41.81640625" customWidth="1"/>
    <col min="6664" max="6912" width="8.81640625" customWidth="1"/>
    <col min="6913" max="6913" width="5.6328125" customWidth="1"/>
    <col min="6914" max="6914" width="34.453125" customWidth="1"/>
    <col min="6915" max="6916" width="9.1796875" customWidth="1"/>
    <col min="6917" max="6917" width="11.453125" customWidth="1"/>
    <col min="6918" max="6918" width="15.453125" customWidth="1"/>
    <col min="6919" max="6919" width="41.81640625" customWidth="1"/>
    <col min="6920" max="7168" width="8.81640625" customWidth="1"/>
    <col min="7169" max="7169" width="5.6328125" customWidth="1"/>
    <col min="7170" max="7170" width="34.453125" customWidth="1"/>
    <col min="7171" max="7172" width="9.1796875" customWidth="1"/>
    <col min="7173" max="7173" width="11.453125" customWidth="1"/>
    <col min="7174" max="7174" width="15.453125" customWidth="1"/>
    <col min="7175" max="7175" width="41.81640625" customWidth="1"/>
    <col min="7176" max="7424" width="8.81640625" customWidth="1"/>
    <col min="7425" max="7425" width="5.6328125" customWidth="1"/>
    <col min="7426" max="7426" width="34.453125" customWidth="1"/>
    <col min="7427" max="7428" width="9.1796875" customWidth="1"/>
    <col min="7429" max="7429" width="11.453125" customWidth="1"/>
    <col min="7430" max="7430" width="15.453125" customWidth="1"/>
    <col min="7431" max="7431" width="41.81640625" customWidth="1"/>
    <col min="7432" max="7680" width="8.81640625" customWidth="1"/>
    <col min="7681" max="7681" width="5.6328125" customWidth="1"/>
    <col min="7682" max="7682" width="34.453125" customWidth="1"/>
    <col min="7683" max="7684" width="9.1796875" customWidth="1"/>
    <col min="7685" max="7685" width="11.453125" customWidth="1"/>
    <col min="7686" max="7686" width="15.453125" customWidth="1"/>
    <col min="7687" max="7687" width="41.81640625" customWidth="1"/>
    <col min="7688" max="7936" width="8.81640625" customWidth="1"/>
    <col min="7937" max="7937" width="5.6328125" customWidth="1"/>
    <col min="7938" max="7938" width="34.453125" customWidth="1"/>
    <col min="7939" max="7940" width="9.1796875" customWidth="1"/>
    <col min="7941" max="7941" width="11.453125" customWidth="1"/>
    <col min="7942" max="7942" width="15.453125" customWidth="1"/>
    <col min="7943" max="7943" width="41.81640625" customWidth="1"/>
    <col min="7944" max="8192" width="8.81640625" customWidth="1"/>
    <col min="8193" max="8193" width="5.6328125" customWidth="1"/>
    <col min="8194" max="8194" width="34.453125" customWidth="1"/>
    <col min="8195" max="8196" width="9.1796875" customWidth="1"/>
    <col min="8197" max="8197" width="11.453125" customWidth="1"/>
    <col min="8198" max="8198" width="15.453125" customWidth="1"/>
    <col min="8199" max="8199" width="41.81640625" customWidth="1"/>
    <col min="8200" max="8448" width="8.81640625" customWidth="1"/>
    <col min="8449" max="8449" width="5.6328125" customWidth="1"/>
    <col min="8450" max="8450" width="34.453125" customWidth="1"/>
    <col min="8451" max="8452" width="9.1796875" customWidth="1"/>
    <col min="8453" max="8453" width="11.453125" customWidth="1"/>
    <col min="8454" max="8454" width="15.453125" customWidth="1"/>
    <col min="8455" max="8455" width="41.81640625" customWidth="1"/>
    <col min="8456" max="8704" width="8.81640625" customWidth="1"/>
    <col min="8705" max="8705" width="5.6328125" customWidth="1"/>
    <col min="8706" max="8706" width="34.453125" customWidth="1"/>
    <col min="8707" max="8708" width="9.1796875" customWidth="1"/>
    <col min="8709" max="8709" width="11.453125" customWidth="1"/>
    <col min="8710" max="8710" width="15.453125" customWidth="1"/>
    <col min="8711" max="8711" width="41.81640625" customWidth="1"/>
    <col min="8712" max="8960" width="8.81640625" customWidth="1"/>
    <col min="8961" max="8961" width="5.6328125" customWidth="1"/>
    <col min="8962" max="8962" width="34.453125" customWidth="1"/>
    <col min="8963" max="8964" width="9.1796875" customWidth="1"/>
    <col min="8965" max="8965" width="11.453125" customWidth="1"/>
    <col min="8966" max="8966" width="15.453125" customWidth="1"/>
    <col min="8967" max="8967" width="41.81640625" customWidth="1"/>
    <col min="8968" max="9216" width="8.81640625" customWidth="1"/>
    <col min="9217" max="9217" width="5.6328125" customWidth="1"/>
    <col min="9218" max="9218" width="34.453125" customWidth="1"/>
    <col min="9219" max="9220" width="9.1796875" customWidth="1"/>
    <col min="9221" max="9221" width="11.453125" customWidth="1"/>
    <col min="9222" max="9222" width="15.453125" customWidth="1"/>
    <col min="9223" max="9223" width="41.81640625" customWidth="1"/>
    <col min="9224" max="9472" width="8.81640625" customWidth="1"/>
    <col min="9473" max="9473" width="5.6328125" customWidth="1"/>
    <col min="9474" max="9474" width="34.453125" customWidth="1"/>
    <col min="9475" max="9476" width="9.1796875" customWidth="1"/>
    <col min="9477" max="9477" width="11.453125" customWidth="1"/>
    <col min="9478" max="9478" width="15.453125" customWidth="1"/>
    <col min="9479" max="9479" width="41.81640625" customWidth="1"/>
    <col min="9480" max="9728" width="8.81640625" customWidth="1"/>
    <col min="9729" max="9729" width="5.6328125" customWidth="1"/>
    <col min="9730" max="9730" width="34.453125" customWidth="1"/>
    <col min="9731" max="9732" width="9.1796875" customWidth="1"/>
    <col min="9733" max="9733" width="11.453125" customWidth="1"/>
    <col min="9734" max="9734" width="15.453125" customWidth="1"/>
    <col min="9735" max="9735" width="41.81640625" customWidth="1"/>
    <col min="9736" max="9984" width="8.81640625" customWidth="1"/>
    <col min="9985" max="9985" width="5.6328125" customWidth="1"/>
    <col min="9986" max="9986" width="34.453125" customWidth="1"/>
    <col min="9987" max="9988" width="9.1796875" customWidth="1"/>
    <col min="9989" max="9989" width="11.453125" customWidth="1"/>
    <col min="9990" max="9990" width="15.453125" customWidth="1"/>
    <col min="9991" max="9991" width="41.81640625" customWidth="1"/>
    <col min="9992" max="10240" width="8.81640625" customWidth="1"/>
    <col min="10241" max="10241" width="5.6328125" customWidth="1"/>
    <col min="10242" max="10242" width="34.453125" customWidth="1"/>
    <col min="10243" max="10244" width="9.1796875" customWidth="1"/>
    <col min="10245" max="10245" width="11.453125" customWidth="1"/>
    <col min="10246" max="10246" width="15.453125" customWidth="1"/>
    <col min="10247" max="10247" width="41.81640625" customWidth="1"/>
    <col min="10248" max="10496" width="8.81640625" customWidth="1"/>
    <col min="10497" max="10497" width="5.6328125" customWidth="1"/>
    <col min="10498" max="10498" width="34.453125" customWidth="1"/>
    <col min="10499" max="10500" width="9.1796875" customWidth="1"/>
    <col min="10501" max="10501" width="11.453125" customWidth="1"/>
    <col min="10502" max="10502" width="15.453125" customWidth="1"/>
    <col min="10503" max="10503" width="41.81640625" customWidth="1"/>
    <col min="10504" max="10752" width="8.81640625" customWidth="1"/>
    <col min="10753" max="10753" width="5.6328125" customWidth="1"/>
    <col min="10754" max="10754" width="34.453125" customWidth="1"/>
    <col min="10755" max="10756" width="9.1796875" customWidth="1"/>
    <col min="10757" max="10757" width="11.453125" customWidth="1"/>
    <col min="10758" max="10758" width="15.453125" customWidth="1"/>
    <col min="10759" max="10759" width="41.81640625" customWidth="1"/>
    <col min="10760" max="11008" width="8.81640625" customWidth="1"/>
    <col min="11009" max="11009" width="5.6328125" customWidth="1"/>
    <col min="11010" max="11010" width="34.453125" customWidth="1"/>
    <col min="11011" max="11012" width="9.1796875" customWidth="1"/>
    <col min="11013" max="11013" width="11.453125" customWidth="1"/>
    <col min="11014" max="11014" width="15.453125" customWidth="1"/>
    <col min="11015" max="11015" width="41.81640625" customWidth="1"/>
    <col min="11016" max="11264" width="8.81640625" customWidth="1"/>
    <col min="11265" max="11265" width="5.6328125" customWidth="1"/>
    <col min="11266" max="11266" width="34.453125" customWidth="1"/>
    <col min="11267" max="11268" width="9.1796875" customWidth="1"/>
    <col min="11269" max="11269" width="11.453125" customWidth="1"/>
    <col min="11270" max="11270" width="15.453125" customWidth="1"/>
    <col min="11271" max="11271" width="41.81640625" customWidth="1"/>
    <col min="11272" max="11520" width="8.81640625" customWidth="1"/>
    <col min="11521" max="11521" width="5.6328125" customWidth="1"/>
    <col min="11522" max="11522" width="34.453125" customWidth="1"/>
    <col min="11523" max="11524" width="9.1796875" customWidth="1"/>
    <col min="11525" max="11525" width="11.453125" customWidth="1"/>
    <col min="11526" max="11526" width="15.453125" customWidth="1"/>
    <col min="11527" max="11527" width="41.81640625" customWidth="1"/>
    <col min="11528" max="11776" width="8.81640625" customWidth="1"/>
    <col min="11777" max="11777" width="5.6328125" customWidth="1"/>
    <col min="11778" max="11778" width="34.453125" customWidth="1"/>
    <col min="11779" max="11780" width="9.1796875" customWidth="1"/>
    <col min="11781" max="11781" width="11.453125" customWidth="1"/>
    <col min="11782" max="11782" width="15.453125" customWidth="1"/>
    <col min="11783" max="11783" width="41.81640625" customWidth="1"/>
    <col min="11784" max="12032" width="8.81640625" customWidth="1"/>
    <col min="12033" max="12033" width="5.6328125" customWidth="1"/>
    <col min="12034" max="12034" width="34.453125" customWidth="1"/>
    <col min="12035" max="12036" width="9.1796875" customWidth="1"/>
    <col min="12037" max="12037" width="11.453125" customWidth="1"/>
    <col min="12038" max="12038" width="15.453125" customWidth="1"/>
    <col min="12039" max="12039" width="41.81640625" customWidth="1"/>
    <col min="12040" max="12288" width="8.81640625" customWidth="1"/>
    <col min="12289" max="12289" width="5.6328125" customWidth="1"/>
    <col min="12290" max="12290" width="34.453125" customWidth="1"/>
    <col min="12291" max="12292" width="9.1796875" customWidth="1"/>
    <col min="12293" max="12293" width="11.453125" customWidth="1"/>
    <col min="12294" max="12294" width="15.453125" customWidth="1"/>
    <col min="12295" max="12295" width="41.81640625" customWidth="1"/>
    <col min="12296" max="12544" width="8.81640625" customWidth="1"/>
    <col min="12545" max="12545" width="5.6328125" customWidth="1"/>
    <col min="12546" max="12546" width="34.453125" customWidth="1"/>
    <col min="12547" max="12548" width="9.1796875" customWidth="1"/>
    <col min="12549" max="12549" width="11.453125" customWidth="1"/>
    <col min="12550" max="12550" width="15.453125" customWidth="1"/>
    <col min="12551" max="12551" width="41.81640625" customWidth="1"/>
    <col min="12552" max="12800" width="8.81640625" customWidth="1"/>
    <col min="12801" max="12801" width="5.6328125" customWidth="1"/>
    <col min="12802" max="12802" width="34.453125" customWidth="1"/>
    <col min="12803" max="12804" width="9.1796875" customWidth="1"/>
    <col min="12805" max="12805" width="11.453125" customWidth="1"/>
    <col min="12806" max="12806" width="15.453125" customWidth="1"/>
    <col min="12807" max="12807" width="41.81640625" customWidth="1"/>
    <col min="12808" max="13056" width="8.81640625" customWidth="1"/>
    <col min="13057" max="13057" width="5.6328125" customWidth="1"/>
    <col min="13058" max="13058" width="34.453125" customWidth="1"/>
    <col min="13059" max="13060" width="9.1796875" customWidth="1"/>
    <col min="13061" max="13061" width="11.453125" customWidth="1"/>
    <col min="13062" max="13062" width="15.453125" customWidth="1"/>
    <col min="13063" max="13063" width="41.81640625" customWidth="1"/>
    <col min="13064" max="13312" width="8.81640625" customWidth="1"/>
    <col min="13313" max="13313" width="5.6328125" customWidth="1"/>
    <col min="13314" max="13314" width="34.453125" customWidth="1"/>
    <col min="13315" max="13316" width="9.1796875" customWidth="1"/>
    <col min="13317" max="13317" width="11.453125" customWidth="1"/>
    <col min="13318" max="13318" width="15.453125" customWidth="1"/>
    <col min="13319" max="13319" width="41.81640625" customWidth="1"/>
    <col min="13320" max="13568" width="8.81640625" customWidth="1"/>
    <col min="13569" max="13569" width="5.6328125" customWidth="1"/>
    <col min="13570" max="13570" width="34.453125" customWidth="1"/>
    <col min="13571" max="13572" width="9.1796875" customWidth="1"/>
    <col min="13573" max="13573" width="11.453125" customWidth="1"/>
    <col min="13574" max="13574" width="15.453125" customWidth="1"/>
    <col min="13575" max="13575" width="41.81640625" customWidth="1"/>
    <col min="13576" max="13824" width="8.81640625" customWidth="1"/>
    <col min="13825" max="13825" width="5.6328125" customWidth="1"/>
    <col min="13826" max="13826" width="34.453125" customWidth="1"/>
    <col min="13827" max="13828" width="9.1796875" customWidth="1"/>
    <col min="13829" max="13829" width="11.453125" customWidth="1"/>
    <col min="13830" max="13830" width="15.453125" customWidth="1"/>
    <col min="13831" max="13831" width="41.81640625" customWidth="1"/>
    <col min="13832" max="14080" width="8.81640625" customWidth="1"/>
    <col min="14081" max="14081" width="5.6328125" customWidth="1"/>
    <col min="14082" max="14082" width="34.453125" customWidth="1"/>
    <col min="14083" max="14084" width="9.1796875" customWidth="1"/>
    <col min="14085" max="14085" width="11.453125" customWidth="1"/>
    <col min="14086" max="14086" width="15.453125" customWidth="1"/>
    <col min="14087" max="14087" width="41.81640625" customWidth="1"/>
    <col min="14088" max="14336" width="8.81640625" customWidth="1"/>
    <col min="14337" max="14337" width="5.6328125" customWidth="1"/>
    <col min="14338" max="14338" width="34.453125" customWidth="1"/>
    <col min="14339" max="14340" width="9.1796875" customWidth="1"/>
    <col min="14341" max="14341" width="11.453125" customWidth="1"/>
    <col min="14342" max="14342" width="15.453125" customWidth="1"/>
    <col min="14343" max="14343" width="41.81640625" customWidth="1"/>
    <col min="14344" max="14592" width="8.81640625" customWidth="1"/>
    <col min="14593" max="14593" width="5.6328125" customWidth="1"/>
    <col min="14594" max="14594" width="34.453125" customWidth="1"/>
    <col min="14595" max="14596" width="9.1796875" customWidth="1"/>
    <col min="14597" max="14597" width="11.453125" customWidth="1"/>
    <col min="14598" max="14598" width="15.453125" customWidth="1"/>
    <col min="14599" max="14599" width="41.81640625" customWidth="1"/>
    <col min="14600" max="14848" width="8.81640625" customWidth="1"/>
    <col min="14849" max="14849" width="5.6328125" customWidth="1"/>
    <col min="14850" max="14850" width="34.453125" customWidth="1"/>
    <col min="14851" max="14852" width="9.1796875" customWidth="1"/>
    <col min="14853" max="14853" width="11.453125" customWidth="1"/>
    <col min="14854" max="14854" width="15.453125" customWidth="1"/>
    <col min="14855" max="14855" width="41.81640625" customWidth="1"/>
    <col min="14856" max="15104" width="8.81640625" customWidth="1"/>
    <col min="15105" max="15105" width="5.6328125" customWidth="1"/>
    <col min="15106" max="15106" width="34.453125" customWidth="1"/>
    <col min="15107" max="15108" width="9.1796875" customWidth="1"/>
    <col min="15109" max="15109" width="11.453125" customWidth="1"/>
    <col min="15110" max="15110" width="15.453125" customWidth="1"/>
    <col min="15111" max="15111" width="41.81640625" customWidth="1"/>
    <col min="15112" max="15360" width="8.81640625" customWidth="1"/>
    <col min="15361" max="15361" width="5.6328125" customWidth="1"/>
    <col min="15362" max="15362" width="34.453125" customWidth="1"/>
    <col min="15363" max="15364" width="9.1796875" customWidth="1"/>
    <col min="15365" max="15365" width="11.453125" customWidth="1"/>
    <col min="15366" max="15366" width="15.453125" customWidth="1"/>
    <col min="15367" max="15367" width="41.81640625" customWidth="1"/>
    <col min="15368" max="15616" width="8.81640625" customWidth="1"/>
    <col min="15617" max="15617" width="5.6328125" customWidth="1"/>
    <col min="15618" max="15618" width="34.453125" customWidth="1"/>
    <col min="15619" max="15620" width="9.1796875" customWidth="1"/>
    <col min="15621" max="15621" width="11.453125" customWidth="1"/>
    <col min="15622" max="15622" width="15.453125" customWidth="1"/>
    <col min="15623" max="15623" width="41.81640625" customWidth="1"/>
    <col min="15624" max="15872" width="8.81640625" customWidth="1"/>
    <col min="15873" max="15873" width="5.6328125" customWidth="1"/>
    <col min="15874" max="15874" width="34.453125" customWidth="1"/>
    <col min="15875" max="15876" width="9.1796875" customWidth="1"/>
    <col min="15877" max="15877" width="11.453125" customWidth="1"/>
    <col min="15878" max="15878" width="15.453125" customWidth="1"/>
    <col min="15879" max="15879" width="41.81640625" customWidth="1"/>
    <col min="15880" max="16128" width="8.81640625" customWidth="1"/>
    <col min="16129" max="16129" width="5.6328125" customWidth="1"/>
    <col min="16130" max="16130" width="34.453125" customWidth="1"/>
    <col min="16131" max="16132" width="9.1796875" customWidth="1"/>
    <col min="16133" max="16133" width="11.453125" customWidth="1"/>
    <col min="16134" max="16134" width="15.453125" customWidth="1"/>
    <col min="16135" max="16135" width="41.81640625" customWidth="1"/>
    <col min="16136" max="16384" width="8.81640625" customWidth="1"/>
  </cols>
  <sheetData>
    <row r="1" spans="1:9" ht="14" x14ac:dyDescent="0.3">
      <c r="A1" s="1560" t="s">
        <v>1011</v>
      </c>
      <c r="B1" s="1560"/>
      <c r="C1" s="1561" t="s">
        <v>1012</v>
      </c>
      <c r="D1" s="1561"/>
      <c r="E1" s="1561"/>
      <c r="F1" s="1561"/>
      <c r="G1" s="944"/>
    </row>
    <row r="2" spans="1:9" ht="14" x14ac:dyDescent="0.3">
      <c r="A2" s="1562" t="s">
        <v>136</v>
      </c>
      <c r="B2" s="1562"/>
      <c r="C2" s="1561" t="s">
        <v>1013</v>
      </c>
      <c r="D2" s="1561"/>
      <c r="E2" s="1561"/>
      <c r="F2" s="1561"/>
      <c r="G2" s="944"/>
    </row>
    <row r="3" spans="1:9" ht="15.5" x14ac:dyDescent="0.35">
      <c r="A3" s="945"/>
      <c r="B3" s="946"/>
      <c r="C3" s="945"/>
      <c r="D3" s="945"/>
      <c r="E3" s="947"/>
      <c r="F3" s="948"/>
      <c r="G3" s="944"/>
    </row>
    <row r="4" spans="1:9" ht="14" x14ac:dyDescent="0.3">
      <c r="A4" s="1582" t="s">
        <v>1213</v>
      </c>
      <c r="B4" s="1582"/>
      <c r="C4" s="1582"/>
      <c r="D4" s="1582"/>
      <c r="E4" s="1582"/>
      <c r="F4" s="1582"/>
      <c r="G4" s="1582"/>
    </row>
    <row r="5" spans="1:9" ht="14" x14ac:dyDescent="0.25">
      <c r="A5" s="1583" t="s">
        <v>1214</v>
      </c>
      <c r="B5" s="1583"/>
      <c r="C5" s="1583"/>
      <c r="D5" s="1583"/>
      <c r="E5" s="1583"/>
      <c r="F5" s="1583"/>
      <c r="G5" s="1583"/>
    </row>
    <row r="6" spans="1:9" ht="28" x14ac:dyDescent="0.25">
      <c r="A6" s="1198" t="s">
        <v>51</v>
      </c>
      <c r="B6" s="1199" t="s">
        <v>1016</v>
      </c>
      <c r="C6" s="1199" t="s">
        <v>1</v>
      </c>
      <c r="D6" s="1199" t="s">
        <v>373</v>
      </c>
      <c r="E6" s="1200" t="s">
        <v>28</v>
      </c>
      <c r="F6" s="1201" t="s">
        <v>1017</v>
      </c>
      <c r="G6" s="1198" t="s">
        <v>2</v>
      </c>
    </row>
    <row r="7" spans="1:9" ht="15.5" x14ac:dyDescent="0.3">
      <c r="A7" s="1199" t="s">
        <v>7</v>
      </c>
      <c r="B7" s="1202" t="s">
        <v>1018</v>
      </c>
      <c r="C7" s="1203"/>
      <c r="D7" s="1203"/>
      <c r="E7" s="1204"/>
      <c r="F7" s="1205"/>
      <c r="G7" s="1206"/>
    </row>
    <row r="8" spans="1:9" ht="15.5" x14ac:dyDescent="0.35">
      <c r="A8" s="1203">
        <v>1</v>
      </c>
      <c r="B8" s="1165" t="s">
        <v>1019</v>
      </c>
      <c r="C8" s="1203" t="s">
        <v>1020</v>
      </c>
      <c r="D8" s="1207">
        <v>720</v>
      </c>
      <c r="E8" s="1204">
        <v>50000</v>
      </c>
      <c r="F8" s="1205">
        <f>D8*E8</f>
        <v>36000000</v>
      </c>
      <c r="G8" s="1208"/>
    </row>
    <row r="9" spans="1:9" ht="15.5" x14ac:dyDescent="0.35">
      <c r="A9" s="1123">
        <v>2</v>
      </c>
      <c r="B9" s="1165" t="s">
        <v>1022</v>
      </c>
      <c r="C9" s="1203" t="s">
        <v>1020</v>
      </c>
      <c r="D9" s="1203">
        <v>720</v>
      </c>
      <c r="E9" s="1204">
        <v>50000</v>
      </c>
      <c r="F9" s="1205">
        <f>D9*E9</f>
        <v>36000000</v>
      </c>
      <c r="G9" s="1208"/>
    </row>
    <row r="10" spans="1:9" ht="15.5" x14ac:dyDescent="0.3">
      <c r="A10" s="1209" t="s">
        <v>8</v>
      </c>
      <c r="B10" s="1202" t="s">
        <v>1024</v>
      </c>
      <c r="C10" s="1203"/>
      <c r="D10" s="1203"/>
      <c r="E10" s="1204"/>
      <c r="F10" s="1205"/>
      <c r="G10" s="1210"/>
      <c r="I10" s="2"/>
    </row>
    <row r="11" spans="1:9" ht="15.5" x14ac:dyDescent="0.35">
      <c r="A11" s="1203">
        <v>1</v>
      </c>
      <c r="B11" s="1165" t="s">
        <v>1025</v>
      </c>
      <c r="C11" s="1203" t="s">
        <v>1020</v>
      </c>
      <c r="D11" s="1203">
        <v>5</v>
      </c>
      <c r="E11" s="1204">
        <v>50000</v>
      </c>
      <c r="F11" s="1205">
        <f>D11*E11*8*8</f>
        <v>16000000</v>
      </c>
      <c r="G11" s="1211"/>
    </row>
    <row r="12" spans="1:9" ht="15.5" x14ac:dyDescent="0.35">
      <c r="A12" s="1198">
        <v>2</v>
      </c>
      <c r="B12" s="1165" t="s">
        <v>1027</v>
      </c>
      <c r="C12" s="1203" t="s">
        <v>1020</v>
      </c>
      <c r="D12" s="1207">
        <v>3</v>
      </c>
      <c r="E12" s="1204">
        <v>50000</v>
      </c>
      <c r="F12" s="1205">
        <f>D12*E12*8*2*8</f>
        <v>19200000</v>
      </c>
      <c r="G12" s="1211"/>
    </row>
    <row r="13" spans="1:9" ht="15.5" x14ac:dyDescent="0.35">
      <c r="A13" s="1203">
        <v>3</v>
      </c>
      <c r="B13" s="1165" t="s">
        <v>1215</v>
      </c>
      <c r="C13" s="1203" t="s">
        <v>1020</v>
      </c>
      <c r="D13" s="1203">
        <v>1</v>
      </c>
      <c r="E13" s="1204">
        <v>50000</v>
      </c>
      <c r="F13" s="1205">
        <f>D13*E13*8</f>
        <v>400000</v>
      </c>
      <c r="G13" s="1211"/>
    </row>
    <row r="14" spans="1:9" ht="15.5" x14ac:dyDescent="0.35">
      <c r="A14" s="1203">
        <v>4</v>
      </c>
      <c r="B14" s="1165" t="s">
        <v>1216</v>
      </c>
      <c r="C14" s="1203" t="s">
        <v>1032</v>
      </c>
      <c r="D14" s="1203">
        <v>8</v>
      </c>
      <c r="E14" s="1204">
        <v>300000</v>
      </c>
      <c r="F14" s="1205">
        <f>D14*E14</f>
        <v>2400000</v>
      </c>
      <c r="G14" s="1211"/>
    </row>
    <row r="15" spans="1:9" ht="15.5" x14ac:dyDescent="0.35">
      <c r="A15" s="1203">
        <v>5</v>
      </c>
      <c r="B15" s="1165" t="s">
        <v>1034</v>
      </c>
      <c r="C15" s="1203" t="s">
        <v>370</v>
      </c>
      <c r="D15" s="1207">
        <v>2</v>
      </c>
      <c r="E15" s="1204">
        <v>100000</v>
      </c>
      <c r="F15" s="1205">
        <f>D15*E15*8</f>
        <v>1600000</v>
      </c>
      <c r="G15" s="1211"/>
    </row>
    <row r="16" spans="1:9" ht="15.5" x14ac:dyDescent="0.35">
      <c r="A16" s="1203">
        <v>6</v>
      </c>
      <c r="B16" s="1165" t="s">
        <v>786</v>
      </c>
      <c r="C16" s="1203" t="s">
        <v>1032</v>
      </c>
      <c r="D16" s="1203">
        <v>8</v>
      </c>
      <c r="E16" s="1204">
        <v>200000</v>
      </c>
      <c r="F16" s="1205">
        <f>D16*E16</f>
        <v>1600000</v>
      </c>
      <c r="G16" s="1211"/>
    </row>
    <row r="17" spans="1:7" ht="15.5" x14ac:dyDescent="0.35">
      <c r="A17" s="1203">
        <v>7</v>
      </c>
      <c r="B17" s="1165" t="s">
        <v>1037</v>
      </c>
      <c r="C17" s="1203" t="s">
        <v>1032</v>
      </c>
      <c r="D17" s="1203">
        <v>8</v>
      </c>
      <c r="E17" s="1204">
        <v>150000</v>
      </c>
      <c r="F17" s="1205">
        <f>D17*E17</f>
        <v>1200000</v>
      </c>
      <c r="G17" s="1211"/>
    </row>
    <row r="18" spans="1:7" ht="15.5" x14ac:dyDescent="0.3">
      <c r="A18" s="1198" t="s">
        <v>25</v>
      </c>
      <c r="B18" s="1202" t="s">
        <v>1039</v>
      </c>
      <c r="C18" s="1212"/>
      <c r="D18" s="1212"/>
      <c r="E18" s="1101"/>
      <c r="F18" s="1205"/>
      <c r="G18" s="1213"/>
    </row>
    <row r="19" spans="1:7" ht="15.5" x14ac:dyDescent="0.35">
      <c r="A19" s="1203">
        <v>1</v>
      </c>
      <c r="B19" s="1165" t="s">
        <v>1040</v>
      </c>
      <c r="C19" s="1203" t="s">
        <v>1032</v>
      </c>
      <c r="D19" s="1203">
        <v>8</v>
      </c>
      <c r="E19" s="1204">
        <v>200000</v>
      </c>
      <c r="F19" s="1205">
        <f t="shared" ref="F19:F29" si="0">D19*E19</f>
        <v>1600000</v>
      </c>
      <c r="G19" s="1211"/>
    </row>
    <row r="20" spans="1:7" ht="15.5" x14ac:dyDescent="0.25">
      <c r="A20" s="1203">
        <v>2</v>
      </c>
      <c r="B20" s="1185" t="s">
        <v>1041</v>
      </c>
      <c r="C20" s="1214" t="s">
        <v>1042</v>
      </c>
      <c r="D20" s="1214">
        <v>2</v>
      </c>
      <c r="E20" s="1215">
        <v>300000</v>
      </c>
      <c r="F20" s="1205">
        <f t="shared" si="0"/>
        <v>600000</v>
      </c>
      <c r="G20" s="1216"/>
    </row>
    <row r="21" spans="1:7" ht="15.5" x14ac:dyDescent="0.35">
      <c r="A21" s="1203" t="s">
        <v>36</v>
      </c>
      <c r="B21" s="977" t="s">
        <v>1044</v>
      </c>
      <c r="C21" s="1108"/>
      <c r="D21" s="1203"/>
      <c r="E21" s="1204"/>
      <c r="F21" s="1205"/>
      <c r="G21" s="1211"/>
    </row>
    <row r="22" spans="1:7" ht="15.5" x14ac:dyDescent="0.35">
      <c r="A22" s="1203">
        <v>1</v>
      </c>
      <c r="B22" s="1165" t="s">
        <v>1045</v>
      </c>
      <c r="C22" s="1203" t="s">
        <v>1042</v>
      </c>
      <c r="D22" s="1203">
        <v>180</v>
      </c>
      <c r="E22" s="1204">
        <v>10000</v>
      </c>
      <c r="F22" s="1205">
        <f t="shared" si="0"/>
        <v>1800000</v>
      </c>
      <c r="G22" s="1211"/>
    </row>
    <row r="23" spans="1:7" ht="15.5" x14ac:dyDescent="0.35">
      <c r="A23" s="1203">
        <v>2</v>
      </c>
      <c r="B23" s="1165" t="s">
        <v>1047</v>
      </c>
      <c r="C23" s="1203"/>
      <c r="D23" s="1203"/>
      <c r="E23" s="1204"/>
      <c r="F23" s="1205"/>
      <c r="G23" s="1211"/>
    </row>
    <row r="24" spans="1:7" ht="15.5" x14ac:dyDescent="0.35">
      <c r="A24" s="1203"/>
      <c r="B24" s="1165" t="s">
        <v>1048</v>
      </c>
      <c r="C24" s="1203" t="s">
        <v>1032</v>
      </c>
      <c r="D24" s="1203">
        <v>8</v>
      </c>
      <c r="E24" s="1204">
        <v>150000</v>
      </c>
      <c r="F24" s="1205">
        <f t="shared" si="0"/>
        <v>1200000</v>
      </c>
      <c r="G24" s="1211"/>
    </row>
    <row r="25" spans="1:7" ht="15.5" x14ac:dyDescent="0.35">
      <c r="A25" s="1203"/>
      <c r="B25" s="1165" t="s">
        <v>1049</v>
      </c>
      <c r="C25" s="1203" t="s">
        <v>1032</v>
      </c>
      <c r="D25" s="1203">
        <v>8</v>
      </c>
      <c r="E25" s="1204">
        <v>100000</v>
      </c>
      <c r="F25" s="1205">
        <f t="shared" si="0"/>
        <v>800000</v>
      </c>
      <c r="G25" s="1211"/>
    </row>
    <row r="26" spans="1:7" ht="39" x14ac:dyDescent="0.3">
      <c r="A26" s="1203" t="s">
        <v>579</v>
      </c>
      <c r="B26" s="1217" t="s">
        <v>1051</v>
      </c>
      <c r="C26" s="1217"/>
      <c r="D26" s="1217"/>
      <c r="E26" s="1217"/>
      <c r="F26" s="1205"/>
      <c r="G26" s="1218"/>
    </row>
    <row r="27" spans="1:7" ht="15.5" x14ac:dyDescent="0.35">
      <c r="A27" s="1203">
        <v>1</v>
      </c>
      <c r="B27" s="982" t="s">
        <v>1052</v>
      </c>
      <c r="C27" s="1203"/>
      <c r="D27" s="1203"/>
      <c r="E27" s="1204"/>
      <c r="F27" s="1205"/>
      <c r="G27" s="1211"/>
    </row>
    <row r="28" spans="1:7" ht="15.5" x14ac:dyDescent="0.35">
      <c r="A28" s="1203"/>
      <c r="B28" s="1165" t="s">
        <v>1053</v>
      </c>
      <c r="C28" s="1203" t="s">
        <v>1054</v>
      </c>
      <c r="D28" s="1203">
        <v>1</v>
      </c>
      <c r="E28" s="1204">
        <v>500000</v>
      </c>
      <c r="F28" s="1205">
        <f t="shared" si="0"/>
        <v>500000</v>
      </c>
      <c r="G28" s="1211"/>
    </row>
    <row r="29" spans="1:7" ht="15.5" x14ac:dyDescent="0.35">
      <c r="A29" s="1203"/>
      <c r="B29" s="1165" t="s">
        <v>1056</v>
      </c>
      <c r="C29" s="1203" t="s">
        <v>1057</v>
      </c>
      <c r="D29" s="1203">
        <v>8</v>
      </c>
      <c r="E29" s="1204">
        <v>100000</v>
      </c>
      <c r="F29" s="1205">
        <f t="shared" si="0"/>
        <v>800000</v>
      </c>
      <c r="G29" s="1211"/>
    </row>
    <row r="30" spans="1:7" ht="15.5" x14ac:dyDescent="0.35">
      <c r="A30" s="1203">
        <v>2</v>
      </c>
      <c r="B30" s="982" t="s">
        <v>1059</v>
      </c>
      <c r="C30" s="1203"/>
      <c r="D30" s="1203"/>
      <c r="E30" s="1204"/>
      <c r="F30" s="1205"/>
      <c r="G30" s="1211"/>
    </row>
    <row r="31" spans="1:7" ht="15.5" x14ac:dyDescent="0.35">
      <c r="A31" s="1203"/>
      <c r="B31" s="1165"/>
      <c r="C31" s="1203" t="s">
        <v>1042</v>
      </c>
      <c r="D31" s="1203">
        <v>22</v>
      </c>
      <c r="E31" s="1204">
        <v>50000</v>
      </c>
      <c r="F31" s="1205">
        <f>D31*E31*5</f>
        <v>5500000</v>
      </c>
      <c r="G31" s="1211"/>
    </row>
    <row r="32" spans="1:7" ht="15.5" x14ac:dyDescent="0.35">
      <c r="A32" s="1203"/>
      <c r="B32" s="1165"/>
      <c r="C32" s="1203" t="s">
        <v>1042</v>
      </c>
      <c r="D32" s="1203">
        <v>22</v>
      </c>
      <c r="E32" s="1204">
        <v>50000</v>
      </c>
      <c r="F32" s="1205">
        <f>D32*E32*5</f>
        <v>5500000</v>
      </c>
      <c r="G32" s="1211"/>
    </row>
    <row r="33" spans="1:7" ht="15.5" x14ac:dyDescent="0.35">
      <c r="A33" s="1214"/>
      <c r="B33" s="1219"/>
      <c r="C33" s="1203" t="s">
        <v>1054</v>
      </c>
      <c r="D33" s="1123">
        <v>1</v>
      </c>
      <c r="E33" s="1074">
        <v>500000</v>
      </c>
      <c r="F33" s="1205">
        <f>D33*E33*5</f>
        <v>2500000</v>
      </c>
      <c r="G33" s="1211"/>
    </row>
    <row r="34" spans="1:7" ht="15" x14ac:dyDescent="0.25">
      <c r="A34" s="1203"/>
      <c r="B34" s="1220" t="s">
        <v>14</v>
      </c>
      <c r="C34" s="1203"/>
      <c r="D34" s="1203"/>
      <c r="E34" s="1204"/>
      <c r="F34" s="1221">
        <f>SUM(F8:F33)</f>
        <v>135200000</v>
      </c>
      <c r="G34" s="1222"/>
    </row>
    <row r="35" spans="1:7" x14ac:dyDescent="0.25">
      <c r="F35" s="1223"/>
      <c r="G35" s="1224"/>
    </row>
    <row r="36" spans="1:7" ht="15.5" x14ac:dyDescent="0.35">
      <c r="F36" s="1581" t="s">
        <v>1323</v>
      </c>
      <c r="G36" s="1581"/>
    </row>
    <row r="37" spans="1:7" ht="14" x14ac:dyDescent="0.3">
      <c r="A37" s="949"/>
      <c r="B37" s="991"/>
      <c r="C37" s="949"/>
      <c r="D37" s="949"/>
      <c r="E37" s="944"/>
    </row>
    <row r="38" spans="1:7" ht="14" x14ac:dyDescent="0.25">
      <c r="A38" s="1558" t="s">
        <v>1066</v>
      </c>
      <c r="B38" s="1559"/>
      <c r="C38" s="1559"/>
      <c r="D38" s="1559"/>
      <c r="E38" s="1559"/>
      <c r="F38" s="1559"/>
      <c r="G38" s="1559"/>
    </row>
    <row r="39" spans="1:7" ht="15.5" x14ac:dyDescent="0.35">
      <c r="A39" s="949"/>
      <c r="B39" s="991"/>
      <c r="C39" s="949"/>
      <c r="D39" s="949"/>
      <c r="E39" s="992"/>
      <c r="F39" s="745"/>
    </row>
    <row r="40" spans="1:7" ht="15.5" x14ac:dyDescent="0.35">
      <c r="A40" s="949"/>
      <c r="B40" s="991"/>
      <c r="C40" s="949"/>
      <c r="D40" s="949"/>
      <c r="E40" s="992"/>
      <c r="F40" s="745"/>
      <c r="G40" s="944"/>
    </row>
    <row r="41" spans="1:7" ht="15.5" x14ac:dyDescent="0.35">
      <c r="A41" s="949"/>
      <c r="B41" s="991"/>
      <c r="C41" s="949"/>
      <c r="D41" s="949"/>
      <c r="E41" s="992"/>
      <c r="F41" s="745"/>
      <c r="G41" s="944"/>
    </row>
    <row r="42" spans="1:7" ht="15.5" x14ac:dyDescent="0.35">
      <c r="A42" s="949"/>
      <c r="B42" s="991"/>
      <c r="C42" s="949"/>
      <c r="D42" s="949"/>
      <c r="E42" s="992"/>
      <c r="F42" s="745"/>
      <c r="G42" s="993" t="s">
        <v>1217</v>
      </c>
    </row>
  </sheetData>
  <mergeCells count="8">
    <mergeCell ref="F36:G36"/>
    <mergeCell ref="A38:G38"/>
    <mergeCell ref="A1:B1"/>
    <mergeCell ref="C1:F1"/>
    <mergeCell ref="A2:B2"/>
    <mergeCell ref="C2:F2"/>
    <mergeCell ref="A4:G4"/>
    <mergeCell ref="A5:G5"/>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7501C-BA68-4347-BD73-A2658AB1E44A}">
  <dimension ref="A1:BK131"/>
  <sheetViews>
    <sheetView topLeftCell="A74" workbookViewId="0">
      <selection activeCell="I25" sqref="I25"/>
    </sheetView>
  </sheetViews>
  <sheetFormatPr defaultColWidth="10.90625" defaultRowHeight="12.5" x14ac:dyDescent="0.25"/>
  <cols>
    <col min="1" max="1" width="5.6328125" customWidth="1"/>
    <col min="2" max="2" width="25" customWidth="1"/>
    <col min="3" max="3" width="7.36328125" customWidth="1"/>
    <col min="4" max="5" width="6.36328125" customWidth="1"/>
    <col min="6" max="6" width="9" customWidth="1"/>
    <col min="7" max="7" width="6.6328125" customWidth="1"/>
    <col min="8" max="8" width="12.1796875" customWidth="1"/>
    <col min="9" max="9" width="36" customWidth="1"/>
    <col min="10" max="10" width="18" customWidth="1"/>
    <col min="11" max="256" width="8.81640625" customWidth="1"/>
    <col min="257" max="257" width="5.6328125" customWidth="1"/>
    <col min="258" max="258" width="25" customWidth="1"/>
    <col min="259" max="259" width="7.36328125" customWidth="1"/>
    <col min="260" max="261" width="6.36328125" customWidth="1"/>
    <col min="262" max="262" width="9" customWidth="1"/>
    <col min="263" max="263" width="6.6328125" customWidth="1"/>
    <col min="264" max="264" width="12.1796875" customWidth="1"/>
    <col min="265" max="265" width="36" customWidth="1"/>
    <col min="266" max="266" width="18" customWidth="1"/>
    <col min="267" max="512" width="8.81640625" customWidth="1"/>
    <col min="513" max="513" width="5.6328125" customWidth="1"/>
    <col min="514" max="514" width="25" customWidth="1"/>
    <col min="515" max="515" width="7.36328125" customWidth="1"/>
    <col min="516" max="517" width="6.36328125" customWidth="1"/>
    <col min="518" max="518" width="9" customWidth="1"/>
    <col min="519" max="519" width="6.6328125" customWidth="1"/>
    <col min="520" max="520" width="12.1796875" customWidth="1"/>
    <col min="521" max="521" width="36" customWidth="1"/>
    <col min="522" max="522" width="18" customWidth="1"/>
    <col min="523" max="768" width="8.81640625" customWidth="1"/>
    <col min="769" max="769" width="5.6328125" customWidth="1"/>
    <col min="770" max="770" width="25" customWidth="1"/>
    <col min="771" max="771" width="7.36328125" customWidth="1"/>
    <col min="772" max="773" width="6.36328125" customWidth="1"/>
    <col min="774" max="774" width="9" customWidth="1"/>
    <col min="775" max="775" width="6.6328125" customWidth="1"/>
    <col min="776" max="776" width="12.1796875" customWidth="1"/>
    <col min="777" max="777" width="36" customWidth="1"/>
    <col min="778" max="778" width="18" customWidth="1"/>
    <col min="779" max="1024" width="8.81640625" customWidth="1"/>
    <col min="1025" max="1025" width="5.6328125" customWidth="1"/>
    <col min="1026" max="1026" width="25" customWidth="1"/>
    <col min="1027" max="1027" width="7.36328125" customWidth="1"/>
    <col min="1028" max="1029" width="6.36328125" customWidth="1"/>
    <col min="1030" max="1030" width="9" customWidth="1"/>
    <col min="1031" max="1031" width="6.6328125" customWidth="1"/>
    <col min="1032" max="1032" width="12.1796875" customWidth="1"/>
    <col min="1033" max="1033" width="36" customWidth="1"/>
    <col min="1034" max="1034" width="18" customWidth="1"/>
    <col min="1035" max="1280" width="8.81640625" customWidth="1"/>
    <col min="1281" max="1281" width="5.6328125" customWidth="1"/>
    <col min="1282" max="1282" width="25" customWidth="1"/>
    <col min="1283" max="1283" width="7.36328125" customWidth="1"/>
    <col min="1284" max="1285" width="6.36328125" customWidth="1"/>
    <col min="1286" max="1286" width="9" customWidth="1"/>
    <col min="1287" max="1287" width="6.6328125" customWidth="1"/>
    <col min="1288" max="1288" width="12.1796875" customWidth="1"/>
    <col min="1289" max="1289" width="36" customWidth="1"/>
    <col min="1290" max="1290" width="18" customWidth="1"/>
    <col min="1291" max="1536" width="8.81640625" customWidth="1"/>
    <col min="1537" max="1537" width="5.6328125" customWidth="1"/>
    <col min="1538" max="1538" width="25" customWidth="1"/>
    <col min="1539" max="1539" width="7.36328125" customWidth="1"/>
    <col min="1540" max="1541" width="6.36328125" customWidth="1"/>
    <col min="1542" max="1542" width="9" customWidth="1"/>
    <col min="1543" max="1543" width="6.6328125" customWidth="1"/>
    <col min="1544" max="1544" width="12.1796875" customWidth="1"/>
    <col min="1545" max="1545" width="36" customWidth="1"/>
    <col min="1546" max="1546" width="18" customWidth="1"/>
    <col min="1547" max="1792" width="8.81640625" customWidth="1"/>
    <col min="1793" max="1793" width="5.6328125" customWidth="1"/>
    <col min="1794" max="1794" width="25" customWidth="1"/>
    <col min="1795" max="1795" width="7.36328125" customWidth="1"/>
    <col min="1796" max="1797" width="6.36328125" customWidth="1"/>
    <col min="1798" max="1798" width="9" customWidth="1"/>
    <col min="1799" max="1799" width="6.6328125" customWidth="1"/>
    <col min="1800" max="1800" width="12.1796875" customWidth="1"/>
    <col min="1801" max="1801" width="36" customWidth="1"/>
    <col min="1802" max="1802" width="18" customWidth="1"/>
    <col min="1803" max="2048" width="8.81640625" customWidth="1"/>
    <col min="2049" max="2049" width="5.6328125" customWidth="1"/>
    <col min="2050" max="2050" width="25" customWidth="1"/>
    <col min="2051" max="2051" width="7.36328125" customWidth="1"/>
    <col min="2052" max="2053" width="6.36328125" customWidth="1"/>
    <col min="2054" max="2054" width="9" customWidth="1"/>
    <col min="2055" max="2055" width="6.6328125" customWidth="1"/>
    <col min="2056" max="2056" width="12.1796875" customWidth="1"/>
    <col min="2057" max="2057" width="36" customWidth="1"/>
    <col min="2058" max="2058" width="18" customWidth="1"/>
    <col min="2059" max="2304" width="8.81640625" customWidth="1"/>
    <col min="2305" max="2305" width="5.6328125" customWidth="1"/>
    <col min="2306" max="2306" width="25" customWidth="1"/>
    <col min="2307" max="2307" width="7.36328125" customWidth="1"/>
    <col min="2308" max="2309" width="6.36328125" customWidth="1"/>
    <col min="2310" max="2310" width="9" customWidth="1"/>
    <col min="2311" max="2311" width="6.6328125" customWidth="1"/>
    <col min="2312" max="2312" width="12.1796875" customWidth="1"/>
    <col min="2313" max="2313" width="36" customWidth="1"/>
    <col min="2314" max="2314" width="18" customWidth="1"/>
    <col min="2315" max="2560" width="8.81640625" customWidth="1"/>
    <col min="2561" max="2561" width="5.6328125" customWidth="1"/>
    <col min="2562" max="2562" width="25" customWidth="1"/>
    <col min="2563" max="2563" width="7.36328125" customWidth="1"/>
    <col min="2564" max="2565" width="6.36328125" customWidth="1"/>
    <col min="2566" max="2566" width="9" customWidth="1"/>
    <col min="2567" max="2567" width="6.6328125" customWidth="1"/>
    <col min="2568" max="2568" width="12.1796875" customWidth="1"/>
    <col min="2569" max="2569" width="36" customWidth="1"/>
    <col min="2570" max="2570" width="18" customWidth="1"/>
    <col min="2571" max="2816" width="8.81640625" customWidth="1"/>
    <col min="2817" max="2817" width="5.6328125" customWidth="1"/>
    <col min="2818" max="2818" width="25" customWidth="1"/>
    <col min="2819" max="2819" width="7.36328125" customWidth="1"/>
    <col min="2820" max="2821" width="6.36328125" customWidth="1"/>
    <col min="2822" max="2822" width="9" customWidth="1"/>
    <col min="2823" max="2823" width="6.6328125" customWidth="1"/>
    <col min="2824" max="2824" width="12.1796875" customWidth="1"/>
    <col min="2825" max="2825" width="36" customWidth="1"/>
    <col min="2826" max="2826" width="18" customWidth="1"/>
    <col min="2827" max="3072" width="8.81640625" customWidth="1"/>
    <col min="3073" max="3073" width="5.6328125" customWidth="1"/>
    <col min="3074" max="3074" width="25" customWidth="1"/>
    <col min="3075" max="3075" width="7.36328125" customWidth="1"/>
    <col min="3076" max="3077" width="6.36328125" customWidth="1"/>
    <col min="3078" max="3078" width="9" customWidth="1"/>
    <col min="3079" max="3079" width="6.6328125" customWidth="1"/>
    <col min="3080" max="3080" width="12.1796875" customWidth="1"/>
    <col min="3081" max="3081" width="36" customWidth="1"/>
    <col min="3082" max="3082" width="18" customWidth="1"/>
    <col min="3083" max="3328" width="8.81640625" customWidth="1"/>
    <col min="3329" max="3329" width="5.6328125" customWidth="1"/>
    <col min="3330" max="3330" width="25" customWidth="1"/>
    <col min="3331" max="3331" width="7.36328125" customWidth="1"/>
    <col min="3332" max="3333" width="6.36328125" customWidth="1"/>
    <col min="3334" max="3334" width="9" customWidth="1"/>
    <col min="3335" max="3335" width="6.6328125" customWidth="1"/>
    <col min="3336" max="3336" width="12.1796875" customWidth="1"/>
    <col min="3337" max="3337" width="36" customWidth="1"/>
    <col min="3338" max="3338" width="18" customWidth="1"/>
    <col min="3339" max="3584" width="8.81640625" customWidth="1"/>
    <col min="3585" max="3585" width="5.6328125" customWidth="1"/>
    <col min="3586" max="3586" width="25" customWidth="1"/>
    <col min="3587" max="3587" width="7.36328125" customWidth="1"/>
    <col min="3588" max="3589" width="6.36328125" customWidth="1"/>
    <col min="3590" max="3590" width="9" customWidth="1"/>
    <col min="3591" max="3591" width="6.6328125" customWidth="1"/>
    <col min="3592" max="3592" width="12.1796875" customWidth="1"/>
    <col min="3593" max="3593" width="36" customWidth="1"/>
    <col min="3594" max="3594" width="18" customWidth="1"/>
    <col min="3595" max="3840" width="8.81640625" customWidth="1"/>
    <col min="3841" max="3841" width="5.6328125" customWidth="1"/>
    <col min="3842" max="3842" width="25" customWidth="1"/>
    <col min="3843" max="3843" width="7.36328125" customWidth="1"/>
    <col min="3844" max="3845" width="6.36328125" customWidth="1"/>
    <col min="3846" max="3846" width="9" customWidth="1"/>
    <col min="3847" max="3847" width="6.6328125" customWidth="1"/>
    <col min="3848" max="3848" width="12.1796875" customWidth="1"/>
    <col min="3849" max="3849" width="36" customWidth="1"/>
    <col min="3850" max="3850" width="18" customWidth="1"/>
    <col min="3851" max="4096" width="8.81640625" customWidth="1"/>
    <col min="4097" max="4097" width="5.6328125" customWidth="1"/>
    <col min="4098" max="4098" width="25" customWidth="1"/>
    <col min="4099" max="4099" width="7.36328125" customWidth="1"/>
    <col min="4100" max="4101" width="6.36328125" customWidth="1"/>
    <col min="4102" max="4102" width="9" customWidth="1"/>
    <col min="4103" max="4103" width="6.6328125" customWidth="1"/>
    <col min="4104" max="4104" width="12.1796875" customWidth="1"/>
    <col min="4105" max="4105" width="36" customWidth="1"/>
    <col min="4106" max="4106" width="18" customWidth="1"/>
    <col min="4107" max="4352" width="8.81640625" customWidth="1"/>
    <col min="4353" max="4353" width="5.6328125" customWidth="1"/>
    <col min="4354" max="4354" width="25" customWidth="1"/>
    <col min="4355" max="4355" width="7.36328125" customWidth="1"/>
    <col min="4356" max="4357" width="6.36328125" customWidth="1"/>
    <col min="4358" max="4358" width="9" customWidth="1"/>
    <col min="4359" max="4359" width="6.6328125" customWidth="1"/>
    <col min="4360" max="4360" width="12.1796875" customWidth="1"/>
    <col min="4361" max="4361" width="36" customWidth="1"/>
    <col min="4362" max="4362" width="18" customWidth="1"/>
    <col min="4363" max="4608" width="8.81640625" customWidth="1"/>
    <col min="4609" max="4609" width="5.6328125" customWidth="1"/>
    <col min="4610" max="4610" width="25" customWidth="1"/>
    <col min="4611" max="4611" width="7.36328125" customWidth="1"/>
    <col min="4612" max="4613" width="6.36328125" customWidth="1"/>
    <col min="4614" max="4614" width="9" customWidth="1"/>
    <col min="4615" max="4615" width="6.6328125" customWidth="1"/>
    <col min="4616" max="4616" width="12.1796875" customWidth="1"/>
    <col min="4617" max="4617" width="36" customWidth="1"/>
    <col min="4618" max="4618" width="18" customWidth="1"/>
    <col min="4619" max="4864" width="8.81640625" customWidth="1"/>
    <col min="4865" max="4865" width="5.6328125" customWidth="1"/>
    <col min="4866" max="4866" width="25" customWidth="1"/>
    <col min="4867" max="4867" width="7.36328125" customWidth="1"/>
    <col min="4868" max="4869" width="6.36328125" customWidth="1"/>
    <col min="4870" max="4870" width="9" customWidth="1"/>
    <col min="4871" max="4871" width="6.6328125" customWidth="1"/>
    <col min="4872" max="4872" width="12.1796875" customWidth="1"/>
    <col min="4873" max="4873" width="36" customWidth="1"/>
    <col min="4874" max="4874" width="18" customWidth="1"/>
    <col min="4875" max="5120" width="8.81640625" customWidth="1"/>
    <col min="5121" max="5121" width="5.6328125" customWidth="1"/>
    <col min="5122" max="5122" width="25" customWidth="1"/>
    <col min="5123" max="5123" width="7.36328125" customWidth="1"/>
    <col min="5124" max="5125" width="6.36328125" customWidth="1"/>
    <col min="5126" max="5126" width="9" customWidth="1"/>
    <col min="5127" max="5127" width="6.6328125" customWidth="1"/>
    <col min="5128" max="5128" width="12.1796875" customWidth="1"/>
    <col min="5129" max="5129" width="36" customWidth="1"/>
    <col min="5130" max="5130" width="18" customWidth="1"/>
    <col min="5131" max="5376" width="8.81640625" customWidth="1"/>
    <col min="5377" max="5377" width="5.6328125" customWidth="1"/>
    <col min="5378" max="5378" width="25" customWidth="1"/>
    <col min="5379" max="5379" width="7.36328125" customWidth="1"/>
    <col min="5380" max="5381" width="6.36328125" customWidth="1"/>
    <col min="5382" max="5382" width="9" customWidth="1"/>
    <col min="5383" max="5383" width="6.6328125" customWidth="1"/>
    <col min="5384" max="5384" width="12.1796875" customWidth="1"/>
    <col min="5385" max="5385" width="36" customWidth="1"/>
    <col min="5386" max="5386" width="18" customWidth="1"/>
    <col min="5387" max="5632" width="8.81640625" customWidth="1"/>
    <col min="5633" max="5633" width="5.6328125" customWidth="1"/>
    <col min="5634" max="5634" width="25" customWidth="1"/>
    <col min="5635" max="5635" width="7.36328125" customWidth="1"/>
    <col min="5636" max="5637" width="6.36328125" customWidth="1"/>
    <col min="5638" max="5638" width="9" customWidth="1"/>
    <col min="5639" max="5639" width="6.6328125" customWidth="1"/>
    <col min="5640" max="5640" width="12.1796875" customWidth="1"/>
    <col min="5641" max="5641" width="36" customWidth="1"/>
    <col min="5642" max="5642" width="18" customWidth="1"/>
    <col min="5643" max="5888" width="8.81640625" customWidth="1"/>
    <col min="5889" max="5889" width="5.6328125" customWidth="1"/>
    <col min="5890" max="5890" width="25" customWidth="1"/>
    <col min="5891" max="5891" width="7.36328125" customWidth="1"/>
    <col min="5892" max="5893" width="6.36328125" customWidth="1"/>
    <col min="5894" max="5894" width="9" customWidth="1"/>
    <col min="5895" max="5895" width="6.6328125" customWidth="1"/>
    <col min="5896" max="5896" width="12.1796875" customWidth="1"/>
    <col min="5897" max="5897" width="36" customWidth="1"/>
    <col min="5898" max="5898" width="18" customWidth="1"/>
    <col min="5899" max="6144" width="8.81640625" customWidth="1"/>
    <col min="6145" max="6145" width="5.6328125" customWidth="1"/>
    <col min="6146" max="6146" width="25" customWidth="1"/>
    <col min="6147" max="6147" width="7.36328125" customWidth="1"/>
    <col min="6148" max="6149" width="6.36328125" customWidth="1"/>
    <col min="6150" max="6150" width="9" customWidth="1"/>
    <col min="6151" max="6151" width="6.6328125" customWidth="1"/>
    <col min="6152" max="6152" width="12.1796875" customWidth="1"/>
    <col min="6153" max="6153" width="36" customWidth="1"/>
    <col min="6154" max="6154" width="18" customWidth="1"/>
    <col min="6155" max="6400" width="8.81640625" customWidth="1"/>
    <col min="6401" max="6401" width="5.6328125" customWidth="1"/>
    <col min="6402" max="6402" width="25" customWidth="1"/>
    <col min="6403" max="6403" width="7.36328125" customWidth="1"/>
    <col min="6404" max="6405" width="6.36328125" customWidth="1"/>
    <col min="6406" max="6406" width="9" customWidth="1"/>
    <col min="6407" max="6407" width="6.6328125" customWidth="1"/>
    <col min="6408" max="6408" width="12.1796875" customWidth="1"/>
    <col min="6409" max="6409" width="36" customWidth="1"/>
    <col min="6410" max="6410" width="18" customWidth="1"/>
    <col min="6411" max="6656" width="8.81640625" customWidth="1"/>
    <col min="6657" max="6657" width="5.6328125" customWidth="1"/>
    <col min="6658" max="6658" width="25" customWidth="1"/>
    <col min="6659" max="6659" width="7.36328125" customWidth="1"/>
    <col min="6660" max="6661" width="6.36328125" customWidth="1"/>
    <col min="6662" max="6662" width="9" customWidth="1"/>
    <col min="6663" max="6663" width="6.6328125" customWidth="1"/>
    <col min="6664" max="6664" width="12.1796875" customWidth="1"/>
    <col min="6665" max="6665" width="36" customWidth="1"/>
    <col min="6666" max="6666" width="18" customWidth="1"/>
    <col min="6667" max="6912" width="8.81640625" customWidth="1"/>
    <col min="6913" max="6913" width="5.6328125" customWidth="1"/>
    <col min="6914" max="6914" width="25" customWidth="1"/>
    <col min="6915" max="6915" width="7.36328125" customWidth="1"/>
    <col min="6916" max="6917" width="6.36328125" customWidth="1"/>
    <col min="6918" max="6918" width="9" customWidth="1"/>
    <col min="6919" max="6919" width="6.6328125" customWidth="1"/>
    <col min="6920" max="6920" width="12.1796875" customWidth="1"/>
    <col min="6921" max="6921" width="36" customWidth="1"/>
    <col min="6922" max="6922" width="18" customWidth="1"/>
    <col min="6923" max="7168" width="8.81640625" customWidth="1"/>
    <col min="7169" max="7169" width="5.6328125" customWidth="1"/>
    <col min="7170" max="7170" width="25" customWidth="1"/>
    <col min="7171" max="7171" width="7.36328125" customWidth="1"/>
    <col min="7172" max="7173" width="6.36328125" customWidth="1"/>
    <col min="7174" max="7174" width="9" customWidth="1"/>
    <col min="7175" max="7175" width="6.6328125" customWidth="1"/>
    <col min="7176" max="7176" width="12.1796875" customWidth="1"/>
    <col min="7177" max="7177" width="36" customWidth="1"/>
    <col min="7178" max="7178" width="18" customWidth="1"/>
    <col min="7179" max="7424" width="8.81640625" customWidth="1"/>
    <col min="7425" max="7425" width="5.6328125" customWidth="1"/>
    <col min="7426" max="7426" width="25" customWidth="1"/>
    <col min="7427" max="7427" width="7.36328125" customWidth="1"/>
    <col min="7428" max="7429" width="6.36328125" customWidth="1"/>
    <col min="7430" max="7430" width="9" customWidth="1"/>
    <col min="7431" max="7431" width="6.6328125" customWidth="1"/>
    <col min="7432" max="7432" width="12.1796875" customWidth="1"/>
    <col min="7433" max="7433" width="36" customWidth="1"/>
    <col min="7434" max="7434" width="18" customWidth="1"/>
    <col min="7435" max="7680" width="8.81640625" customWidth="1"/>
    <col min="7681" max="7681" width="5.6328125" customWidth="1"/>
    <col min="7682" max="7682" width="25" customWidth="1"/>
    <col min="7683" max="7683" width="7.36328125" customWidth="1"/>
    <col min="7684" max="7685" width="6.36328125" customWidth="1"/>
    <col min="7686" max="7686" width="9" customWidth="1"/>
    <col min="7687" max="7687" width="6.6328125" customWidth="1"/>
    <col min="7688" max="7688" width="12.1796875" customWidth="1"/>
    <col min="7689" max="7689" width="36" customWidth="1"/>
    <col min="7690" max="7690" width="18" customWidth="1"/>
    <col min="7691" max="7936" width="8.81640625" customWidth="1"/>
    <col min="7937" max="7937" width="5.6328125" customWidth="1"/>
    <col min="7938" max="7938" width="25" customWidth="1"/>
    <col min="7939" max="7939" width="7.36328125" customWidth="1"/>
    <col min="7940" max="7941" width="6.36328125" customWidth="1"/>
    <col min="7942" max="7942" width="9" customWidth="1"/>
    <col min="7943" max="7943" width="6.6328125" customWidth="1"/>
    <col min="7944" max="7944" width="12.1796875" customWidth="1"/>
    <col min="7945" max="7945" width="36" customWidth="1"/>
    <col min="7946" max="7946" width="18" customWidth="1"/>
    <col min="7947" max="8192" width="8.81640625" customWidth="1"/>
    <col min="8193" max="8193" width="5.6328125" customWidth="1"/>
    <col min="8194" max="8194" width="25" customWidth="1"/>
    <col min="8195" max="8195" width="7.36328125" customWidth="1"/>
    <col min="8196" max="8197" width="6.36328125" customWidth="1"/>
    <col min="8198" max="8198" width="9" customWidth="1"/>
    <col min="8199" max="8199" width="6.6328125" customWidth="1"/>
    <col min="8200" max="8200" width="12.1796875" customWidth="1"/>
    <col min="8201" max="8201" width="36" customWidth="1"/>
    <col min="8202" max="8202" width="18" customWidth="1"/>
    <col min="8203" max="8448" width="8.81640625" customWidth="1"/>
    <col min="8449" max="8449" width="5.6328125" customWidth="1"/>
    <col min="8450" max="8450" width="25" customWidth="1"/>
    <col min="8451" max="8451" width="7.36328125" customWidth="1"/>
    <col min="8452" max="8453" width="6.36328125" customWidth="1"/>
    <col min="8454" max="8454" width="9" customWidth="1"/>
    <col min="8455" max="8455" width="6.6328125" customWidth="1"/>
    <col min="8456" max="8456" width="12.1796875" customWidth="1"/>
    <col min="8457" max="8457" width="36" customWidth="1"/>
    <col min="8458" max="8458" width="18" customWidth="1"/>
    <col min="8459" max="8704" width="8.81640625" customWidth="1"/>
    <col min="8705" max="8705" width="5.6328125" customWidth="1"/>
    <col min="8706" max="8706" width="25" customWidth="1"/>
    <col min="8707" max="8707" width="7.36328125" customWidth="1"/>
    <col min="8708" max="8709" width="6.36328125" customWidth="1"/>
    <col min="8710" max="8710" width="9" customWidth="1"/>
    <col min="8711" max="8711" width="6.6328125" customWidth="1"/>
    <col min="8712" max="8712" width="12.1796875" customWidth="1"/>
    <col min="8713" max="8713" width="36" customWidth="1"/>
    <col min="8714" max="8714" width="18" customWidth="1"/>
    <col min="8715" max="8960" width="8.81640625" customWidth="1"/>
    <col min="8961" max="8961" width="5.6328125" customWidth="1"/>
    <col min="8962" max="8962" width="25" customWidth="1"/>
    <col min="8963" max="8963" width="7.36328125" customWidth="1"/>
    <col min="8964" max="8965" width="6.36328125" customWidth="1"/>
    <col min="8966" max="8966" width="9" customWidth="1"/>
    <col min="8967" max="8967" width="6.6328125" customWidth="1"/>
    <col min="8968" max="8968" width="12.1796875" customWidth="1"/>
    <col min="8969" max="8969" width="36" customWidth="1"/>
    <col min="8970" max="8970" width="18" customWidth="1"/>
    <col min="8971" max="9216" width="8.81640625" customWidth="1"/>
    <col min="9217" max="9217" width="5.6328125" customWidth="1"/>
    <col min="9218" max="9218" width="25" customWidth="1"/>
    <col min="9219" max="9219" width="7.36328125" customWidth="1"/>
    <col min="9220" max="9221" width="6.36328125" customWidth="1"/>
    <col min="9222" max="9222" width="9" customWidth="1"/>
    <col min="9223" max="9223" width="6.6328125" customWidth="1"/>
    <col min="9224" max="9224" width="12.1796875" customWidth="1"/>
    <col min="9225" max="9225" width="36" customWidth="1"/>
    <col min="9226" max="9226" width="18" customWidth="1"/>
    <col min="9227" max="9472" width="8.81640625" customWidth="1"/>
    <col min="9473" max="9473" width="5.6328125" customWidth="1"/>
    <col min="9474" max="9474" width="25" customWidth="1"/>
    <col min="9475" max="9475" width="7.36328125" customWidth="1"/>
    <col min="9476" max="9477" width="6.36328125" customWidth="1"/>
    <col min="9478" max="9478" width="9" customWidth="1"/>
    <col min="9479" max="9479" width="6.6328125" customWidth="1"/>
    <col min="9480" max="9480" width="12.1796875" customWidth="1"/>
    <col min="9481" max="9481" width="36" customWidth="1"/>
    <col min="9482" max="9482" width="18" customWidth="1"/>
    <col min="9483" max="9728" width="8.81640625" customWidth="1"/>
    <col min="9729" max="9729" width="5.6328125" customWidth="1"/>
    <col min="9730" max="9730" width="25" customWidth="1"/>
    <col min="9731" max="9731" width="7.36328125" customWidth="1"/>
    <col min="9732" max="9733" width="6.36328125" customWidth="1"/>
    <col min="9734" max="9734" width="9" customWidth="1"/>
    <col min="9735" max="9735" width="6.6328125" customWidth="1"/>
    <col min="9736" max="9736" width="12.1796875" customWidth="1"/>
    <col min="9737" max="9737" width="36" customWidth="1"/>
    <col min="9738" max="9738" width="18" customWidth="1"/>
    <col min="9739" max="9984" width="8.81640625" customWidth="1"/>
    <col min="9985" max="9985" width="5.6328125" customWidth="1"/>
    <col min="9986" max="9986" width="25" customWidth="1"/>
    <col min="9987" max="9987" width="7.36328125" customWidth="1"/>
    <col min="9988" max="9989" width="6.36328125" customWidth="1"/>
    <col min="9990" max="9990" width="9" customWidth="1"/>
    <col min="9991" max="9991" width="6.6328125" customWidth="1"/>
    <col min="9992" max="9992" width="12.1796875" customWidth="1"/>
    <col min="9993" max="9993" width="36" customWidth="1"/>
    <col min="9994" max="9994" width="18" customWidth="1"/>
    <col min="9995" max="10240" width="8.81640625" customWidth="1"/>
    <col min="10241" max="10241" width="5.6328125" customWidth="1"/>
    <col min="10242" max="10242" width="25" customWidth="1"/>
    <col min="10243" max="10243" width="7.36328125" customWidth="1"/>
    <col min="10244" max="10245" width="6.36328125" customWidth="1"/>
    <col min="10246" max="10246" width="9" customWidth="1"/>
    <col min="10247" max="10247" width="6.6328125" customWidth="1"/>
    <col min="10248" max="10248" width="12.1796875" customWidth="1"/>
    <col min="10249" max="10249" width="36" customWidth="1"/>
    <col min="10250" max="10250" width="18" customWidth="1"/>
    <col min="10251" max="10496" width="8.81640625" customWidth="1"/>
    <col min="10497" max="10497" width="5.6328125" customWidth="1"/>
    <col min="10498" max="10498" width="25" customWidth="1"/>
    <col min="10499" max="10499" width="7.36328125" customWidth="1"/>
    <col min="10500" max="10501" width="6.36328125" customWidth="1"/>
    <col min="10502" max="10502" width="9" customWidth="1"/>
    <col min="10503" max="10503" width="6.6328125" customWidth="1"/>
    <col min="10504" max="10504" width="12.1796875" customWidth="1"/>
    <col min="10505" max="10505" width="36" customWidth="1"/>
    <col min="10506" max="10506" width="18" customWidth="1"/>
    <col min="10507" max="10752" width="8.81640625" customWidth="1"/>
    <col min="10753" max="10753" width="5.6328125" customWidth="1"/>
    <col min="10754" max="10754" width="25" customWidth="1"/>
    <col min="10755" max="10755" width="7.36328125" customWidth="1"/>
    <col min="10756" max="10757" width="6.36328125" customWidth="1"/>
    <col min="10758" max="10758" width="9" customWidth="1"/>
    <col min="10759" max="10759" width="6.6328125" customWidth="1"/>
    <col min="10760" max="10760" width="12.1796875" customWidth="1"/>
    <col min="10761" max="10761" width="36" customWidth="1"/>
    <col min="10762" max="10762" width="18" customWidth="1"/>
    <col min="10763" max="11008" width="8.81640625" customWidth="1"/>
    <col min="11009" max="11009" width="5.6328125" customWidth="1"/>
    <col min="11010" max="11010" width="25" customWidth="1"/>
    <col min="11011" max="11011" width="7.36328125" customWidth="1"/>
    <col min="11012" max="11013" width="6.36328125" customWidth="1"/>
    <col min="11014" max="11014" width="9" customWidth="1"/>
    <col min="11015" max="11015" width="6.6328125" customWidth="1"/>
    <col min="11016" max="11016" width="12.1796875" customWidth="1"/>
    <col min="11017" max="11017" width="36" customWidth="1"/>
    <col min="11018" max="11018" width="18" customWidth="1"/>
    <col min="11019" max="11264" width="8.81640625" customWidth="1"/>
    <col min="11265" max="11265" width="5.6328125" customWidth="1"/>
    <col min="11266" max="11266" width="25" customWidth="1"/>
    <col min="11267" max="11267" width="7.36328125" customWidth="1"/>
    <col min="11268" max="11269" width="6.36328125" customWidth="1"/>
    <col min="11270" max="11270" width="9" customWidth="1"/>
    <col min="11271" max="11271" width="6.6328125" customWidth="1"/>
    <col min="11272" max="11272" width="12.1796875" customWidth="1"/>
    <col min="11273" max="11273" width="36" customWidth="1"/>
    <col min="11274" max="11274" width="18" customWidth="1"/>
    <col min="11275" max="11520" width="8.81640625" customWidth="1"/>
    <col min="11521" max="11521" width="5.6328125" customWidth="1"/>
    <col min="11522" max="11522" width="25" customWidth="1"/>
    <col min="11523" max="11523" width="7.36328125" customWidth="1"/>
    <col min="11524" max="11525" width="6.36328125" customWidth="1"/>
    <col min="11526" max="11526" width="9" customWidth="1"/>
    <col min="11527" max="11527" width="6.6328125" customWidth="1"/>
    <col min="11528" max="11528" width="12.1796875" customWidth="1"/>
    <col min="11529" max="11529" width="36" customWidth="1"/>
    <col min="11530" max="11530" width="18" customWidth="1"/>
    <col min="11531" max="11776" width="8.81640625" customWidth="1"/>
    <col min="11777" max="11777" width="5.6328125" customWidth="1"/>
    <col min="11778" max="11778" width="25" customWidth="1"/>
    <col min="11779" max="11779" width="7.36328125" customWidth="1"/>
    <col min="11780" max="11781" width="6.36328125" customWidth="1"/>
    <col min="11782" max="11782" width="9" customWidth="1"/>
    <col min="11783" max="11783" width="6.6328125" customWidth="1"/>
    <col min="11784" max="11784" width="12.1796875" customWidth="1"/>
    <col min="11785" max="11785" width="36" customWidth="1"/>
    <col min="11786" max="11786" width="18" customWidth="1"/>
    <col min="11787" max="12032" width="8.81640625" customWidth="1"/>
    <col min="12033" max="12033" width="5.6328125" customWidth="1"/>
    <col min="12034" max="12034" width="25" customWidth="1"/>
    <col min="12035" max="12035" width="7.36328125" customWidth="1"/>
    <col min="12036" max="12037" width="6.36328125" customWidth="1"/>
    <col min="12038" max="12038" width="9" customWidth="1"/>
    <col min="12039" max="12039" width="6.6328125" customWidth="1"/>
    <col min="12040" max="12040" width="12.1796875" customWidth="1"/>
    <col min="12041" max="12041" width="36" customWidth="1"/>
    <col min="12042" max="12042" width="18" customWidth="1"/>
    <col min="12043" max="12288" width="8.81640625" customWidth="1"/>
    <col min="12289" max="12289" width="5.6328125" customWidth="1"/>
    <col min="12290" max="12290" width="25" customWidth="1"/>
    <col min="12291" max="12291" width="7.36328125" customWidth="1"/>
    <col min="12292" max="12293" width="6.36328125" customWidth="1"/>
    <col min="12294" max="12294" width="9" customWidth="1"/>
    <col min="12295" max="12295" width="6.6328125" customWidth="1"/>
    <col min="12296" max="12296" width="12.1796875" customWidth="1"/>
    <col min="12297" max="12297" width="36" customWidth="1"/>
    <col min="12298" max="12298" width="18" customWidth="1"/>
    <col min="12299" max="12544" width="8.81640625" customWidth="1"/>
    <col min="12545" max="12545" width="5.6328125" customWidth="1"/>
    <col min="12546" max="12546" width="25" customWidth="1"/>
    <col min="12547" max="12547" width="7.36328125" customWidth="1"/>
    <col min="12548" max="12549" width="6.36328125" customWidth="1"/>
    <col min="12550" max="12550" width="9" customWidth="1"/>
    <col min="12551" max="12551" width="6.6328125" customWidth="1"/>
    <col min="12552" max="12552" width="12.1796875" customWidth="1"/>
    <col min="12553" max="12553" width="36" customWidth="1"/>
    <col min="12554" max="12554" width="18" customWidth="1"/>
    <col min="12555" max="12800" width="8.81640625" customWidth="1"/>
    <col min="12801" max="12801" width="5.6328125" customWidth="1"/>
    <col min="12802" max="12802" width="25" customWidth="1"/>
    <col min="12803" max="12803" width="7.36328125" customWidth="1"/>
    <col min="12804" max="12805" width="6.36328125" customWidth="1"/>
    <col min="12806" max="12806" width="9" customWidth="1"/>
    <col min="12807" max="12807" width="6.6328125" customWidth="1"/>
    <col min="12808" max="12808" width="12.1796875" customWidth="1"/>
    <col min="12809" max="12809" width="36" customWidth="1"/>
    <col min="12810" max="12810" width="18" customWidth="1"/>
    <col min="12811" max="13056" width="8.81640625" customWidth="1"/>
    <col min="13057" max="13057" width="5.6328125" customWidth="1"/>
    <col min="13058" max="13058" width="25" customWidth="1"/>
    <col min="13059" max="13059" width="7.36328125" customWidth="1"/>
    <col min="13060" max="13061" width="6.36328125" customWidth="1"/>
    <col min="13062" max="13062" width="9" customWidth="1"/>
    <col min="13063" max="13063" width="6.6328125" customWidth="1"/>
    <col min="13064" max="13064" width="12.1796875" customWidth="1"/>
    <col min="13065" max="13065" width="36" customWidth="1"/>
    <col min="13066" max="13066" width="18" customWidth="1"/>
    <col min="13067" max="13312" width="8.81640625" customWidth="1"/>
    <col min="13313" max="13313" width="5.6328125" customWidth="1"/>
    <col min="13314" max="13314" width="25" customWidth="1"/>
    <col min="13315" max="13315" width="7.36328125" customWidth="1"/>
    <col min="13316" max="13317" width="6.36328125" customWidth="1"/>
    <col min="13318" max="13318" width="9" customWidth="1"/>
    <col min="13319" max="13319" width="6.6328125" customWidth="1"/>
    <col min="13320" max="13320" width="12.1796875" customWidth="1"/>
    <col min="13321" max="13321" width="36" customWidth="1"/>
    <col min="13322" max="13322" width="18" customWidth="1"/>
    <col min="13323" max="13568" width="8.81640625" customWidth="1"/>
    <col min="13569" max="13569" width="5.6328125" customWidth="1"/>
    <col min="13570" max="13570" width="25" customWidth="1"/>
    <col min="13571" max="13571" width="7.36328125" customWidth="1"/>
    <col min="13572" max="13573" width="6.36328125" customWidth="1"/>
    <col min="13574" max="13574" width="9" customWidth="1"/>
    <col min="13575" max="13575" width="6.6328125" customWidth="1"/>
    <col min="13576" max="13576" width="12.1796875" customWidth="1"/>
    <col min="13577" max="13577" width="36" customWidth="1"/>
    <col min="13578" max="13578" width="18" customWidth="1"/>
    <col min="13579" max="13824" width="8.81640625" customWidth="1"/>
    <col min="13825" max="13825" width="5.6328125" customWidth="1"/>
    <col min="13826" max="13826" width="25" customWidth="1"/>
    <col min="13827" max="13827" width="7.36328125" customWidth="1"/>
    <col min="13828" max="13829" width="6.36328125" customWidth="1"/>
    <col min="13830" max="13830" width="9" customWidth="1"/>
    <col min="13831" max="13831" width="6.6328125" customWidth="1"/>
    <col min="13832" max="13832" width="12.1796875" customWidth="1"/>
    <col min="13833" max="13833" width="36" customWidth="1"/>
    <col min="13834" max="13834" width="18" customWidth="1"/>
    <col min="13835" max="14080" width="8.81640625" customWidth="1"/>
    <col min="14081" max="14081" width="5.6328125" customWidth="1"/>
    <col min="14082" max="14082" width="25" customWidth="1"/>
    <col min="14083" max="14083" width="7.36328125" customWidth="1"/>
    <col min="14084" max="14085" width="6.36328125" customWidth="1"/>
    <col min="14086" max="14086" width="9" customWidth="1"/>
    <col min="14087" max="14087" width="6.6328125" customWidth="1"/>
    <col min="14088" max="14088" width="12.1796875" customWidth="1"/>
    <col min="14089" max="14089" width="36" customWidth="1"/>
    <col min="14090" max="14090" width="18" customWidth="1"/>
    <col min="14091" max="14336" width="8.81640625" customWidth="1"/>
    <col min="14337" max="14337" width="5.6328125" customWidth="1"/>
    <col min="14338" max="14338" width="25" customWidth="1"/>
    <col min="14339" max="14339" width="7.36328125" customWidth="1"/>
    <col min="14340" max="14341" width="6.36328125" customWidth="1"/>
    <col min="14342" max="14342" width="9" customWidth="1"/>
    <col min="14343" max="14343" width="6.6328125" customWidth="1"/>
    <col min="14344" max="14344" width="12.1796875" customWidth="1"/>
    <col min="14345" max="14345" width="36" customWidth="1"/>
    <col min="14346" max="14346" width="18" customWidth="1"/>
    <col min="14347" max="14592" width="8.81640625" customWidth="1"/>
    <col min="14593" max="14593" width="5.6328125" customWidth="1"/>
    <col min="14594" max="14594" width="25" customWidth="1"/>
    <col min="14595" max="14595" width="7.36328125" customWidth="1"/>
    <col min="14596" max="14597" width="6.36328125" customWidth="1"/>
    <col min="14598" max="14598" width="9" customWidth="1"/>
    <col min="14599" max="14599" width="6.6328125" customWidth="1"/>
    <col min="14600" max="14600" width="12.1796875" customWidth="1"/>
    <col min="14601" max="14601" width="36" customWidth="1"/>
    <col min="14602" max="14602" width="18" customWidth="1"/>
    <col min="14603" max="14848" width="8.81640625" customWidth="1"/>
    <col min="14849" max="14849" width="5.6328125" customWidth="1"/>
    <col min="14850" max="14850" width="25" customWidth="1"/>
    <col min="14851" max="14851" width="7.36328125" customWidth="1"/>
    <col min="14852" max="14853" width="6.36328125" customWidth="1"/>
    <col min="14854" max="14854" width="9" customWidth="1"/>
    <col min="14855" max="14855" width="6.6328125" customWidth="1"/>
    <col min="14856" max="14856" width="12.1796875" customWidth="1"/>
    <col min="14857" max="14857" width="36" customWidth="1"/>
    <col min="14858" max="14858" width="18" customWidth="1"/>
    <col min="14859" max="15104" width="8.81640625" customWidth="1"/>
    <col min="15105" max="15105" width="5.6328125" customWidth="1"/>
    <col min="15106" max="15106" width="25" customWidth="1"/>
    <col min="15107" max="15107" width="7.36328125" customWidth="1"/>
    <col min="15108" max="15109" width="6.36328125" customWidth="1"/>
    <col min="15110" max="15110" width="9" customWidth="1"/>
    <col min="15111" max="15111" width="6.6328125" customWidth="1"/>
    <col min="15112" max="15112" width="12.1796875" customWidth="1"/>
    <col min="15113" max="15113" width="36" customWidth="1"/>
    <col min="15114" max="15114" width="18" customWidth="1"/>
    <col min="15115" max="15360" width="8.81640625" customWidth="1"/>
    <col min="15361" max="15361" width="5.6328125" customWidth="1"/>
    <col min="15362" max="15362" width="25" customWidth="1"/>
    <col min="15363" max="15363" width="7.36328125" customWidth="1"/>
    <col min="15364" max="15365" width="6.36328125" customWidth="1"/>
    <col min="15366" max="15366" width="9" customWidth="1"/>
    <col min="15367" max="15367" width="6.6328125" customWidth="1"/>
    <col min="15368" max="15368" width="12.1796875" customWidth="1"/>
    <col min="15369" max="15369" width="36" customWidth="1"/>
    <col min="15370" max="15370" width="18" customWidth="1"/>
    <col min="15371" max="15616" width="8.81640625" customWidth="1"/>
    <col min="15617" max="15617" width="5.6328125" customWidth="1"/>
    <col min="15618" max="15618" width="25" customWidth="1"/>
    <col min="15619" max="15619" width="7.36328125" customWidth="1"/>
    <col min="15620" max="15621" width="6.36328125" customWidth="1"/>
    <col min="15622" max="15622" width="9" customWidth="1"/>
    <col min="15623" max="15623" width="6.6328125" customWidth="1"/>
    <col min="15624" max="15624" width="12.1796875" customWidth="1"/>
    <col min="15625" max="15625" width="36" customWidth="1"/>
    <col min="15626" max="15626" width="18" customWidth="1"/>
    <col min="15627" max="15872" width="8.81640625" customWidth="1"/>
    <col min="15873" max="15873" width="5.6328125" customWidth="1"/>
    <col min="15874" max="15874" width="25" customWidth="1"/>
    <col min="15875" max="15875" width="7.36328125" customWidth="1"/>
    <col min="15876" max="15877" width="6.36328125" customWidth="1"/>
    <col min="15878" max="15878" width="9" customWidth="1"/>
    <col min="15879" max="15879" width="6.6328125" customWidth="1"/>
    <col min="15880" max="15880" width="12.1796875" customWidth="1"/>
    <col min="15881" max="15881" width="36" customWidth="1"/>
    <col min="15882" max="15882" width="18" customWidth="1"/>
    <col min="15883" max="16128" width="8.81640625" customWidth="1"/>
    <col min="16129" max="16129" width="5.6328125" customWidth="1"/>
    <col min="16130" max="16130" width="25" customWidth="1"/>
    <col min="16131" max="16131" width="7.36328125" customWidth="1"/>
    <col min="16132" max="16133" width="6.36328125" customWidth="1"/>
    <col min="16134" max="16134" width="9" customWidth="1"/>
    <col min="16135" max="16135" width="6.6328125" customWidth="1"/>
    <col min="16136" max="16136" width="12.1796875" customWidth="1"/>
    <col min="16137" max="16137" width="36" customWidth="1"/>
    <col min="16138" max="16138" width="18" customWidth="1"/>
    <col min="16139" max="16384" width="8.81640625" customWidth="1"/>
  </cols>
  <sheetData>
    <row r="1" spans="1:63" ht="15.5" x14ac:dyDescent="0.35">
      <c r="A1" s="1497" t="s">
        <v>1218</v>
      </c>
      <c r="B1" s="1497"/>
      <c r="F1" s="1224"/>
      <c r="BK1" s="1225">
        <v>1.3</v>
      </c>
    </row>
    <row r="2" spans="1:63" ht="15" x14ac:dyDescent="0.3">
      <c r="A2" s="1497" t="s">
        <v>1068</v>
      </c>
      <c r="B2" s="1497"/>
    </row>
    <row r="3" spans="1:63" ht="17.5" x14ac:dyDescent="0.35">
      <c r="A3" s="1587" t="s">
        <v>1219</v>
      </c>
      <c r="B3" s="1587"/>
      <c r="C3" s="1587"/>
      <c r="D3" s="1587"/>
      <c r="E3" s="1587"/>
      <c r="F3" s="1587"/>
      <c r="G3" s="1587"/>
      <c r="H3" s="1587"/>
      <c r="I3" s="1587"/>
      <c r="J3" s="1587"/>
    </row>
    <row r="4" spans="1:63" ht="17.5" x14ac:dyDescent="0.35">
      <c r="A4" s="1587" t="s">
        <v>1220</v>
      </c>
      <c r="B4" s="1587"/>
      <c r="C4" s="1587"/>
      <c r="D4" s="1587"/>
      <c r="E4" s="1587"/>
      <c r="F4" s="1587"/>
      <c r="G4" s="1587"/>
      <c r="H4" s="1587"/>
      <c r="I4" s="1587"/>
      <c r="J4" s="1587"/>
    </row>
    <row r="6" spans="1:63" ht="54" customHeight="1" x14ac:dyDescent="0.3">
      <c r="A6" s="1226" t="s">
        <v>0</v>
      </c>
      <c r="B6" s="1226" t="s">
        <v>1071</v>
      </c>
      <c r="C6" s="1227" t="s">
        <v>1</v>
      </c>
      <c r="D6" s="1227" t="s">
        <v>1221</v>
      </c>
      <c r="E6" s="1227" t="s">
        <v>1222</v>
      </c>
      <c r="F6" s="1227" t="s">
        <v>1223</v>
      </c>
      <c r="G6" s="1227" t="s">
        <v>1224</v>
      </c>
      <c r="H6" s="1228" t="s">
        <v>29</v>
      </c>
      <c r="I6" s="1227" t="s">
        <v>1077</v>
      </c>
      <c r="J6" s="1228" t="s">
        <v>1225</v>
      </c>
    </row>
    <row r="7" spans="1:63" x14ac:dyDescent="0.25">
      <c r="A7" s="1123" t="s">
        <v>6</v>
      </c>
      <c r="B7" s="1229" t="s">
        <v>19</v>
      </c>
      <c r="C7" s="1123" t="s">
        <v>422</v>
      </c>
      <c r="D7" s="1101">
        <v>1</v>
      </c>
      <c r="E7" s="1123">
        <v>2</v>
      </c>
      <c r="F7" s="1123">
        <v>3</v>
      </c>
      <c r="G7" s="1123">
        <v>4</v>
      </c>
      <c r="H7" s="1123"/>
      <c r="I7" s="1123"/>
      <c r="J7" s="1123"/>
    </row>
    <row r="8" spans="1:63" ht="16.5" customHeight="1" x14ac:dyDescent="0.3">
      <c r="A8" s="1230" t="s">
        <v>6</v>
      </c>
      <c r="B8" s="1231" t="s">
        <v>1081</v>
      </c>
      <c r="C8" s="1232"/>
      <c r="D8" s="1233"/>
      <c r="E8" s="1233"/>
      <c r="F8" s="1101"/>
      <c r="G8" s="1101"/>
      <c r="H8" s="1234"/>
      <c r="I8" s="1101"/>
      <c r="J8" s="1101"/>
    </row>
    <row r="9" spans="1:63" ht="33" customHeight="1" x14ac:dyDescent="0.35">
      <c r="A9" s="1230">
        <v>1</v>
      </c>
      <c r="B9" s="1235" t="s">
        <v>1226</v>
      </c>
      <c r="C9" s="1236" t="s">
        <v>1083</v>
      </c>
      <c r="D9" s="1237">
        <v>2</v>
      </c>
      <c r="E9" s="1238">
        <v>197</v>
      </c>
      <c r="F9" s="1239">
        <v>225000</v>
      </c>
      <c r="G9" s="1240" t="s">
        <v>1227</v>
      </c>
      <c r="H9" s="1241">
        <v>124110000</v>
      </c>
      <c r="I9" s="1237" t="s">
        <v>1228</v>
      </c>
      <c r="J9" s="1242"/>
    </row>
    <row r="10" spans="1:63" ht="15.5" x14ac:dyDescent="0.35">
      <c r="A10" s="1226" t="s">
        <v>19</v>
      </c>
      <c r="B10" s="1243" t="s">
        <v>1229</v>
      </c>
      <c r="C10" s="1237"/>
      <c r="D10" s="1237"/>
      <c r="E10" s="1237"/>
      <c r="F10" s="1237"/>
      <c r="G10" s="1244"/>
      <c r="H10" s="1245">
        <v>99288000</v>
      </c>
      <c r="I10" s="1246"/>
      <c r="J10" s="1247"/>
      <c r="K10" s="2"/>
    </row>
    <row r="11" spans="1:63" s="1253" customFormat="1" ht="14.25" customHeight="1" x14ac:dyDescent="0.35">
      <c r="A11" s="1248" t="s">
        <v>7</v>
      </c>
      <c r="B11" s="1249" t="s">
        <v>1230</v>
      </c>
      <c r="C11" s="1237"/>
      <c r="D11" s="1237"/>
      <c r="E11" s="1237"/>
      <c r="F11" s="1237"/>
      <c r="G11" s="1237"/>
      <c r="H11" s="1250"/>
      <c r="I11" s="1237"/>
      <c r="J11" s="1251"/>
      <c r="K11" s="1252"/>
    </row>
    <row r="12" spans="1:63" s="1253" customFormat="1" ht="18" customHeight="1" x14ac:dyDescent="0.35">
      <c r="A12" s="1254">
        <v>1</v>
      </c>
      <c r="B12" s="1255" t="s">
        <v>1231</v>
      </c>
      <c r="C12" s="1237" t="s">
        <v>1232</v>
      </c>
      <c r="D12" s="1237"/>
      <c r="E12" s="1237"/>
      <c r="F12" s="1237"/>
      <c r="G12" s="1237"/>
      <c r="H12" s="1256">
        <v>24360000</v>
      </c>
      <c r="I12" s="1257"/>
      <c r="J12" s="1258"/>
    </row>
    <row r="13" spans="1:63" s="1253" customFormat="1" ht="26.75" customHeight="1" x14ac:dyDescent="0.35">
      <c r="A13" s="1254">
        <v>1.1000000000000001</v>
      </c>
      <c r="B13" s="1259" t="s">
        <v>1233</v>
      </c>
      <c r="C13" s="1260"/>
      <c r="D13" s="1237"/>
      <c r="E13" s="1237"/>
      <c r="F13" s="1237"/>
      <c r="G13" s="1237"/>
      <c r="H13" s="1261"/>
      <c r="I13" s="1262" t="s">
        <v>1234</v>
      </c>
      <c r="J13" s="1263" t="s">
        <v>1235</v>
      </c>
      <c r="K13" s="1252"/>
    </row>
    <row r="14" spans="1:63" s="1253" customFormat="1" ht="15.75" customHeight="1" x14ac:dyDescent="0.35">
      <c r="A14" s="1264"/>
      <c r="B14" s="1262" t="s">
        <v>1236</v>
      </c>
      <c r="C14" s="1260" t="s">
        <v>1237</v>
      </c>
      <c r="D14" s="1265">
        <v>2</v>
      </c>
      <c r="E14" s="1237">
        <v>25</v>
      </c>
      <c r="F14" s="1239">
        <v>90000</v>
      </c>
      <c r="G14" s="1237"/>
      <c r="H14" s="1239">
        <v>2700000</v>
      </c>
      <c r="I14" s="1237"/>
      <c r="J14" s="1247" t="s">
        <v>1238</v>
      </c>
      <c r="K14" s="1252"/>
    </row>
    <row r="15" spans="1:63" s="1274" customFormat="1" ht="15.5" customHeight="1" x14ac:dyDescent="0.35">
      <c r="A15" s="1266"/>
      <c r="B15" s="1267" t="s">
        <v>1239</v>
      </c>
      <c r="C15" s="1260" t="s">
        <v>1237</v>
      </c>
      <c r="D15" s="1268">
        <v>2</v>
      </c>
      <c r="E15" s="1269">
        <v>25</v>
      </c>
      <c r="F15" s="1270">
        <v>90000</v>
      </c>
      <c r="G15" s="1077"/>
      <c r="H15" s="1270">
        <v>2700000</v>
      </c>
      <c r="I15" s="1271"/>
      <c r="J15" s="1272"/>
      <c r="K15" s="1273"/>
    </row>
    <row r="16" spans="1:63" s="1253" customFormat="1" ht="30.5" x14ac:dyDescent="0.35">
      <c r="A16" s="1275">
        <v>1.2</v>
      </c>
      <c r="B16" s="1259" t="s">
        <v>1240</v>
      </c>
      <c r="C16" s="1260"/>
      <c r="D16" s="1265"/>
      <c r="E16" s="1237"/>
      <c r="F16" s="1239"/>
      <c r="G16" s="1237"/>
      <c r="H16" s="1239"/>
      <c r="I16" s="1242" t="s">
        <v>1241</v>
      </c>
      <c r="J16" s="1276"/>
    </row>
    <row r="17" spans="1:18" s="1274" customFormat="1" ht="15.5" x14ac:dyDescent="0.35">
      <c r="A17" s="1277"/>
      <c r="B17" s="1262" t="s">
        <v>1242</v>
      </c>
      <c r="C17" s="1260" t="s">
        <v>1237</v>
      </c>
      <c r="D17" s="1265">
        <v>2</v>
      </c>
      <c r="E17" s="1269">
        <v>25</v>
      </c>
      <c r="F17" s="1270">
        <v>80000</v>
      </c>
      <c r="G17" s="1077"/>
      <c r="H17" s="1270">
        <v>2400000</v>
      </c>
      <c r="I17" s="1278"/>
      <c r="J17" s="1271"/>
    </row>
    <row r="18" spans="1:18" s="1253" customFormat="1" ht="15.5" x14ac:dyDescent="0.35">
      <c r="A18" s="1279"/>
      <c r="B18" s="1267" t="s">
        <v>1243</v>
      </c>
      <c r="C18" s="1280" t="s">
        <v>1237</v>
      </c>
      <c r="D18" s="1237">
        <v>2</v>
      </c>
      <c r="E18" s="1237">
        <v>25</v>
      </c>
      <c r="F18" s="1239">
        <v>80000</v>
      </c>
      <c r="G18" s="1237"/>
      <c r="H18" s="1239">
        <v>2400000</v>
      </c>
      <c r="I18" s="1281" t="s">
        <v>1244</v>
      </c>
      <c r="J18" s="1242"/>
    </row>
    <row r="19" spans="1:18" s="1253" customFormat="1" ht="15.5" x14ac:dyDescent="0.35">
      <c r="A19" s="1282">
        <v>1.3</v>
      </c>
      <c r="B19" s="1259" t="s">
        <v>1245</v>
      </c>
      <c r="C19" s="1280"/>
      <c r="D19" s="1237"/>
      <c r="E19" s="1237"/>
      <c r="F19" s="1239"/>
      <c r="G19" s="1237"/>
      <c r="H19" s="1239"/>
      <c r="I19" s="1281" t="s">
        <v>1246</v>
      </c>
      <c r="J19" s="1276"/>
    </row>
    <row r="20" spans="1:18" s="1253" customFormat="1" ht="15.5" x14ac:dyDescent="0.35">
      <c r="A20" s="1279"/>
      <c r="B20" s="1237" t="s">
        <v>1247</v>
      </c>
      <c r="C20" s="1260" t="s">
        <v>1237</v>
      </c>
      <c r="D20" s="1237">
        <v>2</v>
      </c>
      <c r="E20" s="1237">
        <v>25</v>
      </c>
      <c r="F20" s="1239">
        <v>80000</v>
      </c>
      <c r="G20" s="1237"/>
      <c r="H20" s="1239">
        <v>2400000</v>
      </c>
      <c r="I20" s="1258"/>
      <c r="J20" s="1276"/>
    </row>
    <row r="21" spans="1:18" s="1274" customFormat="1" ht="15" x14ac:dyDescent="0.3">
      <c r="A21" s="1282">
        <v>1.4</v>
      </c>
      <c r="B21" s="1077" t="s">
        <v>1248</v>
      </c>
      <c r="C21" s="1283"/>
      <c r="D21" s="1077"/>
      <c r="E21" s="1077"/>
      <c r="F21" s="1250"/>
      <c r="G21" s="1077"/>
      <c r="H21" s="1250"/>
      <c r="I21" s="1284"/>
      <c r="J21" s="1271"/>
    </row>
    <row r="22" spans="1:18" s="1253" customFormat="1" ht="15.5" x14ac:dyDescent="0.35">
      <c r="A22" s="1285"/>
      <c r="B22" s="1237" t="s">
        <v>1249</v>
      </c>
      <c r="C22" s="1280" t="s">
        <v>1237</v>
      </c>
      <c r="D22" s="1237">
        <v>2</v>
      </c>
      <c r="E22" s="1237">
        <v>25</v>
      </c>
      <c r="F22" s="1239">
        <v>90000</v>
      </c>
      <c r="G22" s="1237"/>
      <c r="H22" s="1239">
        <v>2700000</v>
      </c>
      <c r="I22" s="1238"/>
      <c r="J22" s="1238"/>
      <c r="L22" s="1286"/>
    </row>
    <row r="23" spans="1:18" s="1274" customFormat="1" ht="15" x14ac:dyDescent="0.3">
      <c r="A23" s="1287">
        <v>1.5</v>
      </c>
      <c r="B23" s="1077" t="s">
        <v>1250</v>
      </c>
      <c r="C23" s="1283"/>
      <c r="D23" s="1077"/>
      <c r="E23" s="1077"/>
      <c r="F23" s="1250"/>
      <c r="G23" s="1077"/>
      <c r="H23" s="1250"/>
      <c r="I23" s="1284"/>
      <c r="J23" s="1271"/>
    </row>
    <row r="24" spans="1:18" s="1253" customFormat="1" ht="15.5" x14ac:dyDescent="0.35">
      <c r="A24" s="1288"/>
      <c r="B24" s="1237" t="s">
        <v>1251</v>
      </c>
      <c r="C24" s="1280" t="s">
        <v>1237</v>
      </c>
      <c r="D24" s="1237">
        <v>2</v>
      </c>
      <c r="E24" s="1237">
        <v>25</v>
      </c>
      <c r="F24" s="1239">
        <v>80000</v>
      </c>
      <c r="G24" s="1237"/>
      <c r="H24" s="1270">
        <v>2400000</v>
      </c>
      <c r="I24" s="1238"/>
      <c r="J24" s="1276"/>
    </row>
    <row r="25" spans="1:18" s="1253" customFormat="1" ht="15.5" x14ac:dyDescent="0.35">
      <c r="A25" s="1288">
        <v>1.6</v>
      </c>
      <c r="B25" s="1077" t="s">
        <v>592</v>
      </c>
      <c r="C25" s="1280"/>
      <c r="D25" s="1237"/>
      <c r="E25" s="1237"/>
      <c r="F25" s="1239"/>
      <c r="G25" s="1237"/>
      <c r="H25" s="1239"/>
      <c r="I25" s="1238"/>
      <c r="J25" s="1276"/>
    </row>
    <row r="26" spans="1:18" s="1253" customFormat="1" ht="15.5" x14ac:dyDescent="0.35">
      <c r="A26" s="1288"/>
      <c r="B26" s="1237" t="s">
        <v>1252</v>
      </c>
      <c r="C26" s="1280" t="s">
        <v>1237</v>
      </c>
      <c r="D26" s="1237">
        <v>2</v>
      </c>
      <c r="E26" s="1237">
        <v>22</v>
      </c>
      <c r="F26" s="1239">
        <v>66000</v>
      </c>
      <c r="G26" s="1237"/>
      <c r="H26" s="1270">
        <v>2400000</v>
      </c>
      <c r="I26" s="1238"/>
      <c r="J26" s="1276"/>
    </row>
    <row r="27" spans="1:18" s="1253" customFormat="1" ht="15.5" x14ac:dyDescent="0.35">
      <c r="A27" s="1282"/>
      <c r="B27" s="1077"/>
      <c r="C27" s="1280"/>
      <c r="D27" s="1237"/>
      <c r="E27" s="1237"/>
      <c r="F27" s="1239"/>
      <c r="G27" s="1237"/>
      <c r="H27" s="1239"/>
      <c r="I27" s="1258"/>
      <c r="J27" s="1276"/>
    </row>
    <row r="28" spans="1:18" s="1253" customFormat="1" ht="15.5" x14ac:dyDescent="0.35">
      <c r="A28" s="1285"/>
      <c r="B28" s="1237"/>
      <c r="C28" s="1280"/>
      <c r="D28" s="1237"/>
      <c r="E28" s="1237"/>
      <c r="F28" s="1239"/>
      <c r="G28" s="1237"/>
      <c r="H28" s="1239"/>
      <c r="I28" s="1238"/>
      <c r="J28" s="1238"/>
      <c r="L28" s="1286"/>
    </row>
    <row r="29" spans="1:18" s="1253" customFormat="1" ht="15.5" x14ac:dyDescent="0.35">
      <c r="A29" s="1287"/>
      <c r="B29" s="1077"/>
      <c r="C29" s="1280"/>
      <c r="D29" s="1237"/>
      <c r="E29" s="1237"/>
      <c r="F29" s="1239"/>
      <c r="G29" s="1237"/>
      <c r="H29" s="1239"/>
      <c r="I29" s="1238"/>
      <c r="J29" s="1276"/>
    </row>
    <row r="30" spans="1:18" s="1253" customFormat="1" ht="15.5" x14ac:dyDescent="0.35">
      <c r="B30" s="1289"/>
      <c r="C30" s="1269"/>
      <c r="D30" s="1269"/>
      <c r="E30" s="1269"/>
      <c r="F30" s="1270"/>
      <c r="G30" s="1269"/>
      <c r="H30" s="1290"/>
      <c r="I30" s="1269"/>
      <c r="J30" s="1242"/>
    </row>
    <row r="31" spans="1:18" s="1253" customFormat="1" ht="15.5" x14ac:dyDescent="0.35">
      <c r="A31" s="1291" t="s">
        <v>8</v>
      </c>
      <c r="B31" s="1292" t="s">
        <v>1253</v>
      </c>
      <c r="C31" s="1269" t="s">
        <v>1254</v>
      </c>
      <c r="D31" s="1269">
        <v>2</v>
      </c>
      <c r="E31" s="1269">
        <v>197</v>
      </c>
      <c r="F31" s="1270">
        <v>6000</v>
      </c>
      <c r="G31" s="1269"/>
      <c r="H31" s="1241">
        <v>1182000</v>
      </c>
      <c r="I31" s="1269" t="s">
        <v>1170</v>
      </c>
      <c r="J31" s="1242"/>
      <c r="R31" s="1237" t="s">
        <v>1255</v>
      </c>
    </row>
    <row r="32" spans="1:18" s="1253" customFormat="1" ht="15.5" x14ac:dyDescent="0.35">
      <c r="A32" s="1283" t="s">
        <v>25</v>
      </c>
      <c r="B32" s="1077" t="s">
        <v>1256</v>
      </c>
      <c r="C32" s="1269"/>
      <c r="D32" s="1269"/>
      <c r="E32" s="1269"/>
      <c r="F32" s="1269"/>
      <c r="G32" s="1269"/>
      <c r="H32" s="1241">
        <v>38100000</v>
      </c>
      <c r="I32" s="1269"/>
      <c r="J32" s="1242"/>
    </row>
    <row r="33" spans="1:10" s="1253" customFormat="1" ht="15.5" x14ac:dyDescent="0.35">
      <c r="A33" s="1293">
        <v>1.1000000000000001</v>
      </c>
      <c r="B33" s="1294" t="s">
        <v>1257</v>
      </c>
      <c r="C33" s="1295"/>
      <c r="D33" s="1295"/>
      <c r="E33" s="1295"/>
      <c r="F33" s="1257"/>
      <c r="G33" s="1295"/>
      <c r="H33" s="1296">
        <v>4800000</v>
      </c>
      <c r="I33" s="1237" t="s">
        <v>1258</v>
      </c>
      <c r="J33" s="1242"/>
    </row>
    <row r="34" spans="1:10" s="1253" customFormat="1" ht="15.5" x14ac:dyDescent="0.35">
      <c r="A34" s="1297"/>
      <c r="B34" s="1238" t="s">
        <v>1255</v>
      </c>
      <c r="C34" s="1238" t="s">
        <v>1259</v>
      </c>
      <c r="D34" s="1238"/>
      <c r="E34" s="1238">
        <v>1</v>
      </c>
      <c r="F34" s="1298">
        <v>450000</v>
      </c>
      <c r="G34" s="1238"/>
      <c r="H34" s="1270">
        <f t="shared" ref="H34:H40" si="0">E34*F34</f>
        <v>450000</v>
      </c>
      <c r="I34" s="1276"/>
      <c r="J34" s="1242"/>
    </row>
    <row r="35" spans="1:10" s="1253" customFormat="1" ht="15.5" x14ac:dyDescent="0.35">
      <c r="A35" s="1279"/>
      <c r="B35" s="1237" t="s">
        <v>1260</v>
      </c>
      <c r="C35" s="1237" t="s">
        <v>1261</v>
      </c>
      <c r="D35" s="1237"/>
      <c r="E35" s="1237">
        <v>4</v>
      </c>
      <c r="F35" s="1239">
        <v>50000</v>
      </c>
      <c r="G35" s="1237"/>
      <c r="H35" s="1270">
        <f t="shared" si="0"/>
        <v>200000</v>
      </c>
      <c r="I35" s="1242"/>
      <c r="J35" s="1238"/>
    </row>
    <row r="36" spans="1:10" s="1253" customFormat="1" ht="17" customHeight="1" x14ac:dyDescent="0.35">
      <c r="A36" s="1299"/>
      <c r="B36" s="1237" t="s">
        <v>1262</v>
      </c>
      <c r="C36" s="1237" t="s">
        <v>1083</v>
      </c>
      <c r="D36" s="1237"/>
      <c r="E36" s="1237">
        <v>25</v>
      </c>
      <c r="F36" s="1239">
        <v>30000</v>
      </c>
      <c r="G36" s="1237"/>
      <c r="H36" s="1270">
        <v>750000</v>
      </c>
      <c r="I36" s="1276"/>
      <c r="J36" s="1237"/>
    </row>
    <row r="37" spans="1:10" s="1253" customFormat="1" ht="15.5" x14ac:dyDescent="0.35">
      <c r="A37" s="1279"/>
      <c r="B37" s="1237" t="s">
        <v>1263</v>
      </c>
      <c r="C37" s="1237" t="s">
        <v>1237</v>
      </c>
      <c r="D37" s="1237"/>
      <c r="E37" s="1237">
        <v>28</v>
      </c>
      <c r="F37" s="1239">
        <v>50000</v>
      </c>
      <c r="G37" s="1237"/>
      <c r="H37" s="1270">
        <v>1400000</v>
      </c>
      <c r="I37" s="1281"/>
      <c r="J37" s="1276"/>
    </row>
    <row r="38" spans="1:10" s="1253" customFormat="1" ht="15.5" x14ac:dyDescent="0.35">
      <c r="A38" s="1300"/>
      <c r="B38" s="1237" t="s">
        <v>1264</v>
      </c>
      <c r="C38" s="1237" t="s">
        <v>1265</v>
      </c>
      <c r="D38" s="1237"/>
      <c r="E38" s="1237">
        <v>25</v>
      </c>
      <c r="F38" s="1239">
        <v>40000</v>
      </c>
      <c r="G38" s="1237"/>
      <c r="H38" s="1270">
        <v>1000000</v>
      </c>
      <c r="I38" s="1281"/>
      <c r="J38" s="1242"/>
    </row>
    <row r="39" spans="1:10" s="1253" customFormat="1" ht="15.5" x14ac:dyDescent="0.35">
      <c r="A39" s="1297"/>
      <c r="B39" s="1237" t="s">
        <v>1266</v>
      </c>
      <c r="C39" s="1237" t="s">
        <v>1083</v>
      </c>
      <c r="D39" s="1237"/>
      <c r="E39" s="1237">
        <v>25</v>
      </c>
      <c r="F39" s="1239">
        <v>30000</v>
      </c>
      <c r="G39" s="1237"/>
      <c r="H39" s="1270">
        <f t="shared" si="0"/>
        <v>750000</v>
      </c>
      <c r="I39" s="1281"/>
      <c r="J39" s="1242"/>
    </row>
    <row r="40" spans="1:10" s="1253" customFormat="1" ht="15.5" x14ac:dyDescent="0.35">
      <c r="A40" s="1279"/>
      <c r="B40" s="1237" t="s">
        <v>1267</v>
      </c>
      <c r="C40" s="1237" t="s">
        <v>1268</v>
      </c>
      <c r="D40" s="1237"/>
      <c r="E40" s="1237">
        <v>5</v>
      </c>
      <c r="F40" s="1239">
        <v>50000</v>
      </c>
      <c r="G40" s="1237"/>
      <c r="H40" s="1270">
        <f t="shared" si="0"/>
        <v>250000</v>
      </c>
      <c r="I40" s="1258"/>
      <c r="J40" s="1242"/>
    </row>
    <row r="41" spans="1:10" s="1253" customFormat="1" ht="15.5" x14ac:dyDescent="0.35">
      <c r="A41" s="1285">
        <v>1.2</v>
      </c>
      <c r="B41" s="1294" t="s">
        <v>1269</v>
      </c>
      <c r="C41" s="1295"/>
      <c r="D41" s="1257"/>
      <c r="E41" s="1257"/>
      <c r="F41" s="1257"/>
      <c r="G41" s="1295"/>
      <c r="H41" s="1296">
        <f>SUM(H34:H40)</f>
        <v>4800000</v>
      </c>
      <c r="I41" s="1237" t="s">
        <v>1258</v>
      </c>
      <c r="J41" s="1242"/>
    </row>
    <row r="42" spans="1:10" s="1253" customFormat="1" ht="15.5" x14ac:dyDescent="0.35">
      <c r="A42" s="1301"/>
      <c r="B42" s="1238" t="s">
        <v>1255</v>
      </c>
      <c r="C42" s="1238" t="s">
        <v>1259</v>
      </c>
      <c r="D42" s="1258"/>
      <c r="E42" s="1238">
        <v>1</v>
      </c>
      <c r="F42" s="1298">
        <v>450000</v>
      </c>
      <c r="G42" s="1238"/>
      <c r="H42" s="1270">
        <f>E42*F42</f>
        <v>450000</v>
      </c>
      <c r="I42" s="1242"/>
      <c r="J42" s="1242"/>
    </row>
    <row r="43" spans="1:10" s="1253" customFormat="1" ht="15.5" x14ac:dyDescent="0.35">
      <c r="A43" s="1300"/>
      <c r="B43" s="1237" t="s">
        <v>1260</v>
      </c>
      <c r="C43" s="1237" t="s">
        <v>1261</v>
      </c>
      <c r="D43" s="1237"/>
      <c r="E43" s="1237">
        <v>4</v>
      </c>
      <c r="F43" s="1239">
        <v>50000</v>
      </c>
      <c r="G43" s="1237"/>
      <c r="H43" s="1270">
        <f>E43*F43</f>
        <v>200000</v>
      </c>
      <c r="I43" s="1276"/>
      <c r="J43" s="1258"/>
    </row>
    <row r="44" spans="1:10" s="1253" customFormat="1" ht="14.75" customHeight="1" x14ac:dyDescent="0.35">
      <c r="A44" s="1297"/>
      <c r="B44" s="1237" t="s">
        <v>1262</v>
      </c>
      <c r="C44" s="1237" t="s">
        <v>1083</v>
      </c>
      <c r="D44" s="1237"/>
      <c r="E44" s="1237">
        <v>25</v>
      </c>
      <c r="F44" s="1239">
        <v>30000</v>
      </c>
      <c r="G44" s="1237"/>
      <c r="H44" s="1270">
        <v>750000</v>
      </c>
      <c r="I44" s="1281"/>
      <c r="J44" s="1237"/>
    </row>
    <row r="45" spans="1:10" s="1253" customFormat="1" ht="15.5" x14ac:dyDescent="0.35">
      <c r="A45" s="1300"/>
      <c r="B45" s="1237" t="s">
        <v>1263</v>
      </c>
      <c r="C45" s="1237" t="s">
        <v>1237</v>
      </c>
      <c r="D45" s="1237"/>
      <c r="E45" s="1237">
        <v>28</v>
      </c>
      <c r="F45" s="1239">
        <v>50000</v>
      </c>
      <c r="G45" s="1237"/>
      <c r="H45" s="1270">
        <v>1400000</v>
      </c>
      <c r="I45" s="1281"/>
      <c r="J45" s="1257"/>
    </row>
    <row r="46" spans="1:10" s="1253" customFormat="1" ht="15.5" x14ac:dyDescent="0.35">
      <c r="A46" s="1297"/>
      <c r="B46" s="1237" t="s">
        <v>1264</v>
      </c>
      <c r="C46" s="1237" t="s">
        <v>1265</v>
      </c>
      <c r="D46" s="1237"/>
      <c r="E46" s="1237">
        <v>25</v>
      </c>
      <c r="F46" s="1239">
        <v>40000</v>
      </c>
      <c r="G46" s="1237"/>
      <c r="H46" s="1270">
        <v>1000000</v>
      </c>
      <c r="I46" s="1242"/>
      <c r="J46" s="1242"/>
    </row>
    <row r="47" spans="1:10" s="1253" customFormat="1" ht="15.5" x14ac:dyDescent="0.35">
      <c r="A47" s="1279"/>
      <c r="B47" s="1237" t="s">
        <v>1266</v>
      </c>
      <c r="C47" s="1237" t="s">
        <v>1083</v>
      </c>
      <c r="D47" s="1237"/>
      <c r="E47" s="1237">
        <v>25</v>
      </c>
      <c r="F47" s="1239">
        <v>30000</v>
      </c>
      <c r="G47" s="1237"/>
      <c r="H47" s="1270">
        <f>E47*F47</f>
        <v>750000</v>
      </c>
      <c r="I47" s="1276"/>
      <c r="J47" s="1276"/>
    </row>
    <row r="48" spans="1:10" s="1253" customFormat="1" ht="15.5" x14ac:dyDescent="0.35">
      <c r="A48" s="1279"/>
      <c r="B48" s="1237" t="s">
        <v>1267</v>
      </c>
      <c r="C48" s="1237" t="s">
        <v>1268</v>
      </c>
      <c r="D48" s="1237"/>
      <c r="E48" s="1237">
        <v>5</v>
      </c>
      <c r="F48" s="1239">
        <v>50000</v>
      </c>
      <c r="G48" s="1237"/>
      <c r="H48" s="1270">
        <f>E48*F48</f>
        <v>250000</v>
      </c>
      <c r="I48" s="1258"/>
      <c r="J48" s="1242"/>
    </row>
    <row r="49" spans="1:10" s="1253" customFormat="1" ht="15.5" x14ac:dyDescent="0.35">
      <c r="A49" s="1285">
        <v>1.3</v>
      </c>
      <c r="B49" s="1249" t="s">
        <v>1270</v>
      </c>
      <c r="C49" s="1237"/>
      <c r="D49" s="1237"/>
      <c r="E49" s="1257"/>
      <c r="F49" s="1257"/>
      <c r="G49" s="1295"/>
      <c r="H49" s="1296">
        <f>SUM(H42:H48)</f>
        <v>4800000</v>
      </c>
      <c r="I49" s="1237" t="s">
        <v>1258</v>
      </c>
      <c r="J49" s="1242"/>
    </row>
    <row r="50" spans="1:10" s="1253" customFormat="1" ht="15.5" x14ac:dyDescent="0.35">
      <c r="A50" s="1254"/>
      <c r="B50" s="1237" t="s">
        <v>1255</v>
      </c>
      <c r="C50" s="1237" t="s">
        <v>1259</v>
      </c>
      <c r="D50" s="1237"/>
      <c r="E50" s="1238">
        <v>1</v>
      </c>
      <c r="F50" s="1298">
        <v>450000</v>
      </c>
      <c r="G50" s="1238"/>
      <c r="H50" s="1270">
        <f>E50*F50</f>
        <v>450000</v>
      </c>
      <c r="I50" s="1257"/>
      <c r="J50" s="1242"/>
    </row>
    <row r="51" spans="1:10" s="1253" customFormat="1" ht="15.5" x14ac:dyDescent="0.35">
      <c r="A51" s="1302"/>
      <c r="B51" s="1237" t="s">
        <v>1260</v>
      </c>
      <c r="C51" s="1237" t="s">
        <v>1261</v>
      </c>
      <c r="D51" s="1237"/>
      <c r="E51" s="1237">
        <v>4</v>
      </c>
      <c r="F51" s="1239">
        <v>50000</v>
      </c>
      <c r="G51" s="1237"/>
      <c r="H51" s="1270">
        <f>E51*F51</f>
        <v>200000</v>
      </c>
      <c r="I51" s="1281"/>
      <c r="J51" s="1238"/>
    </row>
    <row r="52" spans="1:10" s="1253" customFormat="1" ht="11.75" customHeight="1" x14ac:dyDescent="0.35">
      <c r="A52" s="1279"/>
      <c r="B52" s="1237" t="s">
        <v>1262</v>
      </c>
      <c r="C52" s="1237" t="s">
        <v>1083</v>
      </c>
      <c r="D52" s="1237"/>
      <c r="E52" s="1237">
        <v>25</v>
      </c>
      <c r="F52" s="1239">
        <v>30000</v>
      </c>
      <c r="G52" s="1237"/>
      <c r="H52" s="1270">
        <v>750000</v>
      </c>
      <c r="I52" s="1242"/>
      <c r="J52" s="1237"/>
    </row>
    <row r="53" spans="1:10" s="1253" customFormat="1" ht="15.5" x14ac:dyDescent="0.35">
      <c r="A53" s="1279"/>
      <c r="B53" s="1237" t="s">
        <v>1263</v>
      </c>
      <c r="C53" s="1237" t="s">
        <v>1237</v>
      </c>
      <c r="D53" s="1237"/>
      <c r="E53" s="1237">
        <v>28</v>
      </c>
      <c r="F53" s="1239">
        <v>50000</v>
      </c>
      <c r="G53" s="1237"/>
      <c r="H53" s="1270">
        <v>1400000</v>
      </c>
      <c r="I53" s="1242"/>
      <c r="J53" s="1242"/>
    </row>
    <row r="54" spans="1:10" s="1253" customFormat="1" ht="15.5" x14ac:dyDescent="0.35">
      <c r="A54" s="1279"/>
      <c r="B54" s="1237" t="s">
        <v>1264</v>
      </c>
      <c r="C54" s="1237" t="s">
        <v>1265</v>
      </c>
      <c r="D54" s="1237"/>
      <c r="E54" s="1237">
        <v>25</v>
      </c>
      <c r="F54" s="1239">
        <v>40000</v>
      </c>
      <c r="G54" s="1237"/>
      <c r="H54" s="1270">
        <v>1000000</v>
      </c>
      <c r="I54" s="1242"/>
      <c r="J54" s="1242"/>
    </row>
    <row r="55" spans="1:10" s="1253" customFormat="1" ht="15.5" x14ac:dyDescent="0.35">
      <c r="A55" s="1300"/>
      <c r="B55" s="1237" t="s">
        <v>1266</v>
      </c>
      <c r="C55" s="1237" t="s">
        <v>1083</v>
      </c>
      <c r="D55" s="1237"/>
      <c r="E55" s="1237">
        <v>25</v>
      </c>
      <c r="F55" s="1239">
        <v>30000</v>
      </c>
      <c r="G55" s="1237"/>
      <c r="H55" s="1270">
        <f>E55*F55</f>
        <v>750000</v>
      </c>
      <c r="I55" s="1242"/>
      <c r="J55" s="1242"/>
    </row>
    <row r="56" spans="1:10" s="1253" customFormat="1" ht="15.5" x14ac:dyDescent="0.35">
      <c r="A56" s="1297"/>
      <c r="B56" s="1237" t="s">
        <v>1267</v>
      </c>
      <c r="C56" s="1237" t="s">
        <v>1268</v>
      </c>
      <c r="D56" s="1237"/>
      <c r="E56" s="1237">
        <v>5</v>
      </c>
      <c r="F56" s="1239">
        <v>50000</v>
      </c>
      <c r="G56" s="1237"/>
      <c r="H56" s="1270">
        <f>E56*F56</f>
        <v>250000</v>
      </c>
      <c r="I56" s="1238"/>
      <c r="J56" s="1242"/>
    </row>
    <row r="57" spans="1:10" s="1253" customFormat="1" ht="15.5" x14ac:dyDescent="0.35">
      <c r="A57" s="1285">
        <v>1.4</v>
      </c>
      <c r="B57" s="1294" t="s">
        <v>1271</v>
      </c>
      <c r="C57" s="1257"/>
      <c r="D57" s="1257"/>
      <c r="E57" s="1257"/>
      <c r="F57" s="1257"/>
      <c r="G57" s="1295"/>
      <c r="H57" s="1296">
        <f>SUM(H50:H56)</f>
        <v>4800000</v>
      </c>
      <c r="I57" s="1237" t="s">
        <v>1258</v>
      </c>
      <c r="J57" s="1276"/>
    </row>
    <row r="58" spans="1:10" s="1253" customFormat="1" ht="15.5" x14ac:dyDescent="0.35">
      <c r="A58" s="1254"/>
      <c r="B58" s="1238" t="s">
        <v>1255</v>
      </c>
      <c r="C58" s="1258" t="s">
        <v>1259</v>
      </c>
      <c r="D58" s="1258"/>
      <c r="E58" s="1238">
        <v>1</v>
      </c>
      <c r="F58" s="1298">
        <v>450000</v>
      </c>
      <c r="G58" s="1238"/>
      <c r="H58" s="1270">
        <f>E58*F58</f>
        <v>450000</v>
      </c>
      <c r="I58" s="1303"/>
      <c r="J58" s="1242"/>
    </row>
    <row r="59" spans="1:10" s="1253" customFormat="1" ht="15.5" x14ac:dyDescent="0.35">
      <c r="A59" s="1301"/>
      <c r="B59" s="1237" t="s">
        <v>1260</v>
      </c>
      <c r="C59" s="1237" t="s">
        <v>1261</v>
      </c>
      <c r="D59" s="1237"/>
      <c r="E59" s="1237">
        <v>4</v>
      </c>
      <c r="F59" s="1239">
        <v>50000</v>
      </c>
      <c r="G59" s="1237"/>
      <c r="H59" s="1270">
        <f>E59*F59</f>
        <v>200000</v>
      </c>
      <c r="I59" s="1242"/>
      <c r="J59" s="1242"/>
    </row>
    <row r="60" spans="1:10" s="1253" customFormat="1" ht="15.5" x14ac:dyDescent="0.35">
      <c r="A60" s="1297"/>
      <c r="B60" s="1237" t="s">
        <v>1262</v>
      </c>
      <c r="C60" s="1237" t="s">
        <v>1083</v>
      </c>
      <c r="D60" s="1237"/>
      <c r="E60" s="1237">
        <v>25</v>
      </c>
      <c r="F60" s="1239">
        <v>30000</v>
      </c>
      <c r="G60" s="1237"/>
      <c r="H60" s="1270">
        <v>750000</v>
      </c>
      <c r="I60" s="1276"/>
      <c r="J60" s="1237"/>
    </row>
    <row r="61" spans="1:10" s="1253" customFormat="1" ht="15.5" x14ac:dyDescent="0.35">
      <c r="A61" s="1279"/>
      <c r="B61" s="1237" t="s">
        <v>1263</v>
      </c>
      <c r="C61" s="1237" t="s">
        <v>1237</v>
      </c>
      <c r="D61" s="1237"/>
      <c r="E61" s="1237">
        <v>28</v>
      </c>
      <c r="F61" s="1239">
        <v>50000</v>
      </c>
      <c r="G61" s="1237"/>
      <c r="H61" s="1270">
        <v>1400000</v>
      </c>
      <c r="I61" s="1281"/>
      <c r="J61" s="1281"/>
    </row>
    <row r="62" spans="1:10" s="1253" customFormat="1" ht="15.5" x14ac:dyDescent="0.35">
      <c r="A62" s="1279"/>
      <c r="B62" s="1237" t="s">
        <v>1264</v>
      </c>
      <c r="C62" s="1237" t="s">
        <v>1265</v>
      </c>
      <c r="D62" s="1237"/>
      <c r="E62" s="1237">
        <v>25</v>
      </c>
      <c r="F62" s="1239">
        <v>40000</v>
      </c>
      <c r="G62" s="1237"/>
      <c r="H62" s="1270">
        <v>1000000</v>
      </c>
      <c r="I62" s="1281"/>
      <c r="J62" s="1281"/>
    </row>
    <row r="63" spans="1:10" s="1253" customFormat="1" ht="15.5" x14ac:dyDescent="0.35">
      <c r="A63" s="1300"/>
      <c r="B63" s="1237" t="s">
        <v>1266</v>
      </c>
      <c r="C63" s="1237" t="s">
        <v>1083</v>
      </c>
      <c r="D63" s="1237"/>
      <c r="E63" s="1237">
        <v>25</v>
      </c>
      <c r="F63" s="1239">
        <v>30000</v>
      </c>
      <c r="G63" s="1237"/>
      <c r="H63" s="1270">
        <f>E63*F63</f>
        <v>750000</v>
      </c>
      <c r="I63" s="1281"/>
      <c r="J63" s="1281"/>
    </row>
    <row r="64" spans="1:10" s="1253" customFormat="1" ht="15.5" x14ac:dyDescent="0.35">
      <c r="A64" s="1297"/>
      <c r="B64" s="1237" t="s">
        <v>1267</v>
      </c>
      <c r="C64" s="1237" t="s">
        <v>1268</v>
      </c>
      <c r="D64" s="1237"/>
      <c r="E64" s="1237">
        <v>5</v>
      </c>
      <c r="F64" s="1239">
        <v>50000</v>
      </c>
      <c r="G64" s="1237"/>
      <c r="H64" s="1270">
        <f>E64*F64</f>
        <v>250000</v>
      </c>
      <c r="I64" s="1281"/>
      <c r="J64" s="1281"/>
    </row>
    <row r="65" spans="1:10" s="1253" customFormat="1" ht="15.5" x14ac:dyDescent="0.35">
      <c r="A65" s="1297">
        <v>1.5</v>
      </c>
      <c r="B65" s="1294" t="s">
        <v>1272</v>
      </c>
      <c r="C65" s="1257"/>
      <c r="D65" s="1257"/>
      <c r="E65" s="1257"/>
      <c r="F65" s="1257"/>
      <c r="G65" s="1295"/>
      <c r="H65" s="1296">
        <f>SUM(H58:H64)</f>
        <v>4800000</v>
      </c>
      <c r="I65" s="1237" t="s">
        <v>1258</v>
      </c>
      <c r="J65" s="1281"/>
    </row>
    <row r="66" spans="1:10" s="1253" customFormat="1" ht="15.5" x14ac:dyDescent="0.35">
      <c r="A66" s="1297"/>
      <c r="B66" s="1238" t="s">
        <v>1255</v>
      </c>
      <c r="C66" s="1258" t="s">
        <v>1259</v>
      </c>
      <c r="D66" s="1258"/>
      <c r="E66" s="1238">
        <v>1</v>
      </c>
      <c r="F66" s="1298">
        <v>450000</v>
      </c>
      <c r="G66" s="1238"/>
      <c r="H66" s="1270">
        <f>E66*F66</f>
        <v>450000</v>
      </c>
      <c r="I66" s="1281"/>
      <c r="J66" s="1281"/>
    </row>
    <row r="67" spans="1:10" s="1253" customFormat="1" ht="15.5" x14ac:dyDescent="0.35">
      <c r="A67" s="1297"/>
      <c r="B67" s="1237" t="s">
        <v>1260</v>
      </c>
      <c r="C67" s="1237" t="s">
        <v>1261</v>
      </c>
      <c r="D67" s="1237"/>
      <c r="E67" s="1237">
        <v>4</v>
      </c>
      <c r="F67" s="1239">
        <v>50000</v>
      </c>
      <c r="G67" s="1237"/>
      <c r="H67" s="1270">
        <f>E67*F67</f>
        <v>200000</v>
      </c>
      <c r="I67" s="1281"/>
      <c r="J67" s="1281"/>
    </row>
    <row r="68" spans="1:10" s="1253" customFormat="1" ht="15.5" x14ac:dyDescent="0.35">
      <c r="A68" s="1297"/>
      <c r="B68" s="1237" t="s">
        <v>1262</v>
      </c>
      <c r="C68" s="1237" t="s">
        <v>1083</v>
      </c>
      <c r="D68" s="1237"/>
      <c r="E68" s="1237">
        <v>25</v>
      </c>
      <c r="F68" s="1239">
        <v>30000</v>
      </c>
      <c r="G68" s="1237"/>
      <c r="H68" s="1270">
        <v>750000</v>
      </c>
      <c r="I68" s="1281"/>
      <c r="J68" s="1237"/>
    </row>
    <row r="69" spans="1:10" s="1253" customFormat="1" ht="16.5" customHeight="1" x14ac:dyDescent="0.35">
      <c r="A69" s="1297"/>
      <c r="B69" s="1237" t="s">
        <v>1263</v>
      </c>
      <c r="C69" s="1237" t="s">
        <v>1237</v>
      </c>
      <c r="D69" s="1237"/>
      <c r="E69" s="1237">
        <v>28</v>
      </c>
      <c r="F69" s="1239">
        <v>50000</v>
      </c>
      <c r="G69" s="1237"/>
      <c r="H69" s="1270">
        <v>1400000</v>
      </c>
      <c r="I69" s="1281"/>
      <c r="J69" s="1281"/>
    </row>
    <row r="70" spans="1:10" s="1253" customFormat="1" ht="15.5" x14ac:dyDescent="0.35">
      <c r="A70" s="1297"/>
      <c r="B70" s="1237" t="s">
        <v>1264</v>
      </c>
      <c r="C70" s="1237" t="s">
        <v>1265</v>
      </c>
      <c r="D70" s="1237"/>
      <c r="E70" s="1237">
        <v>25</v>
      </c>
      <c r="F70" s="1239">
        <v>40000</v>
      </c>
      <c r="G70" s="1237"/>
      <c r="H70" s="1270">
        <v>1000000</v>
      </c>
      <c r="I70" s="1281"/>
      <c r="J70" s="1281"/>
    </row>
    <row r="71" spans="1:10" s="1253" customFormat="1" ht="15.5" x14ac:dyDescent="0.35">
      <c r="A71" s="1297"/>
      <c r="B71" s="1237" t="s">
        <v>1266</v>
      </c>
      <c r="C71" s="1237" t="s">
        <v>1083</v>
      </c>
      <c r="D71" s="1237"/>
      <c r="E71" s="1237">
        <v>25</v>
      </c>
      <c r="F71" s="1239">
        <v>30000</v>
      </c>
      <c r="G71" s="1237"/>
      <c r="H71" s="1270">
        <f>E71*F71</f>
        <v>750000</v>
      </c>
      <c r="I71" s="1281"/>
      <c r="J71" s="1281"/>
    </row>
    <row r="72" spans="1:10" s="1253" customFormat="1" ht="15" customHeight="1" x14ac:dyDescent="0.35">
      <c r="A72" s="1297"/>
      <c r="B72" s="1237" t="s">
        <v>1267</v>
      </c>
      <c r="C72" s="1237" t="s">
        <v>1268</v>
      </c>
      <c r="D72" s="1237"/>
      <c r="E72" s="1237">
        <v>5</v>
      </c>
      <c r="F72" s="1239">
        <v>50000</v>
      </c>
      <c r="G72" s="1237"/>
      <c r="H72" s="1270">
        <f>E72*F72</f>
        <v>250000</v>
      </c>
      <c r="I72" s="1281"/>
      <c r="J72" s="1281"/>
    </row>
    <row r="73" spans="1:10" s="1253" customFormat="1" ht="15.5" x14ac:dyDescent="0.35">
      <c r="A73" s="1297">
        <v>1.6</v>
      </c>
      <c r="B73" s="1294" t="s">
        <v>1273</v>
      </c>
      <c r="C73" s="1257"/>
      <c r="D73" s="1257"/>
      <c r="E73" s="1257"/>
      <c r="F73" s="1257"/>
      <c r="G73" s="1295"/>
      <c r="H73" s="1296">
        <f>SUM(H66:H72)</f>
        <v>4800000</v>
      </c>
      <c r="I73" s="1237" t="s">
        <v>1258</v>
      </c>
      <c r="J73" s="1281"/>
    </row>
    <row r="74" spans="1:10" s="1253" customFormat="1" ht="14.25" customHeight="1" x14ac:dyDescent="0.35">
      <c r="A74" s="1297"/>
      <c r="B74" s="1238" t="s">
        <v>1255</v>
      </c>
      <c r="C74" s="1258" t="s">
        <v>1259</v>
      </c>
      <c r="D74" s="1258"/>
      <c r="E74" s="1238">
        <v>1</v>
      </c>
      <c r="F74" s="1298">
        <v>450000</v>
      </c>
      <c r="G74" s="1238"/>
      <c r="H74" s="1270">
        <f>E74*F74</f>
        <v>450000</v>
      </c>
      <c r="I74" s="1281"/>
      <c r="J74" s="1281"/>
    </row>
    <row r="75" spans="1:10" s="1253" customFormat="1" ht="13.25" customHeight="1" x14ac:dyDescent="0.35">
      <c r="A75" s="1297"/>
      <c r="B75" s="1237" t="s">
        <v>1260</v>
      </c>
      <c r="C75" s="1237" t="s">
        <v>1261</v>
      </c>
      <c r="D75" s="1237"/>
      <c r="E75" s="1237">
        <v>4</v>
      </c>
      <c r="F75" s="1239">
        <v>50000</v>
      </c>
      <c r="G75" s="1237"/>
      <c r="H75" s="1270">
        <f>E75*F75</f>
        <v>200000</v>
      </c>
      <c r="I75" s="1281"/>
      <c r="J75" s="1281"/>
    </row>
    <row r="76" spans="1:10" s="1253" customFormat="1" ht="12.5" customHeight="1" x14ac:dyDescent="0.35">
      <c r="A76" s="1297"/>
      <c r="B76" s="1237" t="s">
        <v>1262</v>
      </c>
      <c r="C76" s="1237" t="s">
        <v>1083</v>
      </c>
      <c r="D76" s="1237"/>
      <c r="E76" s="1237">
        <v>25</v>
      </c>
      <c r="F76" s="1239">
        <v>30000</v>
      </c>
      <c r="G76" s="1237"/>
      <c r="H76" s="1270">
        <v>750000</v>
      </c>
      <c r="I76" s="1281"/>
      <c r="J76" s="1276"/>
    </row>
    <row r="77" spans="1:10" s="1253" customFormat="1" ht="15.5" x14ac:dyDescent="0.35">
      <c r="A77" s="1297"/>
      <c r="B77" s="1237" t="s">
        <v>1263</v>
      </c>
      <c r="C77" s="1237" t="s">
        <v>1237</v>
      </c>
      <c r="D77" s="1237"/>
      <c r="E77" s="1237">
        <v>28</v>
      </c>
      <c r="F77" s="1239">
        <v>50000</v>
      </c>
      <c r="G77" s="1237"/>
      <c r="H77" s="1270">
        <v>1400000</v>
      </c>
      <c r="I77" s="1281"/>
      <c r="J77" s="1276"/>
    </row>
    <row r="78" spans="1:10" s="1253" customFormat="1" ht="15.5" x14ac:dyDescent="0.35">
      <c r="A78" s="1297"/>
      <c r="B78" s="1237" t="s">
        <v>1264</v>
      </c>
      <c r="C78" s="1237" t="s">
        <v>1265</v>
      </c>
      <c r="D78" s="1237"/>
      <c r="E78" s="1237">
        <v>25</v>
      </c>
      <c r="F78" s="1239">
        <v>40000</v>
      </c>
      <c r="G78" s="1237"/>
      <c r="H78" s="1270">
        <v>1000000</v>
      </c>
      <c r="I78" s="1281"/>
      <c r="J78" s="1276"/>
    </row>
    <row r="79" spans="1:10" s="1253" customFormat="1" ht="15.5" x14ac:dyDescent="0.35">
      <c r="A79" s="1297"/>
      <c r="B79" s="1237" t="s">
        <v>1266</v>
      </c>
      <c r="C79" s="1237" t="s">
        <v>1083</v>
      </c>
      <c r="D79" s="1237"/>
      <c r="E79" s="1237">
        <v>25</v>
      </c>
      <c r="F79" s="1239">
        <v>30000</v>
      </c>
      <c r="G79" s="1237"/>
      <c r="H79" s="1270">
        <f>E79*F79</f>
        <v>750000</v>
      </c>
      <c r="I79" s="1281"/>
      <c r="J79" s="1276"/>
    </row>
    <row r="80" spans="1:10" s="1253" customFormat="1" ht="15.5" x14ac:dyDescent="0.35">
      <c r="A80" s="1297"/>
      <c r="B80" s="1237" t="s">
        <v>1267</v>
      </c>
      <c r="C80" s="1237" t="s">
        <v>1268</v>
      </c>
      <c r="D80" s="1237"/>
      <c r="E80" s="1237">
        <v>5</v>
      </c>
      <c r="F80" s="1239">
        <v>50000</v>
      </c>
      <c r="G80" s="1237"/>
      <c r="H80" s="1270">
        <f>E80*F80</f>
        <v>250000</v>
      </c>
      <c r="I80" s="1281"/>
      <c r="J80" s="1276"/>
    </row>
    <row r="81" spans="1:10" s="1253" customFormat="1" ht="15.5" x14ac:dyDescent="0.35">
      <c r="A81" s="1297">
        <v>1.7</v>
      </c>
      <c r="B81" s="1077" t="s">
        <v>1274</v>
      </c>
      <c r="C81" s="1237"/>
      <c r="D81" s="1237"/>
      <c r="E81" s="1257"/>
      <c r="F81" s="1257"/>
      <c r="G81" s="1295"/>
      <c r="H81" s="1296">
        <f>SUM(H74:H80)</f>
        <v>4800000</v>
      </c>
      <c r="I81" s="1276" t="s">
        <v>1258</v>
      </c>
      <c r="J81" s="1276"/>
    </row>
    <row r="82" spans="1:10" s="1253" customFormat="1" ht="15.5" x14ac:dyDescent="0.35">
      <c r="A82" s="1297"/>
      <c r="B82" s="1237" t="s">
        <v>1255</v>
      </c>
      <c r="C82" s="1237" t="s">
        <v>1259</v>
      </c>
      <c r="D82" s="1237"/>
      <c r="E82" s="1238">
        <v>1</v>
      </c>
      <c r="F82" s="1298">
        <v>450000</v>
      </c>
      <c r="G82" s="1238"/>
      <c r="H82" s="1270">
        <f>E82*F82</f>
        <v>450000</v>
      </c>
      <c r="I82" s="1276"/>
      <c r="J82" s="1276"/>
    </row>
    <row r="83" spans="1:10" s="1253" customFormat="1" ht="14.25" customHeight="1" x14ac:dyDescent="0.35">
      <c r="A83" s="1297"/>
      <c r="B83" s="1237" t="s">
        <v>1260</v>
      </c>
      <c r="C83" s="1237" t="s">
        <v>1261</v>
      </c>
      <c r="D83" s="1237"/>
      <c r="E83" s="1237">
        <v>4</v>
      </c>
      <c r="F83" s="1239">
        <v>50000</v>
      </c>
      <c r="G83" s="1237"/>
      <c r="H83" s="1270">
        <f>E83*F83</f>
        <v>200000</v>
      </c>
      <c r="I83" s="1276"/>
      <c r="J83" s="1276"/>
    </row>
    <row r="84" spans="1:10" s="1253" customFormat="1" ht="15.5" x14ac:dyDescent="0.35">
      <c r="A84" s="1297"/>
      <c r="B84" s="1237" t="s">
        <v>1262</v>
      </c>
      <c r="C84" s="1237" t="s">
        <v>1083</v>
      </c>
      <c r="D84" s="1237"/>
      <c r="E84" s="1237">
        <v>22</v>
      </c>
      <c r="F84" s="1239">
        <v>30000</v>
      </c>
      <c r="G84" s="1237"/>
      <c r="H84" s="1270">
        <v>660000</v>
      </c>
      <c r="I84" s="1276"/>
      <c r="J84" s="1237"/>
    </row>
    <row r="85" spans="1:10" s="1253" customFormat="1" ht="14" customHeight="1" x14ac:dyDescent="0.35">
      <c r="A85" s="1297"/>
      <c r="B85" s="1237" t="s">
        <v>1263</v>
      </c>
      <c r="C85" s="1237" t="s">
        <v>1237</v>
      </c>
      <c r="D85" s="1237"/>
      <c r="E85" s="1237">
        <v>28</v>
      </c>
      <c r="F85" s="1239">
        <v>50000</v>
      </c>
      <c r="G85" s="1237"/>
      <c r="H85" s="1270">
        <v>1400000</v>
      </c>
      <c r="I85" s="1276"/>
      <c r="J85" s="1281"/>
    </row>
    <row r="86" spans="1:10" s="1253" customFormat="1" ht="13.25" customHeight="1" x14ac:dyDescent="0.35">
      <c r="A86" s="1297"/>
      <c r="B86" s="1237" t="s">
        <v>1264</v>
      </c>
      <c r="C86" s="1237" t="s">
        <v>1265</v>
      </c>
      <c r="D86" s="1237"/>
      <c r="E86" s="1237">
        <v>22</v>
      </c>
      <c r="F86" s="1239">
        <v>40000</v>
      </c>
      <c r="G86" s="1237"/>
      <c r="H86" s="1270">
        <v>880000</v>
      </c>
      <c r="I86" s="1276"/>
      <c r="J86" s="1281"/>
    </row>
    <row r="87" spans="1:10" s="1253" customFormat="1" ht="14.75" customHeight="1" x14ac:dyDescent="0.35">
      <c r="A87" s="1297"/>
      <c r="B87" s="1237" t="s">
        <v>1266</v>
      </c>
      <c r="C87" s="1237" t="s">
        <v>1083</v>
      </c>
      <c r="D87" s="1237"/>
      <c r="E87" s="1237">
        <v>22</v>
      </c>
      <c r="F87" s="1239">
        <v>30000</v>
      </c>
      <c r="G87" s="1237"/>
      <c r="H87" s="1270">
        <f>E87*F87</f>
        <v>660000</v>
      </c>
      <c r="I87" s="1276"/>
      <c r="J87" s="1281"/>
    </row>
    <row r="88" spans="1:10" s="1253" customFormat="1" ht="11.25" customHeight="1" x14ac:dyDescent="0.35">
      <c r="A88" s="1297"/>
      <c r="B88" s="1237" t="s">
        <v>1267</v>
      </c>
      <c r="C88" s="1237" t="s">
        <v>1268</v>
      </c>
      <c r="D88" s="1237"/>
      <c r="E88" s="1237">
        <v>5</v>
      </c>
      <c r="F88" s="1239">
        <v>50000</v>
      </c>
      <c r="G88" s="1237"/>
      <c r="H88" s="1270">
        <f>E88*F88</f>
        <v>250000</v>
      </c>
      <c r="I88" s="1276"/>
      <c r="J88" s="1281"/>
    </row>
    <row r="89" spans="1:10" s="1253" customFormat="1" ht="12.75" customHeight="1" x14ac:dyDescent="0.35">
      <c r="A89" s="1297">
        <v>1.8</v>
      </c>
      <c r="B89" s="1294" t="s">
        <v>1275</v>
      </c>
      <c r="C89" s="1257"/>
      <c r="D89" s="1257"/>
      <c r="E89" s="1257"/>
      <c r="F89" s="1257"/>
      <c r="G89" s="1295"/>
      <c r="H89" s="1296">
        <f>SUM(H82:H88)</f>
        <v>4500000</v>
      </c>
      <c r="I89" s="1237" t="s">
        <v>1258</v>
      </c>
      <c r="J89" s="1281"/>
    </row>
    <row r="90" spans="1:10" s="1253" customFormat="1" ht="14" customHeight="1" x14ac:dyDescent="0.35">
      <c r="A90" s="1297"/>
      <c r="B90" s="1238" t="s">
        <v>1255</v>
      </c>
      <c r="C90" s="1258" t="s">
        <v>1259</v>
      </c>
      <c r="D90" s="1258"/>
      <c r="E90" s="1238">
        <v>1</v>
      </c>
      <c r="F90" s="1298">
        <v>450000</v>
      </c>
      <c r="G90" s="1238"/>
      <c r="H90" s="1270">
        <f>E90*F90</f>
        <v>450000</v>
      </c>
      <c r="I90" s="1281"/>
      <c r="J90" s="1281"/>
    </row>
    <row r="91" spans="1:10" ht="14.25" customHeight="1" x14ac:dyDescent="0.35">
      <c r="A91" s="1297"/>
      <c r="B91" s="1237" t="s">
        <v>1260</v>
      </c>
      <c r="C91" s="1237" t="s">
        <v>1261</v>
      </c>
      <c r="D91" s="1237"/>
      <c r="E91" s="1237">
        <v>4</v>
      </c>
      <c r="F91" s="1239">
        <v>50000</v>
      </c>
      <c r="G91" s="1237"/>
      <c r="H91" s="1270">
        <f>E91*F91</f>
        <v>200000</v>
      </c>
      <c r="I91" s="1281"/>
      <c r="J91" s="1281"/>
    </row>
    <row r="92" spans="1:10" ht="14.25" customHeight="1" x14ac:dyDescent="0.35">
      <c r="A92" s="1297"/>
      <c r="B92" s="1237" t="s">
        <v>1262</v>
      </c>
      <c r="C92" s="1237" t="s">
        <v>1083</v>
      </c>
      <c r="D92" s="1237"/>
      <c r="E92" s="1237">
        <v>25</v>
      </c>
      <c r="F92" s="1239">
        <v>30000</v>
      </c>
      <c r="G92" s="1237"/>
      <c r="H92" s="1270">
        <v>750000</v>
      </c>
      <c r="I92" s="1281"/>
      <c r="J92" s="1276"/>
    </row>
    <row r="93" spans="1:10" ht="14.25" customHeight="1" x14ac:dyDescent="0.35">
      <c r="A93" s="1297"/>
      <c r="B93" s="1237" t="s">
        <v>1263</v>
      </c>
      <c r="C93" s="1237" t="s">
        <v>1237</v>
      </c>
      <c r="D93" s="1237"/>
      <c r="E93" s="1237">
        <v>28</v>
      </c>
      <c r="F93" s="1239">
        <v>50000</v>
      </c>
      <c r="G93" s="1237"/>
      <c r="H93" s="1270">
        <v>1400000</v>
      </c>
      <c r="I93" s="1281"/>
      <c r="J93" s="1276"/>
    </row>
    <row r="94" spans="1:10" ht="14.25" customHeight="1" x14ac:dyDescent="0.35">
      <c r="A94" s="1297"/>
      <c r="B94" s="1237" t="s">
        <v>1264</v>
      </c>
      <c r="C94" s="1237" t="s">
        <v>1265</v>
      </c>
      <c r="D94" s="1237"/>
      <c r="E94" s="1237">
        <v>25</v>
      </c>
      <c r="F94" s="1239">
        <v>40000</v>
      </c>
      <c r="G94" s="1237"/>
      <c r="H94" s="1270">
        <v>1000000</v>
      </c>
      <c r="I94" s="1281"/>
      <c r="J94" s="1276"/>
    </row>
    <row r="95" spans="1:10" ht="14.25" customHeight="1" x14ac:dyDescent="0.35">
      <c r="A95" s="1297"/>
      <c r="B95" s="1237" t="s">
        <v>1266</v>
      </c>
      <c r="C95" s="1237" t="s">
        <v>1083</v>
      </c>
      <c r="D95" s="1237"/>
      <c r="E95" s="1237">
        <v>25</v>
      </c>
      <c r="F95" s="1239">
        <v>30000</v>
      </c>
      <c r="G95" s="1237"/>
      <c r="H95" s="1270">
        <f>E95*F95</f>
        <v>750000</v>
      </c>
      <c r="I95" s="1281"/>
      <c r="J95" s="1276"/>
    </row>
    <row r="96" spans="1:10" ht="14.25" customHeight="1" x14ac:dyDescent="0.35">
      <c r="A96" s="1297"/>
      <c r="B96" s="1237" t="s">
        <v>1267</v>
      </c>
      <c r="C96" s="1237" t="s">
        <v>1268</v>
      </c>
      <c r="D96" s="1237"/>
      <c r="E96" s="1237">
        <v>5</v>
      </c>
      <c r="F96" s="1239">
        <v>50000</v>
      </c>
      <c r="G96" s="1237"/>
      <c r="H96" s="1270">
        <f>E96*F96</f>
        <v>250000</v>
      </c>
      <c r="I96" s="1281"/>
      <c r="J96" s="1276"/>
    </row>
    <row r="97" spans="1:11" s="1253" customFormat="1" ht="12.75" customHeight="1" x14ac:dyDescent="0.35">
      <c r="A97" s="1297"/>
      <c r="B97" s="1294"/>
      <c r="C97" s="1257"/>
      <c r="D97" s="1257"/>
      <c r="E97" s="1257"/>
      <c r="F97" s="1257"/>
      <c r="G97" s="1295"/>
      <c r="H97" s="1296"/>
      <c r="I97" s="1237"/>
      <c r="J97" s="1281"/>
    </row>
    <row r="98" spans="1:11" s="1253" customFormat="1" ht="14" customHeight="1" x14ac:dyDescent="0.35">
      <c r="A98" s="1297"/>
      <c r="B98" s="1304" t="s">
        <v>497</v>
      </c>
      <c r="C98" s="1258"/>
      <c r="D98" s="1258"/>
      <c r="E98" s="1238"/>
      <c r="F98" s="1298"/>
      <c r="G98" s="1258"/>
      <c r="H98" s="1305">
        <v>63642000</v>
      </c>
      <c r="I98" s="1257"/>
      <c r="J98" s="1281"/>
    </row>
    <row r="99" spans="1:11" ht="14.25" customHeight="1" x14ac:dyDescent="0.35">
      <c r="A99" s="1297"/>
      <c r="B99" s="1306" t="s">
        <v>1121</v>
      </c>
      <c r="C99" s="1237"/>
      <c r="D99" s="1237"/>
      <c r="E99" s="1237"/>
      <c r="F99" s="1239"/>
      <c r="G99" s="1237"/>
      <c r="H99" s="1305">
        <v>35646000</v>
      </c>
      <c r="I99" s="1281"/>
      <c r="J99" s="1281"/>
    </row>
    <row r="100" spans="1:11" ht="14.25" customHeight="1" x14ac:dyDescent="0.35">
      <c r="A100" s="1297"/>
      <c r="B100" s="1304"/>
      <c r="C100" s="1237"/>
      <c r="D100" s="1237"/>
      <c r="E100" s="1237"/>
      <c r="F100" s="1239"/>
      <c r="G100" s="1237"/>
      <c r="H100" s="1270"/>
      <c r="I100" s="1281"/>
      <c r="J100" s="1276"/>
    </row>
    <row r="101" spans="1:11" ht="14.25" customHeight="1" x14ac:dyDescent="0.35">
      <c r="A101" s="1297"/>
      <c r="B101" s="1237"/>
      <c r="C101" s="1237"/>
      <c r="D101" s="1237"/>
      <c r="E101" s="1237"/>
      <c r="F101" s="1239"/>
      <c r="G101" s="1237"/>
      <c r="H101" s="1270"/>
      <c r="I101" s="1281"/>
      <c r="J101" s="1276"/>
    </row>
    <row r="102" spans="1:11" ht="14.25" customHeight="1" x14ac:dyDescent="0.35">
      <c r="A102" s="1297"/>
      <c r="B102" s="1237"/>
      <c r="C102" s="1237"/>
      <c r="D102" s="1237"/>
      <c r="E102" s="1237"/>
      <c r="F102" s="1239"/>
      <c r="G102" s="1237"/>
      <c r="H102" s="1270"/>
      <c r="I102" s="1281"/>
      <c r="J102" s="1276"/>
    </row>
    <row r="103" spans="1:11" ht="14.25" customHeight="1" x14ac:dyDescent="0.35">
      <c r="A103" s="1297"/>
      <c r="B103" s="1237"/>
      <c r="C103" s="1237"/>
      <c r="D103" s="1237"/>
      <c r="E103" s="1237"/>
      <c r="F103" s="1239"/>
      <c r="G103" s="1237"/>
      <c r="H103" s="1270"/>
      <c r="I103" s="1281"/>
      <c r="J103" s="1276"/>
    </row>
    <row r="104" spans="1:11" ht="14.25" customHeight="1" x14ac:dyDescent="0.35">
      <c r="A104" s="1297"/>
      <c r="B104" s="1237"/>
      <c r="C104" s="1237"/>
      <c r="D104" s="1237"/>
      <c r="E104" s="1237"/>
      <c r="F104" s="1239"/>
      <c r="G104" s="1237"/>
      <c r="H104" s="1270"/>
      <c r="I104" s="1281"/>
      <c r="J104" s="1276"/>
    </row>
    <row r="105" spans="1:11" s="1253" customFormat="1" ht="12.75" customHeight="1" x14ac:dyDescent="0.35">
      <c r="A105" s="1307"/>
      <c r="B105" s="1294"/>
      <c r="C105" s="1257"/>
      <c r="D105" s="1257"/>
      <c r="E105" s="1295"/>
      <c r="F105" s="1257"/>
      <c r="G105" s="1257"/>
      <c r="H105" s="1296"/>
      <c r="I105" s="1237"/>
      <c r="J105" s="1281"/>
    </row>
    <row r="106" spans="1:11" s="1253" customFormat="1" ht="14" customHeight="1" x14ac:dyDescent="0.35">
      <c r="A106" s="1307"/>
      <c r="B106" s="1238"/>
      <c r="C106" s="1258"/>
      <c r="D106" s="1258"/>
      <c r="E106" s="1238"/>
      <c r="F106" s="1298"/>
      <c r="G106" s="1258"/>
      <c r="H106" s="1270"/>
      <c r="I106" s="1281"/>
      <c r="J106" s="1281"/>
    </row>
    <row r="107" spans="1:11" ht="14.25" customHeight="1" x14ac:dyDescent="0.35">
      <c r="A107" s="1307"/>
      <c r="B107" s="1237"/>
      <c r="C107" s="1237"/>
      <c r="D107" s="1237"/>
      <c r="E107" s="1237"/>
      <c r="F107" s="1239"/>
      <c r="G107" s="1237"/>
      <c r="H107" s="1270"/>
      <c r="I107" s="1281"/>
      <c r="J107" s="1281"/>
    </row>
    <row r="108" spans="1:11" ht="14.25" customHeight="1" x14ac:dyDescent="0.35">
      <c r="A108" s="1307"/>
      <c r="B108" s="1237"/>
      <c r="C108" s="1237"/>
      <c r="D108" s="1237"/>
      <c r="E108" s="1237"/>
      <c r="F108" s="1239"/>
      <c r="G108" s="1237"/>
      <c r="H108" s="1270"/>
      <c r="I108" s="1281"/>
      <c r="J108" s="1276"/>
    </row>
    <row r="109" spans="1:11" ht="14.25" customHeight="1" x14ac:dyDescent="0.35">
      <c r="A109" s="1307"/>
      <c r="B109" s="1237"/>
      <c r="C109" s="1237"/>
      <c r="D109" s="1237"/>
      <c r="E109" s="1237"/>
      <c r="F109" s="1239"/>
      <c r="G109" s="1237"/>
      <c r="H109" s="1270"/>
      <c r="I109" s="1585"/>
      <c r="J109" s="1585"/>
      <c r="K109" s="1585"/>
    </row>
    <row r="110" spans="1:11" ht="14.25" customHeight="1" x14ac:dyDescent="0.35">
      <c r="A110" s="1307"/>
      <c r="B110" s="1237"/>
      <c r="C110" s="1237"/>
      <c r="D110" s="1237"/>
      <c r="E110" s="1237"/>
      <c r="F110" s="1239"/>
      <c r="G110" s="1237"/>
      <c r="H110" s="1270"/>
      <c r="I110" s="1289"/>
      <c r="J110" s="1289"/>
    </row>
    <row r="111" spans="1:11" ht="14.25" customHeight="1" x14ac:dyDescent="0.35">
      <c r="A111" s="1307"/>
      <c r="B111" s="1237"/>
      <c r="C111" s="1237"/>
      <c r="D111" s="1237"/>
      <c r="E111" s="1237"/>
      <c r="F111" s="1239"/>
      <c r="G111" s="1237"/>
      <c r="H111" s="1270"/>
      <c r="J111" s="744"/>
    </row>
    <row r="112" spans="1:11" ht="14.25" customHeight="1" x14ac:dyDescent="0.35">
      <c r="A112" s="1307"/>
      <c r="B112" s="1237"/>
      <c r="C112" s="1237"/>
      <c r="D112" s="1237"/>
      <c r="E112" s="1237"/>
      <c r="F112" s="1239"/>
      <c r="G112" s="1237"/>
      <c r="H112" s="1270"/>
    </row>
    <row r="113" spans="1:11" s="1253" customFormat="1" ht="12.75" customHeight="1" x14ac:dyDescent="0.35">
      <c r="A113" s="1307"/>
      <c r="B113" s="1304"/>
      <c r="C113" s="1237"/>
      <c r="D113" s="1237"/>
      <c r="E113" s="1237"/>
      <c r="F113" s="1239"/>
      <c r="G113" s="1237"/>
      <c r="H113" s="1250"/>
      <c r="I113" s="1289"/>
      <c r="J113" s="1289"/>
    </row>
    <row r="114" spans="1:11" s="1253" customFormat="1" ht="14" customHeight="1" x14ac:dyDescent="0.35">
      <c r="A114" s="1307"/>
      <c r="B114" s="1306"/>
      <c r="C114" s="1257"/>
      <c r="D114" s="1257"/>
      <c r="E114" s="1257"/>
      <c r="F114" s="1308"/>
      <c r="G114" s="1257"/>
      <c r="H114" s="1296"/>
      <c r="I114" s="1289"/>
      <c r="J114" s="1289"/>
    </row>
    <row r="115" spans="1:11" ht="14.25" customHeight="1" x14ac:dyDescent="0.35">
      <c r="A115" s="1307"/>
      <c r="B115" s="1304"/>
      <c r="C115" s="1237"/>
      <c r="D115" s="1237"/>
      <c r="E115" s="1237"/>
      <c r="F115" s="1239"/>
      <c r="G115" s="1237"/>
      <c r="H115" s="1250"/>
      <c r="I115" s="1289"/>
      <c r="J115" s="1289"/>
    </row>
    <row r="116" spans="1:11" ht="14.25" customHeight="1" x14ac:dyDescent="0.35">
      <c r="A116" s="1307"/>
      <c r="I116" s="1289"/>
      <c r="J116" s="1289"/>
    </row>
    <row r="117" spans="1:11" ht="14.25" customHeight="1" x14ac:dyDescent="0.35">
      <c r="A117" s="1307"/>
      <c r="I117" s="1289"/>
      <c r="J117" s="1289"/>
    </row>
    <row r="118" spans="1:11" ht="14.25" customHeight="1" x14ac:dyDescent="0.35">
      <c r="A118" s="1307"/>
      <c r="B118" s="1289"/>
      <c r="C118" s="1289"/>
      <c r="D118" s="1289"/>
      <c r="E118" s="1289"/>
      <c r="F118" s="1309"/>
      <c r="G118" s="1289"/>
      <c r="H118" s="1310"/>
      <c r="I118" s="1289"/>
      <c r="J118" s="1289"/>
    </row>
    <row r="119" spans="1:11" ht="14.25" customHeight="1" x14ac:dyDescent="0.35">
      <c r="A119" s="1307"/>
      <c r="B119" s="1289"/>
      <c r="C119" s="1289"/>
      <c r="D119" s="1289"/>
      <c r="E119" s="1289"/>
      <c r="F119" s="1309"/>
      <c r="G119" s="1289"/>
      <c r="H119" s="1310"/>
      <c r="I119" s="1585" t="s">
        <v>1276</v>
      </c>
      <c r="J119" s="1585"/>
      <c r="K119" s="1585"/>
    </row>
    <row r="120" spans="1:11" ht="14.25" customHeight="1" x14ac:dyDescent="0.35">
      <c r="A120" s="1307"/>
      <c r="B120" s="1289"/>
      <c r="C120" s="1289"/>
      <c r="D120" s="1289"/>
      <c r="E120" s="1289"/>
      <c r="F120" s="1309"/>
      <c r="G120" s="1289"/>
      <c r="H120" s="1310"/>
      <c r="I120" s="1289"/>
      <c r="J120" s="1289"/>
    </row>
    <row r="121" spans="1:11" ht="18" customHeight="1" x14ac:dyDescent="0.35">
      <c r="A121" s="1311"/>
      <c r="B121" s="744" t="s">
        <v>1277</v>
      </c>
      <c r="C121" s="1312" t="s">
        <v>1278</v>
      </c>
      <c r="D121" s="1289"/>
      <c r="E121" s="1289"/>
      <c r="F121" s="742" t="s">
        <v>1279</v>
      </c>
      <c r="G121" s="1289"/>
      <c r="H121" s="742" t="s">
        <v>1280</v>
      </c>
      <c r="I121" s="1289"/>
      <c r="J121" s="744" t="s">
        <v>1281</v>
      </c>
    </row>
    <row r="122" spans="1:11" ht="17.25" customHeight="1" x14ac:dyDescent="0.35">
      <c r="A122" s="1311"/>
      <c r="B122" s="1253"/>
      <c r="C122" s="1289"/>
      <c r="D122" s="1289"/>
      <c r="E122" s="1289"/>
      <c r="F122" s="1309"/>
      <c r="G122" s="1289"/>
      <c r="H122" s="1313"/>
      <c r="I122" s="1289"/>
      <c r="J122" s="1289"/>
    </row>
    <row r="123" spans="1:11" ht="18" customHeight="1" x14ac:dyDescent="0.35">
      <c r="A123" s="1311"/>
      <c r="B123" s="1253"/>
      <c r="C123" s="1289"/>
      <c r="D123" s="1289"/>
      <c r="E123" s="1289"/>
      <c r="F123" s="1309"/>
      <c r="G123" s="1289"/>
      <c r="H123" s="1313"/>
      <c r="I123" s="1289"/>
      <c r="J123" s="1289"/>
    </row>
    <row r="124" spans="1:11" s="1584" customFormat="1" ht="18" customHeight="1" x14ac:dyDescent="0.35">
      <c r="A124" s="1584" t="s">
        <v>1282</v>
      </c>
    </row>
    <row r="125" spans="1:11" ht="15.5" x14ac:dyDescent="0.35">
      <c r="B125" s="1289"/>
      <c r="C125" s="1289"/>
      <c r="D125" s="1289"/>
      <c r="E125" s="1289"/>
      <c r="F125" s="1289"/>
      <c r="G125" s="1289"/>
      <c r="H125" s="1289" t="s">
        <v>1283</v>
      </c>
      <c r="I125" s="1585"/>
      <c r="J125" s="1585"/>
      <c r="K125" s="1585"/>
    </row>
    <row r="126" spans="1:11" s="1586" customFormat="1" x14ac:dyDescent="0.25">
      <c r="A126" s="1586" t="s">
        <v>1284</v>
      </c>
    </row>
    <row r="127" spans="1:11" ht="15" x14ac:dyDescent="0.3">
      <c r="A127" s="742" t="s">
        <v>1285</v>
      </c>
    </row>
    <row r="129" spans="1:2" ht="15" x14ac:dyDescent="0.3">
      <c r="B129" s="742"/>
    </row>
    <row r="130" spans="1:2" x14ac:dyDescent="0.25">
      <c r="B130" s="36"/>
    </row>
    <row r="131" spans="1:2" s="1586" customFormat="1" x14ac:dyDescent="0.25">
      <c r="A131" s="1586" t="s">
        <v>1286</v>
      </c>
    </row>
  </sheetData>
  <mergeCells count="10">
    <mergeCell ref="A124:XFD124"/>
    <mergeCell ref="I125:K125"/>
    <mergeCell ref="A126:XFD126"/>
    <mergeCell ref="A131:XFD131"/>
    <mergeCell ref="A1:B1"/>
    <mergeCell ref="A2:B2"/>
    <mergeCell ref="A3:J3"/>
    <mergeCell ref="A4:J4"/>
    <mergeCell ref="I109:K109"/>
    <mergeCell ref="I119:K119"/>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B65B-C1A5-1544-A17B-7416EB77DF97}">
  <dimension ref="A1:BK125"/>
  <sheetViews>
    <sheetView topLeftCell="A80" workbookViewId="0">
      <selection activeCell="I24" sqref="I24"/>
    </sheetView>
  </sheetViews>
  <sheetFormatPr defaultColWidth="8.81640625" defaultRowHeight="12.5" x14ac:dyDescent="0.25"/>
  <cols>
    <col min="1" max="1" width="4.6328125" customWidth="1"/>
    <col min="2" max="2" width="25" customWidth="1"/>
    <col min="3" max="3" width="8.36328125" customWidth="1"/>
    <col min="4" max="4" width="9.6328125" customWidth="1"/>
    <col min="5" max="5" width="6.36328125" customWidth="1"/>
    <col min="6" max="6" width="9.1796875" customWidth="1"/>
    <col min="7" max="7" width="6.6328125" customWidth="1"/>
    <col min="8" max="8" width="15" customWidth="1"/>
    <col min="9" max="9" width="25.1796875" customWidth="1"/>
    <col min="10" max="10" width="18.1796875" customWidth="1"/>
  </cols>
  <sheetData>
    <row r="1" spans="1:63" ht="15.5" x14ac:dyDescent="0.35">
      <c r="A1" s="1497" t="s">
        <v>1218</v>
      </c>
      <c r="B1" s="1497"/>
      <c r="F1" s="1224"/>
      <c r="BK1" s="1225">
        <v>1.3</v>
      </c>
    </row>
    <row r="2" spans="1:63" ht="15" x14ac:dyDescent="0.3">
      <c r="A2" s="1497" t="s">
        <v>1068</v>
      </c>
      <c r="B2" s="1497"/>
    </row>
    <row r="3" spans="1:63" ht="17.5" x14ac:dyDescent="0.35">
      <c r="A3" s="1587" t="s">
        <v>1219</v>
      </c>
      <c r="B3" s="1587"/>
      <c r="C3" s="1587"/>
      <c r="D3" s="1587"/>
      <c r="E3" s="1587"/>
      <c r="F3" s="1587"/>
      <c r="G3" s="1587"/>
      <c r="H3" s="1587"/>
      <c r="I3" s="1587"/>
      <c r="J3" s="1587"/>
    </row>
    <row r="4" spans="1:63" ht="17.5" x14ac:dyDescent="0.35">
      <c r="A4" s="1587" t="s">
        <v>1287</v>
      </c>
      <c r="B4" s="1587"/>
      <c r="C4" s="1587"/>
      <c r="D4" s="1587"/>
      <c r="E4" s="1587"/>
      <c r="F4" s="1587"/>
      <c r="G4" s="1587"/>
      <c r="H4" s="1587"/>
      <c r="I4" s="1587"/>
      <c r="J4" s="1587"/>
    </row>
    <row r="6" spans="1:63" ht="33" customHeight="1" x14ac:dyDescent="0.3">
      <c r="A6" s="1226" t="s">
        <v>0</v>
      </c>
      <c r="B6" s="1226" t="s">
        <v>1071</v>
      </c>
      <c r="C6" s="1227" t="s">
        <v>1</v>
      </c>
      <c r="D6" s="1227" t="s">
        <v>1288</v>
      </c>
      <c r="E6" s="1227" t="s">
        <v>373</v>
      </c>
      <c r="F6" s="1227" t="s">
        <v>1223</v>
      </c>
      <c r="G6" s="1227" t="s">
        <v>1224</v>
      </c>
      <c r="H6" s="1228" t="s">
        <v>29</v>
      </c>
      <c r="I6" s="1228" t="s">
        <v>1077</v>
      </c>
      <c r="J6" s="1228" t="s">
        <v>1225</v>
      </c>
    </row>
    <row r="7" spans="1:63" x14ac:dyDescent="0.25">
      <c r="A7" s="1123" t="s">
        <v>6</v>
      </c>
      <c r="B7" s="1229" t="s">
        <v>19</v>
      </c>
      <c r="C7" s="1123" t="s">
        <v>422</v>
      </c>
      <c r="D7" s="1123">
        <v>1</v>
      </c>
      <c r="E7" s="1123">
        <v>2</v>
      </c>
      <c r="F7" s="1123">
        <v>3</v>
      </c>
      <c r="G7" s="1123">
        <v>4</v>
      </c>
      <c r="H7" s="1123"/>
      <c r="I7" s="1123"/>
      <c r="J7" s="1123"/>
    </row>
    <row r="8" spans="1:63" ht="16.5" customHeight="1" x14ac:dyDescent="0.3">
      <c r="A8" s="1230" t="s">
        <v>6</v>
      </c>
      <c r="B8" s="1231" t="s">
        <v>1081</v>
      </c>
      <c r="C8" s="1232"/>
      <c r="D8" s="1233"/>
      <c r="E8" s="1233"/>
      <c r="F8" s="1101"/>
      <c r="G8" s="1101"/>
      <c r="H8" s="1069"/>
      <c r="I8" s="1101"/>
      <c r="J8" s="1101"/>
    </row>
    <row r="9" spans="1:63" ht="33.75" customHeight="1" x14ac:dyDescent="0.35">
      <c r="A9" s="1230">
        <v>1</v>
      </c>
      <c r="B9" s="1235" t="s">
        <v>1289</v>
      </c>
      <c r="C9" s="1280" t="s">
        <v>1083</v>
      </c>
      <c r="D9" s="1257">
        <v>2</v>
      </c>
      <c r="E9" s="1237">
        <v>168</v>
      </c>
      <c r="F9" s="1239">
        <v>225000</v>
      </c>
      <c r="G9" s="1240" t="s">
        <v>1227</v>
      </c>
      <c r="H9" s="1250">
        <v>105840000</v>
      </c>
      <c r="I9" s="1237" t="s">
        <v>1228</v>
      </c>
      <c r="J9" s="1257"/>
      <c r="K9" s="1314"/>
    </row>
    <row r="10" spans="1:63" ht="15.5" x14ac:dyDescent="0.35">
      <c r="A10" s="1226" t="s">
        <v>19</v>
      </c>
      <c r="B10" s="1243" t="s">
        <v>1229</v>
      </c>
      <c r="C10" s="1237"/>
      <c r="D10" s="1237"/>
      <c r="E10" s="1237"/>
      <c r="F10" s="1237"/>
      <c r="G10" s="1244"/>
      <c r="H10" s="1245">
        <f>H9 *0.8</f>
        <v>84672000</v>
      </c>
      <c r="I10" s="1246"/>
      <c r="J10" s="1247"/>
      <c r="K10" s="2"/>
    </row>
    <row r="11" spans="1:63" s="1253" customFormat="1" ht="15.5" x14ac:dyDescent="0.35">
      <c r="A11" s="1248" t="s">
        <v>7</v>
      </c>
      <c r="B11" s="1249" t="s">
        <v>1230</v>
      </c>
      <c r="C11" s="1237"/>
      <c r="D11" s="1237"/>
      <c r="E11" s="1237"/>
      <c r="F11" s="1237"/>
      <c r="G11" s="1237"/>
      <c r="H11" s="1250">
        <v>22200000</v>
      </c>
      <c r="I11" s="1237"/>
      <c r="J11" s="1247"/>
      <c r="K11" s="1252"/>
    </row>
    <row r="12" spans="1:63" s="1253" customFormat="1" ht="18" customHeight="1" x14ac:dyDescent="0.35">
      <c r="A12" s="1254">
        <v>1</v>
      </c>
      <c r="B12" s="1255" t="s">
        <v>1290</v>
      </c>
      <c r="C12" s="1237"/>
      <c r="D12" s="1237"/>
      <c r="E12" s="1237"/>
      <c r="F12" s="1237"/>
      <c r="G12" s="1237"/>
      <c r="H12" s="1261"/>
      <c r="I12" s="1257"/>
      <c r="J12" s="1258"/>
    </row>
    <row r="13" spans="1:63" s="1253" customFormat="1" ht="32.25" customHeight="1" x14ac:dyDescent="0.35">
      <c r="A13" s="1254">
        <v>1.1000000000000001</v>
      </c>
      <c r="B13" s="1262" t="s">
        <v>1291</v>
      </c>
      <c r="C13" s="1260"/>
      <c r="D13" s="1237"/>
      <c r="E13" s="1237"/>
      <c r="F13" s="1237"/>
      <c r="G13" s="1237"/>
      <c r="H13" s="1315">
        <v>2700000</v>
      </c>
      <c r="I13" s="1316" t="s">
        <v>1292</v>
      </c>
      <c r="J13" s="1263"/>
      <c r="K13" s="1252"/>
    </row>
    <row r="14" spans="1:63" s="1253" customFormat="1" ht="22.5" customHeight="1" x14ac:dyDescent="0.35">
      <c r="A14" s="1264"/>
      <c r="B14" s="1262" t="s">
        <v>1293</v>
      </c>
      <c r="C14" s="1260" t="s">
        <v>1237</v>
      </c>
      <c r="D14" s="1317">
        <v>2</v>
      </c>
      <c r="E14" s="1237">
        <v>15</v>
      </c>
      <c r="F14" s="1239">
        <v>90000</v>
      </c>
      <c r="G14" s="1237"/>
      <c r="H14" s="1239">
        <v>2700000</v>
      </c>
      <c r="I14" s="1276" t="s">
        <v>1294</v>
      </c>
      <c r="J14" s="1247"/>
      <c r="K14" s="1252"/>
    </row>
    <row r="15" spans="1:63" s="1253" customFormat="1" ht="22.5" customHeight="1" x14ac:dyDescent="0.35">
      <c r="A15" s="1318">
        <v>1.2</v>
      </c>
      <c r="B15" s="1262" t="s">
        <v>1295</v>
      </c>
      <c r="C15" s="1260" t="s">
        <v>1237</v>
      </c>
      <c r="D15" s="1317">
        <v>2</v>
      </c>
      <c r="E15" s="1237">
        <v>15</v>
      </c>
      <c r="F15" s="1239">
        <v>90000</v>
      </c>
      <c r="G15" s="1237"/>
      <c r="H15" s="1250">
        <v>2700000</v>
      </c>
      <c r="I15" s="1276"/>
      <c r="J15" s="1319"/>
      <c r="K15" s="1252"/>
    </row>
    <row r="16" spans="1:63" s="1253" customFormat="1" ht="22.5" customHeight="1" x14ac:dyDescent="0.35">
      <c r="A16" s="1318"/>
      <c r="B16" s="1262" t="s">
        <v>1296</v>
      </c>
      <c r="C16" s="1260" t="s">
        <v>1237</v>
      </c>
      <c r="D16" s="1317">
        <v>2</v>
      </c>
      <c r="E16" s="1237">
        <v>15</v>
      </c>
      <c r="F16" s="1239">
        <v>90000</v>
      </c>
      <c r="G16" s="1237"/>
      <c r="H16" s="1239">
        <v>2700000</v>
      </c>
      <c r="I16" s="1276" t="s">
        <v>1244</v>
      </c>
      <c r="J16" s="1319"/>
      <c r="K16" s="1252"/>
    </row>
    <row r="17" spans="1:12" s="1253" customFormat="1" ht="22.5" customHeight="1" x14ac:dyDescent="0.35">
      <c r="A17" s="1318"/>
      <c r="B17" s="1262" t="s">
        <v>1297</v>
      </c>
      <c r="C17" s="1260" t="s">
        <v>1237</v>
      </c>
      <c r="D17" s="1317">
        <v>2</v>
      </c>
      <c r="E17" s="1237">
        <v>15</v>
      </c>
      <c r="F17" s="1239">
        <v>90000</v>
      </c>
      <c r="G17" s="1237"/>
      <c r="H17" s="1239">
        <v>2700000</v>
      </c>
      <c r="I17" s="1276"/>
      <c r="J17" s="1319"/>
      <c r="K17" s="1252"/>
    </row>
    <row r="18" spans="1:12" s="1253" customFormat="1" ht="22.5" customHeight="1" x14ac:dyDescent="0.35">
      <c r="A18" s="1318">
        <v>1.3</v>
      </c>
      <c r="B18" s="1262" t="s">
        <v>1298</v>
      </c>
      <c r="C18" s="1260" t="s">
        <v>1237</v>
      </c>
      <c r="D18" s="1317">
        <v>2</v>
      </c>
      <c r="E18" s="1237">
        <v>15</v>
      </c>
      <c r="F18" s="1239">
        <v>80000</v>
      </c>
      <c r="G18" s="1237"/>
      <c r="H18" s="1250">
        <v>2400000</v>
      </c>
      <c r="I18" s="1276"/>
      <c r="J18" s="1319"/>
      <c r="K18" s="1252"/>
    </row>
    <row r="19" spans="1:12" s="1253" customFormat="1" ht="22.5" customHeight="1" x14ac:dyDescent="0.35">
      <c r="A19" s="1275"/>
      <c r="B19" s="1262" t="s">
        <v>1299</v>
      </c>
      <c r="C19" s="1260" t="s">
        <v>1237</v>
      </c>
      <c r="D19" s="1317">
        <v>2</v>
      </c>
      <c r="E19" s="1237">
        <v>15</v>
      </c>
      <c r="F19" s="1239">
        <v>80000</v>
      </c>
      <c r="G19" s="1237"/>
      <c r="H19" s="1270">
        <v>2400000</v>
      </c>
      <c r="I19" s="1242" t="s">
        <v>1241</v>
      </c>
      <c r="J19" s="1276"/>
    </row>
    <row r="20" spans="1:12" s="1253" customFormat="1" ht="45" customHeight="1" x14ac:dyDescent="0.35">
      <c r="A20" s="1225">
        <v>1.4</v>
      </c>
      <c r="B20" s="1320" t="s">
        <v>1300</v>
      </c>
      <c r="C20" s="1260" t="s">
        <v>1237</v>
      </c>
      <c r="D20" s="1317">
        <v>2</v>
      </c>
      <c r="E20" s="1237">
        <v>15</v>
      </c>
      <c r="F20" s="1239">
        <v>80000</v>
      </c>
      <c r="G20" s="1237"/>
      <c r="H20" s="1250">
        <v>2400000</v>
      </c>
      <c r="I20" s="1321"/>
      <c r="J20" s="1322"/>
      <c r="K20" s="1252"/>
      <c r="L20" s="1252"/>
    </row>
    <row r="21" spans="1:12" s="1253" customFormat="1" ht="23.25" customHeight="1" x14ac:dyDescent="0.35">
      <c r="A21" s="1225"/>
      <c r="B21" s="1321" t="s">
        <v>1301</v>
      </c>
      <c r="C21" s="1323" t="s">
        <v>1237</v>
      </c>
      <c r="D21" s="1324">
        <v>2</v>
      </c>
      <c r="E21" s="1324">
        <v>15</v>
      </c>
      <c r="F21" s="1325">
        <v>80000</v>
      </c>
      <c r="G21" s="1324"/>
      <c r="H21" s="1270">
        <v>2400000</v>
      </c>
      <c r="I21" s="1326"/>
      <c r="J21" s="1327"/>
    </row>
    <row r="22" spans="1:12" s="1253" customFormat="1" ht="23.25" customHeight="1" x14ac:dyDescent="0.35">
      <c r="A22" s="1225">
        <v>1.5</v>
      </c>
      <c r="B22" s="1321" t="s">
        <v>1302</v>
      </c>
      <c r="C22" s="1260" t="s">
        <v>1237</v>
      </c>
      <c r="D22" s="1317">
        <v>2</v>
      </c>
      <c r="E22" s="1237">
        <v>15</v>
      </c>
      <c r="F22" s="1239">
        <v>80000</v>
      </c>
      <c r="G22" s="1237"/>
      <c r="H22" s="1250">
        <v>2400000</v>
      </c>
      <c r="I22" s="1326"/>
      <c r="J22" s="1327"/>
    </row>
    <row r="23" spans="1:12" s="1253" customFormat="1" ht="18" customHeight="1" x14ac:dyDescent="0.35">
      <c r="A23" s="1225"/>
      <c r="B23" s="1321" t="s">
        <v>1303</v>
      </c>
      <c r="C23" s="1323" t="s">
        <v>1237</v>
      </c>
      <c r="D23" s="1324">
        <v>2</v>
      </c>
      <c r="E23" s="1324">
        <v>15</v>
      </c>
      <c r="F23" s="1325">
        <v>80000</v>
      </c>
      <c r="G23" s="1324"/>
      <c r="H23" s="1270">
        <v>2400000</v>
      </c>
      <c r="I23" s="1326"/>
      <c r="J23" s="1327"/>
    </row>
    <row r="24" spans="1:12" s="1253" customFormat="1" ht="18" customHeight="1" x14ac:dyDescent="0.35">
      <c r="A24" s="1225">
        <v>1.6</v>
      </c>
      <c r="B24" s="1321" t="s">
        <v>1304</v>
      </c>
      <c r="C24" s="1260" t="s">
        <v>1237</v>
      </c>
      <c r="D24" s="1317">
        <v>2</v>
      </c>
      <c r="E24" s="1237">
        <v>15</v>
      </c>
      <c r="F24" s="1239">
        <v>80000</v>
      </c>
      <c r="G24" s="1237"/>
      <c r="H24" s="1250">
        <v>2400000</v>
      </c>
      <c r="I24" s="1326"/>
      <c r="J24" s="1327"/>
    </row>
    <row r="25" spans="1:12" s="1253" customFormat="1" ht="21" customHeight="1" x14ac:dyDescent="0.35">
      <c r="A25" s="1225"/>
      <c r="B25" s="1321" t="s">
        <v>1305</v>
      </c>
      <c r="C25" s="1323" t="s">
        <v>1237</v>
      </c>
      <c r="D25" s="1324">
        <v>2</v>
      </c>
      <c r="E25" s="1324">
        <v>15</v>
      </c>
      <c r="F25" s="1325">
        <v>80000</v>
      </c>
      <c r="G25" s="1324"/>
      <c r="H25" s="1270">
        <v>2400000</v>
      </c>
      <c r="I25" s="1326"/>
      <c r="J25" s="1327"/>
    </row>
    <row r="26" spans="1:12" s="1253" customFormat="1" ht="30" customHeight="1" x14ac:dyDescent="0.35">
      <c r="A26" s="1253">
        <v>1.7</v>
      </c>
      <c r="B26" s="1262" t="s">
        <v>1306</v>
      </c>
      <c r="C26" s="1260" t="s">
        <v>1237</v>
      </c>
      <c r="D26" s="1317">
        <v>2</v>
      </c>
      <c r="E26" s="1237">
        <v>15</v>
      </c>
      <c r="F26" s="1239">
        <v>80000</v>
      </c>
      <c r="G26" s="1237"/>
      <c r="H26" s="1250">
        <v>2400000</v>
      </c>
      <c r="I26" s="1328" t="s">
        <v>1307</v>
      </c>
      <c r="J26" s="1242"/>
    </row>
    <row r="27" spans="1:12" s="1253" customFormat="1" ht="15.5" x14ac:dyDescent="0.35">
      <c r="A27" s="1254"/>
      <c r="B27" s="1237" t="s">
        <v>1308</v>
      </c>
      <c r="C27" s="1280" t="s">
        <v>1237</v>
      </c>
      <c r="D27" s="1237">
        <v>2</v>
      </c>
      <c r="E27" s="1237">
        <v>15</v>
      </c>
      <c r="F27" s="1239">
        <v>80000</v>
      </c>
      <c r="G27" s="1237"/>
      <c r="H27" s="1270">
        <v>2400000</v>
      </c>
      <c r="I27" s="1329" t="s">
        <v>1241</v>
      </c>
      <c r="J27" s="1276"/>
    </row>
    <row r="28" spans="1:12" s="1253" customFormat="1" ht="15.5" x14ac:dyDescent="0.35">
      <c r="A28" s="1302">
        <v>1.8</v>
      </c>
      <c r="B28" s="1237" t="s">
        <v>1309</v>
      </c>
      <c r="C28" s="1260" t="s">
        <v>1237</v>
      </c>
      <c r="D28" s="1317">
        <v>2</v>
      </c>
      <c r="E28" s="1237">
        <v>15</v>
      </c>
      <c r="F28" s="1239">
        <v>80000</v>
      </c>
      <c r="G28" s="1237"/>
      <c r="H28" s="1250">
        <v>2400000</v>
      </c>
      <c r="I28" s="1329"/>
      <c r="J28" s="1276"/>
    </row>
    <row r="29" spans="1:12" s="1253" customFormat="1" ht="15.5" x14ac:dyDescent="0.35">
      <c r="A29" s="1301"/>
      <c r="B29" s="1237" t="s">
        <v>1252</v>
      </c>
      <c r="C29" s="1280" t="s">
        <v>1237</v>
      </c>
      <c r="D29" s="1237">
        <v>2</v>
      </c>
      <c r="E29" s="1237">
        <v>15</v>
      </c>
      <c r="F29" s="1239">
        <v>80000</v>
      </c>
      <c r="G29" s="1237"/>
      <c r="H29" s="1270">
        <v>2400000</v>
      </c>
      <c r="I29" s="1329" t="s">
        <v>1244</v>
      </c>
      <c r="J29" s="1281"/>
    </row>
    <row r="30" spans="1:12" s="1253" customFormat="1" ht="15.5" x14ac:dyDescent="0.35">
      <c r="A30" s="1297"/>
      <c r="B30" s="1084"/>
      <c r="C30" s="1330"/>
      <c r="D30" s="1257"/>
      <c r="E30" s="1257"/>
      <c r="F30" s="1308"/>
      <c r="G30" s="1257"/>
      <c r="H30" s="1296"/>
      <c r="I30" s="1329"/>
      <c r="J30" s="1281"/>
    </row>
    <row r="31" spans="1:12" s="1253" customFormat="1" ht="15.5" x14ac:dyDescent="0.35">
      <c r="A31" s="1288"/>
      <c r="B31" s="1257"/>
      <c r="C31" s="1330"/>
      <c r="D31" s="1257"/>
      <c r="E31" s="1257"/>
      <c r="F31" s="1308"/>
      <c r="G31" s="1257"/>
      <c r="H31" s="1308"/>
      <c r="I31" s="1331"/>
      <c r="J31" s="1242"/>
    </row>
    <row r="32" spans="1:12" s="1253" customFormat="1" ht="15.5" x14ac:dyDescent="0.35">
      <c r="A32" s="1302"/>
      <c r="B32" s="1237"/>
      <c r="C32" s="1280"/>
      <c r="D32" s="1237"/>
      <c r="E32" s="1237"/>
      <c r="F32" s="1239"/>
      <c r="G32" s="1237"/>
      <c r="H32" s="1239"/>
      <c r="I32" s="1238"/>
      <c r="J32" s="1238"/>
    </row>
    <row r="33" spans="1:12" s="1253" customFormat="1" ht="36.75" customHeight="1" x14ac:dyDescent="0.35">
      <c r="A33" s="1332" t="s">
        <v>8</v>
      </c>
      <c r="B33" s="1333" t="s">
        <v>1253</v>
      </c>
      <c r="C33" s="1249"/>
      <c r="D33" s="1249"/>
      <c r="E33" s="1249"/>
      <c r="F33" s="1249"/>
      <c r="G33" s="1249"/>
      <c r="H33" s="1250">
        <v>1002000</v>
      </c>
      <c r="I33" s="1237"/>
      <c r="J33" s="1263"/>
      <c r="K33" s="1252"/>
      <c r="L33" s="1252"/>
    </row>
    <row r="34" spans="1:12" s="1253" customFormat="1" ht="15.5" x14ac:dyDescent="0.35">
      <c r="A34" s="1254">
        <v>1</v>
      </c>
      <c r="B34" s="1237" t="s">
        <v>1310</v>
      </c>
      <c r="C34" s="1237" t="s">
        <v>1254</v>
      </c>
      <c r="D34" s="1237">
        <v>2</v>
      </c>
      <c r="E34" s="1237">
        <v>167</v>
      </c>
      <c r="F34" s="1239">
        <v>6000</v>
      </c>
      <c r="G34" s="1237"/>
      <c r="H34" s="1239">
        <v>1002000</v>
      </c>
      <c r="I34" s="1237" t="s">
        <v>1170</v>
      </c>
      <c r="J34" s="1242"/>
    </row>
    <row r="35" spans="1:12" s="1253" customFormat="1" ht="15.5" x14ac:dyDescent="0.35">
      <c r="A35" s="1248" t="s">
        <v>25</v>
      </c>
      <c r="B35" s="1249" t="s">
        <v>1311</v>
      </c>
      <c r="C35" s="1237"/>
      <c r="D35" s="1237"/>
      <c r="E35" s="1237"/>
      <c r="F35" s="1237"/>
      <c r="G35" s="1237"/>
      <c r="H35" s="1250">
        <v>29400000</v>
      </c>
      <c r="I35" s="1237"/>
      <c r="J35" s="1238"/>
    </row>
    <row r="36" spans="1:12" s="1253" customFormat="1" ht="15.5" x14ac:dyDescent="0.35">
      <c r="A36" s="1334"/>
      <c r="B36" s="1077" t="s">
        <v>1312</v>
      </c>
      <c r="C36" s="1237"/>
      <c r="D36" s="1237"/>
      <c r="E36" s="1237"/>
      <c r="F36" s="1239"/>
      <c r="G36" s="1237"/>
      <c r="H36" s="1239"/>
      <c r="I36" s="1237"/>
      <c r="J36" s="1237"/>
    </row>
    <row r="37" spans="1:12" s="1253" customFormat="1" ht="15.5" x14ac:dyDescent="0.35">
      <c r="A37" s="1334">
        <v>1</v>
      </c>
      <c r="B37" s="1294" t="s">
        <v>1257</v>
      </c>
      <c r="C37" s="1257"/>
      <c r="D37" s="1257"/>
      <c r="E37" s="1295"/>
      <c r="F37" s="1257"/>
      <c r="G37" s="1257"/>
      <c r="H37" s="1335">
        <v>3200000</v>
      </c>
      <c r="I37" s="1237"/>
      <c r="J37" s="1237"/>
    </row>
    <row r="38" spans="1:12" s="1253" customFormat="1" ht="15.5" x14ac:dyDescent="0.35">
      <c r="A38" s="1334"/>
      <c r="B38" s="1238" t="s">
        <v>1255</v>
      </c>
      <c r="C38" s="1258" t="s">
        <v>1259</v>
      </c>
      <c r="D38" s="1258"/>
      <c r="E38" s="1238">
        <v>1</v>
      </c>
      <c r="F38" s="1298">
        <v>450000</v>
      </c>
      <c r="G38" s="1258"/>
      <c r="H38" s="1336">
        <v>450000</v>
      </c>
      <c r="I38" s="1237"/>
      <c r="J38" s="1237"/>
    </row>
    <row r="39" spans="1:12" s="1253" customFormat="1" ht="15.5" x14ac:dyDescent="0.35">
      <c r="A39" s="1334"/>
      <c r="B39" s="1237" t="s">
        <v>1260</v>
      </c>
      <c r="C39" s="1237" t="s">
        <v>1261</v>
      </c>
      <c r="D39" s="1237"/>
      <c r="E39" s="1237">
        <v>4</v>
      </c>
      <c r="F39" s="1239">
        <v>50000</v>
      </c>
      <c r="G39" s="1237"/>
      <c r="H39" s="1239">
        <v>200000</v>
      </c>
      <c r="I39" s="1237"/>
      <c r="J39" s="1237"/>
    </row>
    <row r="40" spans="1:12" s="1253" customFormat="1" ht="15.5" x14ac:dyDescent="0.35">
      <c r="A40" s="1334"/>
      <c r="B40" s="1237" t="s">
        <v>1262</v>
      </c>
      <c r="C40" s="1237" t="s">
        <v>1083</v>
      </c>
      <c r="D40" s="1237"/>
      <c r="E40" s="1237">
        <v>18</v>
      </c>
      <c r="F40" s="1239">
        <v>30000</v>
      </c>
      <c r="G40" s="1237"/>
      <c r="H40" s="1239">
        <v>540000</v>
      </c>
      <c r="I40" s="1237"/>
      <c r="J40" s="1237"/>
    </row>
    <row r="41" spans="1:12" s="1253" customFormat="1" ht="15.5" x14ac:dyDescent="0.35">
      <c r="A41" s="1334"/>
      <c r="B41" s="1237" t="s">
        <v>1263</v>
      </c>
      <c r="C41" s="1237" t="s">
        <v>1237</v>
      </c>
      <c r="D41" s="1237"/>
      <c r="E41" s="1237">
        <v>10</v>
      </c>
      <c r="F41" s="1239">
        <v>50000</v>
      </c>
      <c r="G41" s="1237"/>
      <c r="H41" s="1239">
        <v>500000</v>
      </c>
      <c r="I41" s="1237"/>
      <c r="J41" s="1237"/>
    </row>
    <row r="42" spans="1:12" s="1253" customFormat="1" ht="15.5" x14ac:dyDescent="0.35">
      <c r="A42" s="1334"/>
      <c r="B42" s="1237" t="s">
        <v>1264</v>
      </c>
      <c r="C42" s="1237" t="s">
        <v>1265</v>
      </c>
      <c r="D42" s="1237"/>
      <c r="E42" s="1237">
        <v>18</v>
      </c>
      <c r="F42" s="1239">
        <v>40000</v>
      </c>
      <c r="G42" s="1237"/>
      <c r="H42" s="1239">
        <v>720000</v>
      </c>
      <c r="I42" s="1237"/>
      <c r="J42" s="1237"/>
    </row>
    <row r="43" spans="1:12" s="1253" customFormat="1" ht="15.5" x14ac:dyDescent="0.35">
      <c r="A43" s="1334"/>
      <c r="B43" s="1237" t="s">
        <v>1266</v>
      </c>
      <c r="C43" s="1237" t="s">
        <v>1083</v>
      </c>
      <c r="D43" s="1237"/>
      <c r="E43" s="1237">
        <v>18</v>
      </c>
      <c r="F43" s="1239">
        <v>30000</v>
      </c>
      <c r="G43" s="1237"/>
      <c r="H43" s="1239">
        <v>540000</v>
      </c>
      <c r="I43" s="1237"/>
      <c r="J43" s="1237"/>
    </row>
    <row r="44" spans="1:12" s="1253" customFormat="1" ht="15.5" x14ac:dyDescent="0.35">
      <c r="A44" s="1334"/>
      <c r="B44" s="1237" t="s">
        <v>1267</v>
      </c>
      <c r="C44" s="1237" t="s">
        <v>1268</v>
      </c>
      <c r="D44" s="1237"/>
      <c r="E44" s="1237">
        <v>5</v>
      </c>
      <c r="F44" s="1239">
        <v>50000</v>
      </c>
      <c r="G44" s="1237"/>
      <c r="H44" s="1239">
        <v>250000</v>
      </c>
      <c r="I44" s="1237"/>
      <c r="J44" s="1237"/>
    </row>
    <row r="45" spans="1:12" s="1253" customFormat="1" ht="15.5" x14ac:dyDescent="0.35">
      <c r="A45" s="1334">
        <v>2</v>
      </c>
      <c r="B45" s="1294" t="s">
        <v>1313</v>
      </c>
      <c r="C45" s="1257"/>
      <c r="D45" s="1257"/>
      <c r="E45" s="1295"/>
      <c r="F45" s="1257"/>
      <c r="G45" s="1257"/>
      <c r="H45" s="1335">
        <v>3300000</v>
      </c>
      <c r="I45" s="1237"/>
      <c r="J45" s="1237"/>
    </row>
    <row r="46" spans="1:12" s="1253" customFormat="1" ht="15.5" x14ac:dyDescent="0.35">
      <c r="A46" s="1334"/>
      <c r="B46" s="1238" t="s">
        <v>1255</v>
      </c>
      <c r="C46" s="1258" t="s">
        <v>1259</v>
      </c>
      <c r="D46" s="1258"/>
      <c r="E46" s="1238">
        <v>1</v>
      </c>
      <c r="F46" s="1298">
        <v>450000</v>
      </c>
      <c r="G46" s="1258"/>
      <c r="H46" s="1336">
        <v>450000</v>
      </c>
      <c r="I46" s="1237"/>
      <c r="J46" s="1237"/>
    </row>
    <row r="47" spans="1:12" s="1253" customFormat="1" ht="15.5" x14ac:dyDescent="0.35">
      <c r="A47" s="1334"/>
      <c r="B47" s="1237" t="s">
        <v>1260</v>
      </c>
      <c r="C47" s="1237" t="s">
        <v>1261</v>
      </c>
      <c r="D47" s="1237"/>
      <c r="E47" s="1237">
        <v>4</v>
      </c>
      <c r="F47" s="1239">
        <v>50000</v>
      </c>
      <c r="G47" s="1237"/>
      <c r="H47" s="1239">
        <v>200000</v>
      </c>
      <c r="I47" s="1237"/>
      <c r="J47" s="1237"/>
    </row>
    <row r="48" spans="1:12" s="1253" customFormat="1" ht="15.5" x14ac:dyDescent="0.35">
      <c r="A48" s="1334"/>
      <c r="B48" s="1237" t="s">
        <v>1262</v>
      </c>
      <c r="C48" s="1237" t="s">
        <v>1083</v>
      </c>
      <c r="D48" s="1237"/>
      <c r="E48" s="1237">
        <v>19</v>
      </c>
      <c r="F48" s="1239">
        <v>30000</v>
      </c>
      <c r="G48" s="1237"/>
      <c r="H48" s="1239">
        <v>570000</v>
      </c>
      <c r="I48" s="1237"/>
      <c r="J48" s="1237"/>
    </row>
    <row r="49" spans="1:10" s="1253" customFormat="1" ht="15.5" x14ac:dyDescent="0.35">
      <c r="A49" s="1334"/>
      <c r="B49" s="1237" t="s">
        <v>1263</v>
      </c>
      <c r="C49" s="1237" t="s">
        <v>1237</v>
      </c>
      <c r="D49" s="1237"/>
      <c r="E49" s="1237">
        <v>10</v>
      </c>
      <c r="F49" s="1239">
        <v>50000</v>
      </c>
      <c r="G49" s="1237"/>
      <c r="H49" s="1239">
        <v>500000</v>
      </c>
      <c r="I49" s="1237"/>
      <c r="J49" s="1237"/>
    </row>
    <row r="50" spans="1:10" s="1253" customFormat="1" ht="15.5" x14ac:dyDescent="0.35">
      <c r="A50" s="1334"/>
      <c r="B50" s="1237" t="s">
        <v>1264</v>
      </c>
      <c r="C50" s="1237" t="s">
        <v>1265</v>
      </c>
      <c r="D50" s="1237"/>
      <c r="E50" s="1237">
        <v>19</v>
      </c>
      <c r="F50" s="1239">
        <v>40000</v>
      </c>
      <c r="G50" s="1237"/>
      <c r="H50" s="1239">
        <v>760000</v>
      </c>
      <c r="I50" s="1237"/>
      <c r="J50" s="1237"/>
    </row>
    <row r="51" spans="1:10" s="1253" customFormat="1" ht="15.5" x14ac:dyDescent="0.35">
      <c r="A51" s="1334"/>
      <c r="B51" s="1237" t="s">
        <v>1266</v>
      </c>
      <c r="C51" s="1237" t="s">
        <v>1083</v>
      </c>
      <c r="D51" s="1237"/>
      <c r="E51" s="1237">
        <v>19</v>
      </c>
      <c r="F51" s="1239">
        <v>30000</v>
      </c>
      <c r="G51" s="1237"/>
      <c r="H51" s="1239">
        <v>570000</v>
      </c>
      <c r="I51" s="1237"/>
      <c r="J51" s="1237"/>
    </row>
    <row r="52" spans="1:10" s="1253" customFormat="1" ht="15.5" x14ac:dyDescent="0.35">
      <c r="A52" s="1334"/>
      <c r="B52" s="1237" t="s">
        <v>1267</v>
      </c>
      <c r="C52" s="1237" t="s">
        <v>1268</v>
      </c>
      <c r="D52" s="1237"/>
      <c r="E52" s="1237">
        <v>5</v>
      </c>
      <c r="F52" s="1239">
        <v>50000</v>
      </c>
      <c r="G52" s="1237"/>
      <c r="H52" s="1239">
        <v>250000</v>
      </c>
      <c r="I52" s="1237"/>
      <c r="J52" s="1237"/>
    </row>
    <row r="53" spans="1:10" s="1253" customFormat="1" ht="15.5" x14ac:dyDescent="0.35">
      <c r="A53" s="1334">
        <v>3</v>
      </c>
      <c r="B53" s="1294" t="s">
        <v>1270</v>
      </c>
      <c r="C53" s="1257"/>
      <c r="D53" s="1257"/>
      <c r="E53" s="1295"/>
      <c r="F53" s="1257"/>
      <c r="G53" s="1257"/>
      <c r="H53" s="1335">
        <f>SUM(H46:H52)</f>
        <v>3300000</v>
      </c>
      <c r="I53" s="1237"/>
      <c r="J53" s="1237"/>
    </row>
    <row r="54" spans="1:10" s="1253" customFormat="1" ht="15.5" x14ac:dyDescent="0.35">
      <c r="A54" s="1334"/>
      <c r="B54" s="1238" t="s">
        <v>1255</v>
      </c>
      <c r="C54" s="1258" t="s">
        <v>1259</v>
      </c>
      <c r="D54" s="1258"/>
      <c r="E54" s="1238">
        <v>1</v>
      </c>
      <c r="F54" s="1298">
        <v>450000</v>
      </c>
      <c r="G54" s="1258"/>
      <c r="H54" s="1336">
        <v>450000</v>
      </c>
      <c r="I54" s="1237"/>
      <c r="J54" s="1237"/>
    </row>
    <row r="55" spans="1:10" s="1253" customFormat="1" ht="15.5" x14ac:dyDescent="0.35">
      <c r="A55" s="1334"/>
      <c r="B55" s="1237" t="s">
        <v>1260</v>
      </c>
      <c r="C55" s="1237" t="s">
        <v>1261</v>
      </c>
      <c r="D55" s="1237"/>
      <c r="E55" s="1237">
        <v>4</v>
      </c>
      <c r="F55" s="1239">
        <v>50000</v>
      </c>
      <c r="G55" s="1237"/>
      <c r="H55" s="1239">
        <v>200000</v>
      </c>
      <c r="I55" s="1237"/>
      <c r="J55" s="1237"/>
    </row>
    <row r="56" spans="1:10" s="1253" customFormat="1" ht="15.5" x14ac:dyDescent="0.35">
      <c r="A56" s="1334"/>
      <c r="B56" s="1237" t="s">
        <v>1262</v>
      </c>
      <c r="C56" s="1237" t="s">
        <v>1083</v>
      </c>
      <c r="D56" s="1237"/>
      <c r="E56" s="1237">
        <v>19</v>
      </c>
      <c r="F56" s="1239">
        <v>30000</v>
      </c>
      <c r="G56" s="1237"/>
      <c r="H56" s="1239">
        <v>570000</v>
      </c>
      <c r="I56" s="1237"/>
      <c r="J56" s="1237"/>
    </row>
    <row r="57" spans="1:10" s="1253" customFormat="1" ht="15.5" x14ac:dyDescent="0.35">
      <c r="A57" s="1334"/>
      <c r="B57" s="1237" t="s">
        <v>1263</v>
      </c>
      <c r="C57" s="1237" t="s">
        <v>1237</v>
      </c>
      <c r="D57" s="1237"/>
      <c r="E57" s="1237">
        <v>10</v>
      </c>
      <c r="F57" s="1239">
        <v>50000</v>
      </c>
      <c r="G57" s="1237"/>
      <c r="H57" s="1239">
        <v>500000</v>
      </c>
      <c r="I57" s="1237"/>
      <c r="J57" s="1237"/>
    </row>
    <row r="58" spans="1:10" s="1253" customFormat="1" ht="15.5" x14ac:dyDescent="0.35">
      <c r="A58" s="1334"/>
      <c r="B58" s="1237" t="s">
        <v>1264</v>
      </c>
      <c r="C58" s="1237" t="s">
        <v>1265</v>
      </c>
      <c r="D58" s="1237"/>
      <c r="E58" s="1237">
        <v>19</v>
      </c>
      <c r="F58" s="1239">
        <v>40000</v>
      </c>
      <c r="G58" s="1237"/>
      <c r="H58" s="1239">
        <v>760000</v>
      </c>
      <c r="I58" s="1237"/>
      <c r="J58" s="1237"/>
    </row>
    <row r="59" spans="1:10" s="1253" customFormat="1" ht="15.5" x14ac:dyDescent="0.35">
      <c r="A59" s="1334"/>
      <c r="B59" s="1237" t="s">
        <v>1266</v>
      </c>
      <c r="C59" s="1237" t="s">
        <v>1083</v>
      </c>
      <c r="D59" s="1237"/>
      <c r="E59" s="1237">
        <v>19</v>
      </c>
      <c r="F59" s="1239">
        <v>30000</v>
      </c>
      <c r="G59" s="1237"/>
      <c r="H59" s="1239">
        <v>570000</v>
      </c>
      <c r="I59" s="1237"/>
      <c r="J59" s="1237"/>
    </row>
    <row r="60" spans="1:10" s="1253" customFormat="1" ht="15.5" x14ac:dyDescent="0.35">
      <c r="A60" s="1334"/>
      <c r="B60" s="1237" t="s">
        <v>1267</v>
      </c>
      <c r="C60" s="1237" t="s">
        <v>1268</v>
      </c>
      <c r="D60" s="1237"/>
      <c r="E60" s="1237">
        <v>5</v>
      </c>
      <c r="F60" s="1239">
        <v>50000</v>
      </c>
      <c r="G60" s="1237"/>
      <c r="H60" s="1239">
        <v>250000</v>
      </c>
      <c r="I60" s="1237"/>
      <c r="J60" s="1237"/>
    </row>
    <row r="61" spans="1:10" s="1253" customFormat="1" ht="15.5" x14ac:dyDescent="0.35">
      <c r="A61" s="1334">
        <v>4</v>
      </c>
      <c r="B61" s="1294" t="s">
        <v>1271</v>
      </c>
      <c r="C61" s="1257"/>
      <c r="D61" s="1257"/>
      <c r="E61" s="1295"/>
      <c r="F61" s="1257"/>
      <c r="G61" s="1257"/>
      <c r="H61" s="1335">
        <f>SUM(H54:H60)</f>
        <v>3300000</v>
      </c>
      <c r="I61" s="1237"/>
      <c r="J61" s="1237"/>
    </row>
    <row r="62" spans="1:10" s="1253" customFormat="1" ht="15.5" x14ac:dyDescent="0.35">
      <c r="A62" s="1334"/>
      <c r="B62" s="1238" t="s">
        <v>1255</v>
      </c>
      <c r="C62" s="1258" t="s">
        <v>1259</v>
      </c>
      <c r="D62" s="1258"/>
      <c r="E62" s="1238">
        <v>1</v>
      </c>
      <c r="F62" s="1298">
        <v>450000</v>
      </c>
      <c r="G62" s="1258"/>
      <c r="H62" s="1336">
        <v>450000</v>
      </c>
      <c r="I62" s="1237"/>
      <c r="J62" s="1237"/>
    </row>
    <row r="63" spans="1:10" s="1253" customFormat="1" ht="15.5" x14ac:dyDescent="0.35">
      <c r="A63" s="1334"/>
      <c r="B63" s="1237" t="s">
        <v>1260</v>
      </c>
      <c r="C63" s="1237" t="s">
        <v>1261</v>
      </c>
      <c r="D63" s="1237"/>
      <c r="E63" s="1237">
        <v>4</v>
      </c>
      <c r="F63" s="1239">
        <v>50000</v>
      </c>
      <c r="G63" s="1237"/>
      <c r="H63" s="1239">
        <v>200000</v>
      </c>
      <c r="I63" s="1237"/>
      <c r="J63" s="1237"/>
    </row>
    <row r="64" spans="1:10" s="1253" customFormat="1" ht="15.5" x14ac:dyDescent="0.35">
      <c r="A64" s="1334"/>
      <c r="B64" s="1237" t="s">
        <v>1262</v>
      </c>
      <c r="C64" s="1237" t="s">
        <v>1083</v>
      </c>
      <c r="D64" s="1237"/>
      <c r="E64" s="1237">
        <v>19</v>
      </c>
      <c r="F64" s="1239">
        <v>30000</v>
      </c>
      <c r="G64" s="1237"/>
      <c r="H64" s="1239">
        <v>570000</v>
      </c>
      <c r="I64" s="1237"/>
      <c r="J64" s="1237"/>
    </row>
    <row r="65" spans="1:10" s="1253" customFormat="1" ht="15.5" x14ac:dyDescent="0.35">
      <c r="A65" s="1334"/>
      <c r="B65" s="1237" t="s">
        <v>1263</v>
      </c>
      <c r="C65" s="1237" t="s">
        <v>1237</v>
      </c>
      <c r="D65" s="1237"/>
      <c r="E65" s="1237">
        <v>10</v>
      </c>
      <c r="F65" s="1239">
        <v>50000</v>
      </c>
      <c r="G65" s="1237"/>
      <c r="H65" s="1239">
        <v>500000</v>
      </c>
      <c r="I65" s="1237"/>
      <c r="J65" s="1237"/>
    </row>
    <row r="66" spans="1:10" s="1253" customFormat="1" ht="15.5" x14ac:dyDescent="0.35">
      <c r="A66" s="1334"/>
      <c r="B66" s="1237" t="s">
        <v>1264</v>
      </c>
      <c r="C66" s="1237" t="s">
        <v>1265</v>
      </c>
      <c r="D66" s="1237"/>
      <c r="E66" s="1237">
        <v>19</v>
      </c>
      <c r="F66" s="1239">
        <v>40000</v>
      </c>
      <c r="G66" s="1237"/>
      <c r="H66" s="1239">
        <v>760000</v>
      </c>
      <c r="I66" s="1237"/>
      <c r="J66" s="1237"/>
    </row>
    <row r="67" spans="1:10" s="1253" customFormat="1" ht="15.5" x14ac:dyDescent="0.35">
      <c r="A67" s="1334"/>
      <c r="B67" s="1237" t="s">
        <v>1266</v>
      </c>
      <c r="C67" s="1237" t="s">
        <v>1083</v>
      </c>
      <c r="D67" s="1237"/>
      <c r="E67" s="1237">
        <v>19</v>
      </c>
      <c r="F67" s="1239">
        <v>30000</v>
      </c>
      <c r="G67" s="1237"/>
      <c r="H67" s="1239">
        <v>570000</v>
      </c>
      <c r="I67" s="1237"/>
      <c r="J67" s="1237"/>
    </row>
    <row r="68" spans="1:10" s="1253" customFormat="1" ht="15.5" x14ac:dyDescent="0.35">
      <c r="A68" s="1334"/>
      <c r="B68" s="1237" t="s">
        <v>1267</v>
      </c>
      <c r="C68" s="1237" t="s">
        <v>1268</v>
      </c>
      <c r="D68" s="1237"/>
      <c r="E68" s="1237">
        <v>5</v>
      </c>
      <c r="F68" s="1239">
        <v>50000</v>
      </c>
      <c r="G68" s="1237"/>
      <c r="H68" s="1239">
        <v>250000</v>
      </c>
      <c r="I68" s="1237"/>
      <c r="J68" s="1237"/>
    </row>
    <row r="69" spans="1:10" s="1253" customFormat="1" ht="15.5" x14ac:dyDescent="0.35">
      <c r="A69" s="1334">
        <v>5</v>
      </c>
      <c r="B69" s="1294" t="s">
        <v>1272</v>
      </c>
      <c r="C69" s="1257"/>
      <c r="D69" s="1257"/>
      <c r="E69" s="1295"/>
      <c r="F69" s="1257"/>
      <c r="G69" s="1257"/>
      <c r="H69" s="1335">
        <f>SUM(H62:H68)</f>
        <v>3300000</v>
      </c>
      <c r="I69" s="1237"/>
      <c r="J69" s="1237"/>
    </row>
    <row r="70" spans="1:10" s="1253" customFormat="1" ht="15.5" x14ac:dyDescent="0.35">
      <c r="A70" s="1334"/>
      <c r="B70" s="1238" t="s">
        <v>1255</v>
      </c>
      <c r="C70" s="1258" t="s">
        <v>1259</v>
      </c>
      <c r="D70" s="1258"/>
      <c r="E70" s="1238">
        <v>1</v>
      </c>
      <c r="F70" s="1298">
        <v>450000</v>
      </c>
      <c r="G70" s="1258"/>
      <c r="H70" s="1336">
        <v>450000</v>
      </c>
      <c r="I70" s="1237"/>
      <c r="J70" s="1237"/>
    </row>
    <row r="71" spans="1:10" s="1253" customFormat="1" ht="15.5" x14ac:dyDescent="0.35">
      <c r="A71" s="1334"/>
      <c r="B71" s="1237" t="s">
        <v>1260</v>
      </c>
      <c r="C71" s="1237" t="s">
        <v>1261</v>
      </c>
      <c r="D71" s="1237"/>
      <c r="E71" s="1237">
        <v>4</v>
      </c>
      <c r="F71" s="1239">
        <v>50000</v>
      </c>
      <c r="G71" s="1237"/>
      <c r="H71" s="1239">
        <v>200000</v>
      </c>
      <c r="I71" s="1237"/>
      <c r="J71" s="1237"/>
    </row>
    <row r="72" spans="1:10" s="1253" customFormat="1" ht="15.5" x14ac:dyDescent="0.35">
      <c r="A72" s="1334"/>
      <c r="B72" s="1237" t="s">
        <v>1262</v>
      </c>
      <c r="C72" s="1237" t="s">
        <v>1083</v>
      </c>
      <c r="D72" s="1237"/>
      <c r="E72" s="1237">
        <v>19</v>
      </c>
      <c r="F72" s="1239">
        <v>30000</v>
      </c>
      <c r="G72" s="1237"/>
      <c r="H72" s="1239">
        <v>570000</v>
      </c>
      <c r="I72" s="1237"/>
      <c r="J72" s="1237"/>
    </row>
    <row r="73" spans="1:10" s="1253" customFormat="1" ht="15.5" x14ac:dyDescent="0.35">
      <c r="A73" s="1334"/>
      <c r="B73" s="1237" t="s">
        <v>1263</v>
      </c>
      <c r="C73" s="1237" t="s">
        <v>1237</v>
      </c>
      <c r="D73" s="1237"/>
      <c r="E73" s="1237">
        <v>10</v>
      </c>
      <c r="F73" s="1239">
        <v>50000</v>
      </c>
      <c r="G73" s="1237"/>
      <c r="H73" s="1239">
        <v>500000</v>
      </c>
      <c r="I73" s="1237"/>
      <c r="J73" s="1237"/>
    </row>
    <row r="74" spans="1:10" s="1253" customFormat="1" ht="15.5" x14ac:dyDescent="0.35">
      <c r="A74" s="1334"/>
      <c r="B74" s="1237" t="s">
        <v>1264</v>
      </c>
      <c r="C74" s="1237" t="s">
        <v>1265</v>
      </c>
      <c r="D74" s="1237"/>
      <c r="E74" s="1237">
        <v>19</v>
      </c>
      <c r="F74" s="1239">
        <v>40000</v>
      </c>
      <c r="G74" s="1237"/>
      <c r="H74" s="1239">
        <v>760000</v>
      </c>
      <c r="I74" s="1237"/>
      <c r="J74" s="1237"/>
    </row>
    <row r="75" spans="1:10" s="1253" customFormat="1" ht="15.5" x14ac:dyDescent="0.35">
      <c r="A75" s="1334"/>
      <c r="B75" s="1237" t="s">
        <v>1266</v>
      </c>
      <c r="C75" s="1237" t="s">
        <v>1083</v>
      </c>
      <c r="D75" s="1237"/>
      <c r="E75" s="1237">
        <v>19</v>
      </c>
      <c r="F75" s="1239">
        <v>30000</v>
      </c>
      <c r="G75" s="1237"/>
      <c r="H75" s="1239">
        <v>570000</v>
      </c>
      <c r="I75" s="1237"/>
      <c r="J75" s="1237"/>
    </row>
    <row r="76" spans="1:10" s="1253" customFormat="1" ht="15.5" x14ac:dyDescent="0.35">
      <c r="A76" s="1334"/>
      <c r="B76" s="1237" t="s">
        <v>1267</v>
      </c>
      <c r="C76" s="1237" t="s">
        <v>1268</v>
      </c>
      <c r="D76" s="1237"/>
      <c r="E76" s="1237">
        <v>5</v>
      </c>
      <c r="F76" s="1239">
        <v>50000</v>
      </c>
      <c r="G76" s="1237"/>
      <c r="H76" s="1239">
        <v>250000</v>
      </c>
      <c r="I76" s="1237"/>
      <c r="J76" s="1237"/>
    </row>
    <row r="77" spans="1:10" s="1253" customFormat="1" ht="15.5" x14ac:dyDescent="0.35">
      <c r="A77" s="1334">
        <v>6</v>
      </c>
      <c r="B77" s="1294" t="s">
        <v>1273</v>
      </c>
      <c r="C77" s="1257"/>
      <c r="D77" s="1257"/>
      <c r="E77" s="1295"/>
      <c r="F77" s="1257"/>
      <c r="G77" s="1257"/>
      <c r="H77" s="1335">
        <f>SUM(H70:H76)</f>
        <v>3300000</v>
      </c>
      <c r="I77" s="1237"/>
      <c r="J77" s="1237"/>
    </row>
    <row r="78" spans="1:10" s="1253" customFormat="1" ht="15.5" x14ac:dyDescent="0.35">
      <c r="A78" s="1334"/>
      <c r="B78" s="1238" t="s">
        <v>1255</v>
      </c>
      <c r="C78" s="1258" t="s">
        <v>1259</v>
      </c>
      <c r="D78" s="1258"/>
      <c r="E78" s="1238">
        <v>1</v>
      </c>
      <c r="F78" s="1298">
        <v>450000</v>
      </c>
      <c r="G78" s="1258"/>
      <c r="H78" s="1336">
        <v>450000</v>
      </c>
      <c r="I78" s="1237"/>
      <c r="J78" s="1237"/>
    </row>
    <row r="79" spans="1:10" s="1253" customFormat="1" ht="15.5" x14ac:dyDescent="0.35">
      <c r="A79" s="1334"/>
      <c r="B79" s="1237" t="s">
        <v>1260</v>
      </c>
      <c r="C79" s="1237" t="s">
        <v>1261</v>
      </c>
      <c r="D79" s="1237"/>
      <c r="E79" s="1237">
        <v>4</v>
      </c>
      <c r="F79" s="1239">
        <v>50000</v>
      </c>
      <c r="G79" s="1237"/>
      <c r="H79" s="1239">
        <v>200000</v>
      </c>
      <c r="I79" s="1237"/>
      <c r="J79" s="1237"/>
    </row>
    <row r="80" spans="1:10" s="1253" customFormat="1" ht="15.5" x14ac:dyDescent="0.35">
      <c r="A80" s="1334"/>
      <c r="B80" s="1237" t="s">
        <v>1262</v>
      </c>
      <c r="C80" s="1237" t="s">
        <v>1083</v>
      </c>
      <c r="D80" s="1237"/>
      <c r="E80" s="1237">
        <v>19</v>
      </c>
      <c r="F80" s="1239">
        <v>30000</v>
      </c>
      <c r="G80" s="1237"/>
      <c r="H80" s="1239">
        <v>570000</v>
      </c>
      <c r="I80" s="1237"/>
      <c r="J80" s="1237"/>
    </row>
    <row r="81" spans="1:10" s="1253" customFormat="1" ht="15.5" x14ac:dyDescent="0.35">
      <c r="A81" s="1334"/>
      <c r="B81" s="1237" t="s">
        <v>1263</v>
      </c>
      <c r="C81" s="1237" t="s">
        <v>1237</v>
      </c>
      <c r="D81" s="1237"/>
      <c r="E81" s="1237">
        <v>10</v>
      </c>
      <c r="F81" s="1239">
        <v>50000</v>
      </c>
      <c r="G81" s="1237"/>
      <c r="H81" s="1239">
        <v>500000</v>
      </c>
      <c r="I81" s="1237"/>
      <c r="J81" s="1237"/>
    </row>
    <row r="82" spans="1:10" s="1253" customFormat="1" ht="15.5" x14ac:dyDescent="0.35">
      <c r="A82" s="1334"/>
      <c r="B82" s="1237" t="s">
        <v>1264</v>
      </c>
      <c r="C82" s="1237" t="s">
        <v>1265</v>
      </c>
      <c r="D82" s="1237"/>
      <c r="E82" s="1237">
        <v>19</v>
      </c>
      <c r="F82" s="1239">
        <v>40000</v>
      </c>
      <c r="G82" s="1237"/>
      <c r="H82" s="1239">
        <v>760000</v>
      </c>
      <c r="I82" s="1237"/>
      <c r="J82" s="1237"/>
    </row>
    <row r="83" spans="1:10" s="1253" customFormat="1" ht="15.5" x14ac:dyDescent="0.35">
      <c r="A83" s="1334"/>
      <c r="B83" s="1237" t="s">
        <v>1266</v>
      </c>
      <c r="C83" s="1237" t="s">
        <v>1083</v>
      </c>
      <c r="D83" s="1237"/>
      <c r="E83" s="1237">
        <v>19</v>
      </c>
      <c r="F83" s="1239">
        <v>30000</v>
      </c>
      <c r="G83" s="1237"/>
      <c r="H83" s="1239">
        <v>570000</v>
      </c>
      <c r="I83" s="1237"/>
      <c r="J83" s="1237"/>
    </row>
    <row r="84" spans="1:10" s="1253" customFormat="1" ht="15.5" x14ac:dyDescent="0.35">
      <c r="A84" s="1334"/>
      <c r="B84" s="1237" t="s">
        <v>1267</v>
      </c>
      <c r="C84" s="1237" t="s">
        <v>1268</v>
      </c>
      <c r="D84" s="1237"/>
      <c r="E84" s="1237">
        <v>5</v>
      </c>
      <c r="F84" s="1239">
        <v>50000</v>
      </c>
      <c r="G84" s="1237"/>
      <c r="H84" s="1239">
        <v>250000</v>
      </c>
      <c r="I84" s="1237"/>
      <c r="J84" s="1237"/>
    </row>
    <row r="85" spans="1:10" s="1253" customFormat="1" ht="15.5" x14ac:dyDescent="0.35">
      <c r="A85" s="1334">
        <v>7</v>
      </c>
      <c r="B85" s="1084" t="s">
        <v>1314</v>
      </c>
      <c r="C85" s="1257"/>
      <c r="D85" s="1257"/>
      <c r="E85" s="1295"/>
      <c r="F85" s="1257"/>
      <c r="G85" s="1257"/>
      <c r="H85" s="1335">
        <f>SUM(H78:H84)</f>
        <v>3300000</v>
      </c>
      <c r="I85" s="1237"/>
      <c r="J85" s="1237"/>
    </row>
    <row r="86" spans="1:10" s="1253" customFormat="1" ht="15.5" x14ac:dyDescent="0.35">
      <c r="A86" s="1334"/>
      <c r="B86" s="1257" t="s">
        <v>1255</v>
      </c>
      <c r="C86" s="1257" t="s">
        <v>1259</v>
      </c>
      <c r="D86" s="1257"/>
      <c r="E86" s="1238">
        <v>1</v>
      </c>
      <c r="F86" s="1298">
        <v>450000</v>
      </c>
      <c r="G86" s="1258"/>
      <c r="H86" s="1336">
        <v>450000</v>
      </c>
      <c r="I86" s="1237"/>
      <c r="J86" s="1237"/>
    </row>
    <row r="87" spans="1:10" s="1253" customFormat="1" ht="15.5" x14ac:dyDescent="0.35">
      <c r="A87" s="1334"/>
      <c r="B87" s="1257" t="s">
        <v>1260</v>
      </c>
      <c r="C87" s="1257" t="s">
        <v>1261</v>
      </c>
      <c r="D87" s="1257"/>
      <c r="E87" s="1237">
        <v>4</v>
      </c>
      <c r="F87" s="1239">
        <v>50000</v>
      </c>
      <c r="G87" s="1237"/>
      <c r="H87" s="1239">
        <v>200000</v>
      </c>
      <c r="I87" s="1237"/>
      <c r="J87" s="1237"/>
    </row>
    <row r="88" spans="1:10" s="1253" customFormat="1" ht="15.5" x14ac:dyDescent="0.35">
      <c r="A88" s="1334"/>
      <c r="B88" s="1257" t="s">
        <v>1262</v>
      </c>
      <c r="C88" s="1257" t="s">
        <v>1083</v>
      </c>
      <c r="D88" s="1257"/>
      <c r="E88" s="1237">
        <v>19</v>
      </c>
      <c r="F88" s="1239">
        <v>30000</v>
      </c>
      <c r="G88" s="1237"/>
      <c r="H88" s="1239">
        <v>570000</v>
      </c>
      <c r="I88" s="1237"/>
      <c r="J88" s="1237"/>
    </row>
    <row r="89" spans="1:10" s="1253" customFormat="1" ht="15.5" x14ac:dyDescent="0.35">
      <c r="A89" s="1334"/>
      <c r="B89" s="1257" t="s">
        <v>1263</v>
      </c>
      <c r="C89" s="1257" t="s">
        <v>1237</v>
      </c>
      <c r="D89" s="1257"/>
      <c r="E89" s="1237">
        <v>10</v>
      </c>
      <c r="F89" s="1239">
        <v>50000</v>
      </c>
      <c r="G89" s="1237"/>
      <c r="H89" s="1239">
        <v>500000</v>
      </c>
      <c r="I89" s="1237"/>
      <c r="J89" s="1237"/>
    </row>
    <row r="90" spans="1:10" s="1253" customFormat="1" ht="15.5" x14ac:dyDescent="0.35">
      <c r="A90" s="1334"/>
      <c r="B90" s="1257" t="s">
        <v>1264</v>
      </c>
      <c r="C90" s="1257" t="s">
        <v>1265</v>
      </c>
      <c r="D90" s="1257"/>
      <c r="E90" s="1237">
        <v>19</v>
      </c>
      <c r="F90" s="1239">
        <v>40000</v>
      </c>
      <c r="G90" s="1237"/>
      <c r="H90" s="1239">
        <v>760000</v>
      </c>
      <c r="I90" s="1237"/>
      <c r="J90" s="1237"/>
    </row>
    <row r="91" spans="1:10" s="1253" customFormat="1" ht="15.5" x14ac:dyDescent="0.35">
      <c r="A91" s="1334"/>
      <c r="B91" s="1257" t="s">
        <v>1266</v>
      </c>
      <c r="C91" s="1257" t="s">
        <v>1083</v>
      </c>
      <c r="D91" s="1257"/>
      <c r="E91" s="1237">
        <v>19</v>
      </c>
      <c r="F91" s="1239">
        <v>30000</v>
      </c>
      <c r="G91" s="1237"/>
      <c r="H91" s="1239">
        <v>570000</v>
      </c>
      <c r="I91" s="1237"/>
      <c r="J91" s="1237"/>
    </row>
    <row r="92" spans="1:10" s="1253" customFormat="1" ht="15.5" x14ac:dyDescent="0.35">
      <c r="A92" s="1334"/>
      <c r="B92" s="1257" t="s">
        <v>1267</v>
      </c>
      <c r="C92" s="1257" t="s">
        <v>1268</v>
      </c>
      <c r="D92" s="1257"/>
      <c r="E92" s="1237">
        <v>5</v>
      </c>
      <c r="F92" s="1239">
        <v>50000</v>
      </c>
      <c r="G92" s="1237"/>
      <c r="H92" s="1239">
        <v>250000</v>
      </c>
      <c r="I92" s="1237"/>
      <c r="J92" s="1237"/>
    </row>
    <row r="93" spans="1:10" s="1253" customFormat="1" ht="15.5" x14ac:dyDescent="0.35">
      <c r="A93" s="1334">
        <v>8</v>
      </c>
      <c r="B93" s="1084" t="s">
        <v>1315</v>
      </c>
      <c r="C93" s="1257"/>
      <c r="D93" s="1257"/>
      <c r="E93" s="1295"/>
      <c r="F93" s="1257"/>
      <c r="G93" s="1257"/>
      <c r="H93" s="1335">
        <f>SUM(H86:H92)</f>
        <v>3300000</v>
      </c>
      <c r="I93" s="1237"/>
      <c r="J93" s="1237"/>
    </row>
    <row r="94" spans="1:10" s="1253" customFormat="1" ht="15.5" x14ac:dyDescent="0.35">
      <c r="A94" s="1334"/>
      <c r="B94" s="1257" t="s">
        <v>1255</v>
      </c>
      <c r="C94" s="1257" t="s">
        <v>1259</v>
      </c>
      <c r="D94" s="1257"/>
      <c r="E94" s="1238">
        <v>1</v>
      </c>
      <c r="F94" s="1298">
        <v>450000</v>
      </c>
      <c r="G94" s="1258"/>
      <c r="H94" s="1336">
        <v>450000</v>
      </c>
      <c r="I94" s="1237"/>
      <c r="J94" s="1237"/>
    </row>
    <row r="95" spans="1:10" s="1253" customFormat="1" ht="15.5" x14ac:dyDescent="0.35">
      <c r="A95" s="1334"/>
      <c r="B95" s="1257" t="s">
        <v>1260</v>
      </c>
      <c r="C95" s="1257" t="s">
        <v>1261</v>
      </c>
      <c r="D95" s="1257"/>
      <c r="E95" s="1237">
        <v>4</v>
      </c>
      <c r="F95" s="1239">
        <v>50000</v>
      </c>
      <c r="G95" s="1237"/>
      <c r="H95" s="1239">
        <v>200000</v>
      </c>
      <c r="I95" s="1237"/>
      <c r="J95" s="1237"/>
    </row>
    <row r="96" spans="1:10" s="1253" customFormat="1" ht="15.5" x14ac:dyDescent="0.35">
      <c r="A96" s="1334"/>
      <c r="B96" s="1257" t="s">
        <v>1262</v>
      </c>
      <c r="C96" s="1257" t="s">
        <v>1083</v>
      </c>
      <c r="D96" s="1257"/>
      <c r="E96" s="1237">
        <v>19</v>
      </c>
      <c r="F96" s="1239">
        <v>30000</v>
      </c>
      <c r="G96" s="1237"/>
      <c r="H96" s="1239">
        <v>570000</v>
      </c>
      <c r="I96" s="1237"/>
      <c r="J96" s="1237"/>
    </row>
    <row r="97" spans="1:10" s="1253" customFormat="1" ht="15.5" x14ac:dyDescent="0.35">
      <c r="A97" s="1334"/>
      <c r="B97" s="1257" t="s">
        <v>1316</v>
      </c>
      <c r="C97" s="1257" t="s">
        <v>1237</v>
      </c>
      <c r="D97" s="1257"/>
      <c r="E97" s="1237">
        <v>10</v>
      </c>
      <c r="F97" s="1239">
        <v>50000</v>
      </c>
      <c r="G97" s="1237"/>
      <c r="H97" s="1239">
        <v>500000</v>
      </c>
      <c r="I97" s="1237"/>
      <c r="J97" s="1237"/>
    </row>
    <row r="98" spans="1:10" s="1253" customFormat="1" ht="15.5" x14ac:dyDescent="0.35">
      <c r="A98" s="1334"/>
      <c r="B98" s="1257" t="s">
        <v>1264</v>
      </c>
      <c r="C98" s="1257" t="s">
        <v>1265</v>
      </c>
      <c r="D98" s="1257"/>
      <c r="E98" s="1237">
        <v>19</v>
      </c>
      <c r="F98" s="1239">
        <v>40000</v>
      </c>
      <c r="G98" s="1237"/>
      <c r="H98" s="1239">
        <v>760000</v>
      </c>
      <c r="I98" s="1237"/>
      <c r="J98" s="1237"/>
    </row>
    <row r="99" spans="1:10" s="1253" customFormat="1" ht="15.5" x14ac:dyDescent="0.35">
      <c r="A99" s="1334"/>
      <c r="B99" s="1257" t="s">
        <v>1266</v>
      </c>
      <c r="C99" s="1257" t="s">
        <v>1083</v>
      </c>
      <c r="D99" s="1257"/>
      <c r="E99" s="1237">
        <v>19</v>
      </c>
      <c r="F99" s="1239">
        <v>30000</v>
      </c>
      <c r="G99" s="1237"/>
      <c r="H99" s="1239">
        <v>570000</v>
      </c>
      <c r="I99" s="1237"/>
      <c r="J99" s="1237"/>
    </row>
    <row r="100" spans="1:10" s="1253" customFormat="1" ht="15.5" x14ac:dyDescent="0.35">
      <c r="A100" s="1334"/>
      <c r="B100" s="1257" t="s">
        <v>1267</v>
      </c>
      <c r="C100" s="1257" t="s">
        <v>1268</v>
      </c>
      <c r="D100" s="1257"/>
      <c r="E100" s="1237">
        <v>5</v>
      </c>
      <c r="F100" s="1239">
        <v>50000</v>
      </c>
      <c r="G100" s="1237"/>
      <c r="H100" s="1239">
        <v>250000</v>
      </c>
      <c r="I100" s="1237"/>
      <c r="J100" s="1237"/>
    </row>
    <row r="101" spans="1:10" s="1253" customFormat="1" ht="15.5" x14ac:dyDescent="0.35">
      <c r="A101" s="1334">
        <v>9</v>
      </c>
      <c r="B101" s="1084" t="s">
        <v>1317</v>
      </c>
      <c r="C101" s="1257"/>
      <c r="D101" s="1257"/>
      <c r="E101" s="1295"/>
      <c r="F101" s="1257"/>
      <c r="G101" s="1257"/>
      <c r="H101" s="1335">
        <v>3100000</v>
      </c>
      <c r="I101" s="1237"/>
      <c r="J101" s="1237"/>
    </row>
    <row r="102" spans="1:10" s="1253" customFormat="1" ht="15.5" x14ac:dyDescent="0.35">
      <c r="A102" s="1334"/>
      <c r="B102" s="1257" t="s">
        <v>1255</v>
      </c>
      <c r="C102" s="1257" t="s">
        <v>1259</v>
      </c>
      <c r="D102" s="1257"/>
      <c r="E102" s="1257">
        <v>1</v>
      </c>
      <c r="F102" s="1308">
        <v>450000</v>
      </c>
      <c r="G102" s="1257"/>
      <c r="H102" s="1308">
        <v>450000</v>
      </c>
      <c r="I102" s="1237"/>
      <c r="J102" s="1237"/>
    </row>
    <row r="103" spans="1:10" s="1253" customFormat="1" ht="15.5" x14ac:dyDescent="0.35">
      <c r="A103" s="1334"/>
      <c r="B103" s="1257" t="s">
        <v>1260</v>
      </c>
      <c r="C103" s="1257" t="s">
        <v>1261</v>
      </c>
      <c r="D103" s="1257"/>
      <c r="E103" s="1257">
        <v>4</v>
      </c>
      <c r="F103" s="1308">
        <v>50000</v>
      </c>
      <c r="G103" s="1257"/>
      <c r="H103" s="1308">
        <v>200000</v>
      </c>
      <c r="I103" s="1237"/>
      <c r="J103" s="1237"/>
    </row>
    <row r="104" spans="1:10" s="1253" customFormat="1" ht="15.5" x14ac:dyDescent="0.35">
      <c r="A104" s="1334"/>
      <c r="B104" s="1257" t="s">
        <v>1262</v>
      </c>
      <c r="C104" s="1257" t="s">
        <v>1083</v>
      </c>
      <c r="D104" s="1257"/>
      <c r="E104" s="1257">
        <v>17</v>
      </c>
      <c r="F104" s="1308">
        <v>30000</v>
      </c>
      <c r="G104" s="1257"/>
      <c r="H104" s="1308">
        <v>510000</v>
      </c>
      <c r="I104" s="1237"/>
      <c r="J104" s="1237"/>
    </row>
    <row r="105" spans="1:10" s="1253" customFormat="1" ht="15.5" x14ac:dyDescent="0.35">
      <c r="A105" s="1334"/>
      <c r="B105" s="1257" t="s">
        <v>1316</v>
      </c>
      <c r="C105" s="1257" t="s">
        <v>1237</v>
      </c>
      <c r="D105" s="1257"/>
      <c r="E105" s="1257">
        <v>10</v>
      </c>
      <c r="F105" s="1308">
        <v>50000</v>
      </c>
      <c r="G105" s="1257"/>
      <c r="H105" s="1308">
        <v>500000</v>
      </c>
      <c r="I105" s="1237"/>
      <c r="J105" s="1237"/>
    </row>
    <row r="106" spans="1:10" s="1253" customFormat="1" ht="15.5" x14ac:dyDescent="0.35">
      <c r="A106" s="1334"/>
      <c r="B106" s="1257" t="s">
        <v>1264</v>
      </c>
      <c r="C106" s="1257" t="s">
        <v>1265</v>
      </c>
      <c r="D106" s="1257"/>
      <c r="E106" s="1257">
        <v>17</v>
      </c>
      <c r="F106" s="1308">
        <v>40000</v>
      </c>
      <c r="G106" s="1257"/>
      <c r="H106" s="1308">
        <v>680000</v>
      </c>
      <c r="I106" s="1237"/>
      <c r="J106" s="1237"/>
    </row>
    <row r="107" spans="1:10" s="1253" customFormat="1" ht="15.5" x14ac:dyDescent="0.35">
      <c r="A107" s="1334"/>
      <c r="B107" s="1257" t="s">
        <v>1266</v>
      </c>
      <c r="C107" s="1257" t="s">
        <v>1083</v>
      </c>
      <c r="D107" s="1257"/>
      <c r="E107" s="1257">
        <v>17</v>
      </c>
      <c r="F107" s="1308">
        <v>30000</v>
      </c>
      <c r="G107" s="1257"/>
      <c r="H107" s="1308">
        <v>510000</v>
      </c>
      <c r="I107" s="1237"/>
      <c r="J107" s="1237"/>
    </row>
    <row r="108" spans="1:10" s="1253" customFormat="1" ht="15.5" x14ac:dyDescent="0.35">
      <c r="A108" s="1334"/>
      <c r="B108" s="1257" t="s">
        <v>1267</v>
      </c>
      <c r="C108" s="1257" t="s">
        <v>1268</v>
      </c>
      <c r="D108" s="1257"/>
      <c r="E108" s="1257">
        <v>5</v>
      </c>
      <c r="F108" s="1308">
        <v>50000</v>
      </c>
      <c r="G108" s="1257"/>
      <c r="H108" s="1308">
        <v>250000</v>
      </c>
      <c r="I108" s="1237"/>
      <c r="J108" s="1237"/>
    </row>
    <row r="109" spans="1:10" s="1253" customFormat="1" ht="15.5" x14ac:dyDescent="0.35">
      <c r="A109" s="1334"/>
      <c r="B109" s="1294"/>
      <c r="C109" s="1257"/>
      <c r="D109" s="1257"/>
      <c r="E109" s="1295"/>
      <c r="F109" s="1257"/>
      <c r="G109" s="1257"/>
      <c r="H109" s="1335"/>
      <c r="I109" s="1237"/>
      <c r="J109" s="1237"/>
    </row>
    <row r="110" spans="1:10" s="1253" customFormat="1" ht="15.5" x14ac:dyDescent="0.35">
      <c r="A110" s="1334"/>
      <c r="B110" s="1337" t="s">
        <v>497</v>
      </c>
      <c r="C110" s="1338"/>
      <c r="D110" s="1338"/>
      <c r="E110" s="1337"/>
      <c r="F110" s="1339"/>
      <c r="G110" s="1338"/>
      <c r="H110" s="1340">
        <v>52602000</v>
      </c>
      <c r="I110" s="1341"/>
      <c r="J110" s="1237"/>
    </row>
    <row r="111" spans="1:10" s="1253" customFormat="1" ht="15.5" x14ac:dyDescent="0.35">
      <c r="A111" s="1334"/>
      <c r="B111" s="1341" t="s">
        <v>1121</v>
      </c>
      <c r="C111" s="1237"/>
      <c r="D111" s="1237"/>
      <c r="E111" s="1237"/>
      <c r="F111" s="1239"/>
      <c r="G111" s="1237"/>
      <c r="H111" s="1305">
        <v>32040000</v>
      </c>
      <c r="I111" s="1237"/>
      <c r="J111" s="1237"/>
    </row>
    <row r="112" spans="1:10" s="1253" customFormat="1" ht="15.5" x14ac:dyDescent="0.35">
      <c r="A112" s="1334"/>
      <c r="B112" s="1237"/>
      <c r="C112" s="1237"/>
      <c r="D112" s="1237"/>
      <c r="E112" s="1237"/>
      <c r="F112" s="1239"/>
      <c r="G112" s="1237"/>
      <c r="H112" s="1239"/>
      <c r="I112" s="1237"/>
      <c r="J112" s="1237"/>
    </row>
    <row r="113" spans="1:10" s="1253" customFormat="1" ht="15.5" x14ac:dyDescent="0.35">
      <c r="B113" s="1237"/>
      <c r="C113" s="1237"/>
      <c r="D113" s="1237"/>
      <c r="E113" s="1237"/>
      <c r="F113" s="1239"/>
      <c r="G113" s="1237"/>
      <c r="H113" s="1239"/>
      <c r="I113" s="1237"/>
      <c r="J113" s="1237"/>
    </row>
    <row r="114" spans="1:10" s="1253" customFormat="1" ht="15.5" x14ac:dyDescent="0.35">
      <c r="B114" s="1237"/>
      <c r="C114" s="1237"/>
      <c r="D114" s="1237"/>
      <c r="E114" s="1237"/>
      <c r="F114" s="1239"/>
      <c r="G114" s="1237"/>
      <c r="H114" s="1239"/>
      <c r="I114" s="1237"/>
      <c r="J114" s="1237"/>
    </row>
    <row r="115" spans="1:10" s="1253" customFormat="1" ht="15.5" x14ac:dyDescent="0.35">
      <c r="B115" s="1237"/>
      <c r="C115" s="1237"/>
      <c r="D115" s="1237"/>
      <c r="E115" s="1237"/>
      <c r="F115" s="1239"/>
      <c r="G115" s="1237"/>
      <c r="H115" s="1239"/>
      <c r="I115" s="1237"/>
      <c r="J115" s="1237"/>
    </row>
    <row r="116" spans="1:10" ht="15.5" x14ac:dyDescent="0.35">
      <c r="A116" s="1253"/>
      <c r="B116" s="1237"/>
      <c r="C116" s="1237"/>
      <c r="D116" s="1237"/>
      <c r="E116" s="1237"/>
      <c r="F116" s="1239"/>
      <c r="G116" s="1237"/>
      <c r="H116" s="1239"/>
      <c r="I116" s="1237"/>
      <c r="J116" s="1237"/>
    </row>
    <row r="117" spans="1:10" ht="15.5" x14ac:dyDescent="0.35">
      <c r="B117" s="1341"/>
      <c r="C117" s="1304"/>
      <c r="D117" s="1304"/>
      <c r="E117" s="1304"/>
      <c r="F117" s="1342"/>
      <c r="G117" s="1304"/>
      <c r="H117" s="1305"/>
      <c r="I117" s="1237"/>
      <c r="J117" s="1237"/>
    </row>
    <row r="118" spans="1:10" ht="15.5" x14ac:dyDescent="0.35">
      <c r="B118" s="1341"/>
      <c r="C118" s="1304"/>
      <c r="D118" s="1304"/>
      <c r="E118" s="1304"/>
      <c r="F118" s="1342"/>
      <c r="G118" s="1304"/>
      <c r="H118" s="1305"/>
      <c r="I118" s="1237"/>
      <c r="J118" s="1237"/>
    </row>
    <row r="119" spans="1:10" ht="15.5" x14ac:dyDescent="0.35">
      <c r="B119" s="1341"/>
      <c r="C119" s="1304"/>
      <c r="D119" s="1304"/>
      <c r="E119" s="1304"/>
      <c r="F119" s="1342"/>
      <c r="G119" s="1304"/>
      <c r="H119" s="1305"/>
      <c r="I119" s="1237"/>
      <c r="J119" s="1237"/>
    </row>
    <row r="120" spans="1:10" ht="15.5" x14ac:dyDescent="0.35">
      <c r="B120" s="1237"/>
      <c r="C120" s="1237"/>
      <c r="D120" s="1237"/>
      <c r="E120" s="1237"/>
      <c r="F120" s="1239"/>
      <c r="G120" s="1237"/>
      <c r="H120" s="1239"/>
      <c r="I120" s="1237"/>
      <c r="J120" s="1237"/>
    </row>
    <row r="121" spans="1:10" ht="15.5" x14ac:dyDescent="0.35">
      <c r="B121" s="1289"/>
      <c r="C121" s="1289"/>
      <c r="D121" s="1289"/>
      <c r="E121" s="1289"/>
      <c r="F121" s="1289"/>
      <c r="G121" s="1289"/>
      <c r="H121" s="1289"/>
      <c r="I121" s="1289" t="s">
        <v>1318</v>
      </c>
      <c r="J121" s="1289" t="s">
        <v>1319</v>
      </c>
    </row>
    <row r="122" spans="1:10" ht="15.5" x14ac:dyDescent="0.35">
      <c r="B122" s="1343" t="s">
        <v>1281</v>
      </c>
      <c r="C122" s="1344" t="s">
        <v>1280</v>
      </c>
      <c r="D122" s="1345"/>
      <c r="E122" s="1345" t="s">
        <v>1279</v>
      </c>
      <c r="F122" s="1345"/>
      <c r="G122" s="1345" t="s">
        <v>1320</v>
      </c>
      <c r="H122" s="1345"/>
      <c r="I122" s="1345" t="s">
        <v>1321</v>
      </c>
      <c r="J122" s="1289"/>
    </row>
    <row r="123" spans="1:10" ht="15.5" x14ac:dyDescent="0.35">
      <c r="B123" s="1253"/>
      <c r="C123" s="1253"/>
      <c r="D123" s="1253"/>
      <c r="E123" s="1253"/>
      <c r="F123" s="1253"/>
      <c r="G123" s="1253"/>
      <c r="H123" s="1253"/>
      <c r="I123" s="1253"/>
      <c r="J123" s="1253"/>
    </row>
    <row r="125" spans="1:10" ht="15" x14ac:dyDescent="0.3">
      <c r="B125" s="742"/>
    </row>
  </sheetData>
  <mergeCells count="4">
    <mergeCell ref="A1:B1"/>
    <mergeCell ref="A2:B2"/>
    <mergeCell ref="A3:J3"/>
    <mergeCell ref="A4:J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08789-4547-CD4B-AB8D-535870722568}">
  <dimension ref="A1"/>
  <sheetViews>
    <sheetView workbookViewId="0"/>
  </sheetViews>
  <sheetFormatPr defaultColWidth="10.90625" defaultRowHeight="12.5" x14ac:dyDescent="0.25"/>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35AF-B2DD-3844-BA89-D458C890C8B7}">
  <dimension ref="A1"/>
  <sheetViews>
    <sheetView workbookViewId="0"/>
  </sheetViews>
  <sheetFormatPr defaultColWidth="10.90625" defaultRowHeight="12.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46"/>
  <sheetViews>
    <sheetView zoomScale="125" zoomScaleNormal="125" zoomScalePageLayoutView="125" workbookViewId="0">
      <pane xSplit="2" ySplit="6" topLeftCell="C242" activePane="bottomRight" state="frozen"/>
      <selection pane="topRight" activeCell="C1" sqref="C1"/>
      <selection pane="bottomLeft" activeCell="A7" sqref="A7"/>
      <selection pane="bottomRight" activeCell="G246" sqref="G246:H246"/>
    </sheetView>
  </sheetViews>
  <sheetFormatPr defaultColWidth="9.1796875" defaultRowHeight="13" x14ac:dyDescent="0.3"/>
  <cols>
    <col min="1" max="1" width="5.453125" style="327" customWidth="1"/>
    <col min="2" max="2" width="41.1796875" style="327" customWidth="1"/>
    <col min="3" max="3" width="7" style="319" customWidth="1"/>
    <col min="4" max="4" width="7" style="319" hidden="1" customWidth="1"/>
    <col min="5" max="5" width="6" style="319" customWidth="1"/>
    <col min="6" max="6" width="7.453125" style="175" customWidth="1"/>
    <col min="7" max="7" width="6.81640625" style="319" customWidth="1"/>
    <col min="8" max="8" width="11.1796875" style="319" customWidth="1"/>
    <col min="9" max="10" width="8.36328125" style="319" customWidth="1"/>
    <col min="11" max="11" width="6.453125" style="328" customWidth="1"/>
    <col min="12" max="12" width="7.6328125" style="328" customWidth="1"/>
    <col min="13" max="13" width="9.453125" style="328" customWidth="1"/>
    <col min="14" max="14" width="11" style="328" customWidth="1"/>
    <col min="15" max="15" width="6.6328125" style="328" customWidth="1"/>
    <col min="16" max="16" width="9.6328125" style="328" customWidth="1"/>
    <col min="17" max="17" width="12.6328125" style="197" customWidth="1"/>
    <col min="18" max="16384" width="9.1796875" style="197"/>
  </cols>
  <sheetData>
    <row r="1" spans="1:17" ht="14.25" customHeight="1" x14ac:dyDescent="0.3">
      <c r="A1" s="1459" t="s">
        <v>3</v>
      </c>
      <c r="B1" s="1459"/>
      <c r="C1" s="1459"/>
      <c r="D1" s="14"/>
      <c r="E1" s="14"/>
      <c r="F1" s="14"/>
      <c r="G1" s="14"/>
      <c r="H1" s="174"/>
      <c r="I1" s="1435"/>
      <c r="J1" s="1435"/>
      <c r="K1" s="1435"/>
      <c r="L1" s="1435"/>
      <c r="M1" s="1435"/>
      <c r="N1" s="1435"/>
      <c r="O1" s="15"/>
      <c r="P1" s="15"/>
      <c r="Q1" s="320" t="s">
        <v>30</v>
      </c>
    </row>
    <row r="2" spans="1:17" x14ac:dyDescent="0.3">
      <c r="A2" s="1439" t="s">
        <v>530</v>
      </c>
      <c r="B2" s="1439"/>
      <c r="C2" s="1439"/>
      <c r="D2" s="153"/>
      <c r="E2" s="153"/>
      <c r="F2" s="14"/>
      <c r="G2" s="153"/>
      <c r="H2" s="174"/>
      <c r="I2" s="1435"/>
      <c r="J2" s="1435"/>
      <c r="K2" s="1435"/>
      <c r="L2" s="1435"/>
      <c r="M2" s="1435"/>
      <c r="N2" s="1435"/>
      <c r="O2" s="15"/>
      <c r="P2" s="15"/>
      <c r="Q2" s="15"/>
    </row>
    <row r="3" spans="1:17" ht="30" customHeight="1" x14ac:dyDescent="0.25">
      <c r="A3" s="1437" t="s">
        <v>590</v>
      </c>
      <c r="B3" s="1437"/>
      <c r="C3" s="1437"/>
      <c r="D3" s="1437"/>
      <c r="E3" s="1437"/>
      <c r="F3" s="1437"/>
      <c r="G3" s="1437"/>
      <c r="H3" s="1437"/>
      <c r="I3" s="1437"/>
      <c r="J3" s="1437"/>
      <c r="K3" s="1437"/>
      <c r="L3" s="1437"/>
      <c r="M3" s="1437"/>
      <c r="N3" s="1437"/>
      <c r="O3" s="1437"/>
      <c r="P3" s="1437"/>
      <c r="Q3" s="1437"/>
    </row>
    <row r="4" spans="1:17" x14ac:dyDescent="0.3">
      <c r="A4" s="51"/>
      <c r="B4" s="51"/>
      <c r="C4" s="61"/>
      <c r="D4" s="61"/>
      <c r="E4" s="61"/>
      <c r="F4" s="61"/>
      <c r="G4" s="61"/>
      <c r="H4" s="61"/>
      <c r="I4" s="61"/>
      <c r="J4" s="61"/>
      <c r="K4" s="51"/>
      <c r="L4" s="51"/>
      <c r="M4" s="51"/>
      <c r="N4" s="51" t="s">
        <v>20</v>
      </c>
      <c r="O4" s="51"/>
      <c r="P4" s="51"/>
      <c r="Q4" s="61"/>
    </row>
    <row r="5" spans="1:17" ht="133.5" customHeight="1" x14ac:dyDescent="0.25">
      <c r="A5" s="1469" t="s">
        <v>0</v>
      </c>
      <c r="B5" s="1464" t="s">
        <v>171</v>
      </c>
      <c r="C5" s="1464" t="s">
        <v>204</v>
      </c>
      <c r="D5" s="1464" t="s">
        <v>205</v>
      </c>
      <c r="E5" s="1464" t="s">
        <v>152</v>
      </c>
      <c r="F5" s="1464" t="s">
        <v>159</v>
      </c>
      <c r="G5" s="1464" t="s">
        <v>208</v>
      </c>
      <c r="H5" s="1464" t="s">
        <v>207</v>
      </c>
      <c r="I5" s="1466" t="s">
        <v>209</v>
      </c>
      <c r="J5" s="1467"/>
      <c r="K5" s="1468"/>
      <c r="L5" s="1464" t="s">
        <v>210</v>
      </c>
      <c r="M5" s="1464" t="s">
        <v>211</v>
      </c>
      <c r="N5" s="1464" t="s">
        <v>39</v>
      </c>
      <c r="O5" s="1464" t="s">
        <v>86</v>
      </c>
      <c r="P5" s="1464" t="s">
        <v>87</v>
      </c>
      <c r="Q5" s="1464" t="s">
        <v>2</v>
      </c>
    </row>
    <row r="6" spans="1:17" ht="50" customHeight="1" x14ac:dyDescent="0.25">
      <c r="A6" s="1470"/>
      <c r="B6" s="1465"/>
      <c r="C6" s="1465"/>
      <c r="D6" s="1465"/>
      <c r="E6" s="1465"/>
      <c r="F6" s="1465"/>
      <c r="G6" s="1465"/>
      <c r="H6" s="1465"/>
      <c r="I6" s="196" t="s">
        <v>160</v>
      </c>
      <c r="J6" s="196" t="s">
        <v>101</v>
      </c>
      <c r="K6" s="196" t="s">
        <v>158</v>
      </c>
      <c r="L6" s="1465"/>
      <c r="M6" s="1465"/>
      <c r="N6" s="1465"/>
      <c r="O6" s="1465"/>
      <c r="P6" s="1465"/>
      <c r="Q6" s="1465"/>
    </row>
    <row r="7" spans="1:17" s="321" customFormat="1" ht="30" customHeight="1" x14ac:dyDescent="0.25">
      <c r="A7" s="199" t="s">
        <v>115</v>
      </c>
      <c r="B7" s="200" t="s">
        <v>116</v>
      </c>
      <c r="C7" s="200" t="s">
        <v>117</v>
      </c>
      <c r="D7" s="201" t="s">
        <v>118</v>
      </c>
      <c r="E7" s="201" t="s">
        <v>118</v>
      </c>
      <c r="F7" s="201" t="s">
        <v>119</v>
      </c>
      <c r="G7" s="201" t="s">
        <v>120</v>
      </c>
      <c r="H7" s="201" t="s">
        <v>596</v>
      </c>
      <c r="I7" s="201" t="s">
        <v>123</v>
      </c>
      <c r="J7" s="201" t="s">
        <v>125</v>
      </c>
      <c r="K7" s="201" t="s">
        <v>134</v>
      </c>
      <c r="L7" s="201" t="s">
        <v>126</v>
      </c>
      <c r="M7" s="201" t="s">
        <v>127</v>
      </c>
      <c r="N7" s="201" t="s">
        <v>128</v>
      </c>
      <c r="O7" s="202" t="s">
        <v>129</v>
      </c>
      <c r="P7" s="202" t="s">
        <v>130</v>
      </c>
      <c r="Q7" s="201" t="s">
        <v>206</v>
      </c>
    </row>
    <row r="8" spans="1:17" ht="25" customHeight="1" x14ac:dyDescent="0.25">
      <c r="A8" s="209" t="s">
        <v>6</v>
      </c>
      <c r="B8" s="209" t="s">
        <v>294</v>
      </c>
      <c r="C8" s="210"/>
      <c r="D8" s="210"/>
      <c r="E8" s="210"/>
      <c r="F8" s="314"/>
      <c r="G8" s="210"/>
      <c r="H8" s="210"/>
      <c r="I8" s="210"/>
      <c r="J8" s="210"/>
      <c r="K8" s="209"/>
      <c r="L8" s="209"/>
      <c r="M8" s="209"/>
      <c r="N8" s="209"/>
      <c r="O8" s="209"/>
      <c r="P8" s="209"/>
      <c r="Q8" s="209"/>
    </row>
    <row r="9" spans="1:17" ht="25" customHeight="1" x14ac:dyDescent="0.25">
      <c r="A9" s="242" t="s">
        <v>7</v>
      </c>
      <c r="B9" s="242" t="s">
        <v>591</v>
      </c>
      <c r="C9" s="243"/>
      <c r="D9" s="243"/>
      <c r="E9" s="243"/>
      <c r="F9" s="315"/>
      <c r="G9" s="243"/>
      <c r="H9" s="243"/>
      <c r="I9" s="243"/>
      <c r="J9" s="243"/>
      <c r="K9" s="242"/>
      <c r="L9" s="242"/>
      <c r="M9" s="242"/>
      <c r="N9" s="242"/>
      <c r="O9" s="242"/>
      <c r="P9" s="242"/>
      <c r="Q9" s="242"/>
    </row>
    <row r="10" spans="1:17" ht="25" customHeight="1" x14ac:dyDescent="0.25">
      <c r="A10" s="242">
        <v>1</v>
      </c>
      <c r="B10" s="242" t="s">
        <v>4</v>
      </c>
      <c r="C10" s="243"/>
      <c r="D10" s="243"/>
      <c r="E10" s="243"/>
      <c r="F10" s="315"/>
      <c r="G10" s="243"/>
      <c r="H10" s="243"/>
      <c r="I10" s="243"/>
      <c r="J10" s="243"/>
      <c r="K10" s="242"/>
      <c r="L10" s="242"/>
      <c r="M10" s="242"/>
      <c r="N10" s="242"/>
      <c r="O10" s="242"/>
      <c r="P10" s="242"/>
      <c r="Q10" s="242"/>
    </row>
    <row r="11" spans="1:17" s="3" customFormat="1" ht="25" customHeight="1" x14ac:dyDescent="0.25">
      <c r="A11" s="244" t="s">
        <v>147</v>
      </c>
      <c r="B11" s="245" t="s">
        <v>161</v>
      </c>
      <c r="C11" s="246"/>
      <c r="D11" s="246"/>
      <c r="E11" s="246"/>
      <c r="F11" s="249"/>
      <c r="G11" s="246"/>
      <c r="H11" s="246"/>
      <c r="I11" s="247"/>
      <c r="J11" s="247"/>
      <c r="K11" s="247"/>
      <c r="L11" s="247"/>
      <c r="M11" s="247"/>
      <c r="N11" s="247"/>
      <c r="O11" s="247"/>
      <c r="P11" s="247"/>
      <c r="Q11" s="248"/>
    </row>
    <row r="12" spans="1:17" s="3" customFormat="1" ht="25" customHeight="1" x14ac:dyDescent="0.25">
      <c r="A12" s="349" t="s">
        <v>226</v>
      </c>
      <c r="B12" s="372" t="s">
        <v>250</v>
      </c>
      <c r="C12" s="352">
        <v>2</v>
      </c>
      <c r="D12" s="351">
        <v>1</v>
      </c>
      <c r="E12" s="352">
        <v>1</v>
      </c>
      <c r="F12" s="254">
        <f>I12+J12+K12</f>
        <v>33</v>
      </c>
      <c r="G12" s="249">
        <v>40</v>
      </c>
      <c r="H12" s="249">
        <f>C12*D12*E12*G12</f>
        <v>80</v>
      </c>
      <c r="I12" s="251">
        <f>IF(G12&lt;70, C12*E12*16.5*1, C12*E12*16.5*1.3)</f>
        <v>33</v>
      </c>
      <c r="J12" s="247"/>
      <c r="K12" s="247"/>
      <c r="L12" s="247"/>
      <c r="M12" s="247"/>
      <c r="N12" s="247"/>
      <c r="O12" s="247"/>
      <c r="P12" s="247"/>
      <c r="Q12" s="248"/>
    </row>
    <row r="13" spans="1:17" s="3" customFormat="1" ht="25" customHeight="1" x14ac:dyDescent="0.25">
      <c r="A13" s="349" t="s">
        <v>227</v>
      </c>
      <c r="B13" s="372" t="s">
        <v>635</v>
      </c>
      <c r="C13" s="352">
        <v>1</v>
      </c>
      <c r="D13" s="352">
        <v>1.4</v>
      </c>
      <c r="E13" s="352">
        <v>14</v>
      </c>
      <c r="F13" s="254">
        <f>I13+J13+K13</f>
        <v>231</v>
      </c>
      <c r="G13" s="249">
        <v>20</v>
      </c>
      <c r="H13" s="249">
        <f t="shared" ref="H13:H44" si="0">C13*D13*E13*G13</f>
        <v>391.99999999999994</v>
      </c>
      <c r="I13" s="251">
        <f t="shared" ref="I13:I45" si="1">IF(G13&lt;70, C13*E13*16.5*1, C13*E13*16.5*1.3)</f>
        <v>231</v>
      </c>
      <c r="J13" s="247"/>
      <c r="K13" s="247"/>
      <c r="L13" s="247"/>
      <c r="M13" s="247"/>
      <c r="N13" s="247"/>
      <c r="O13" s="247"/>
      <c r="P13" s="247"/>
      <c r="Q13" s="248"/>
    </row>
    <row r="14" spans="1:17" s="3" customFormat="1" ht="25" customHeight="1" x14ac:dyDescent="0.25">
      <c r="A14" s="349" t="s">
        <v>228</v>
      </c>
      <c r="B14" s="372" t="s">
        <v>251</v>
      </c>
      <c r="C14" s="352">
        <v>2</v>
      </c>
      <c r="D14" s="352">
        <v>1</v>
      </c>
      <c r="E14" s="352">
        <v>1</v>
      </c>
      <c r="F14" s="254">
        <f t="shared" ref="F14:F46" si="2">I14+J14+K14</f>
        <v>42.9</v>
      </c>
      <c r="G14" s="249">
        <v>80</v>
      </c>
      <c r="H14" s="249">
        <f t="shared" si="0"/>
        <v>160</v>
      </c>
      <c r="I14" s="251">
        <f t="shared" si="1"/>
        <v>42.9</v>
      </c>
      <c r="J14" s="247"/>
      <c r="K14" s="247"/>
      <c r="L14" s="247"/>
      <c r="M14" s="247"/>
      <c r="N14" s="247"/>
      <c r="O14" s="247"/>
      <c r="P14" s="247"/>
      <c r="Q14" s="248"/>
    </row>
    <row r="15" spans="1:17" s="3" customFormat="1" ht="25" customHeight="1" x14ac:dyDescent="0.25">
      <c r="A15" s="349" t="s">
        <v>229</v>
      </c>
      <c r="B15" s="372" t="s">
        <v>636</v>
      </c>
      <c r="C15" s="352">
        <v>2</v>
      </c>
      <c r="D15" s="352">
        <v>1</v>
      </c>
      <c r="E15" s="352">
        <v>3</v>
      </c>
      <c r="F15" s="254">
        <f t="shared" si="2"/>
        <v>128.70000000000002</v>
      </c>
      <c r="G15" s="249">
        <v>70</v>
      </c>
      <c r="H15" s="249">
        <f t="shared" si="0"/>
        <v>420</v>
      </c>
      <c r="I15" s="251">
        <f t="shared" si="1"/>
        <v>128.70000000000002</v>
      </c>
      <c r="J15" s="247"/>
      <c r="K15" s="247"/>
      <c r="L15" s="247"/>
      <c r="M15" s="247"/>
      <c r="N15" s="247"/>
      <c r="O15" s="247"/>
      <c r="P15" s="247"/>
      <c r="Q15" s="248"/>
    </row>
    <row r="16" spans="1:17" s="3" customFormat="1" ht="25" customHeight="1" x14ac:dyDescent="0.3">
      <c r="A16" s="349" t="s">
        <v>230</v>
      </c>
      <c r="B16" s="373" t="s">
        <v>637</v>
      </c>
      <c r="C16" s="352">
        <v>2</v>
      </c>
      <c r="D16" s="352">
        <v>1</v>
      </c>
      <c r="E16" s="352">
        <v>3</v>
      </c>
      <c r="F16" s="254">
        <f t="shared" si="2"/>
        <v>128.70000000000002</v>
      </c>
      <c r="G16" s="249">
        <v>70</v>
      </c>
      <c r="H16" s="249">
        <f t="shared" si="0"/>
        <v>420</v>
      </c>
      <c r="I16" s="251">
        <f t="shared" si="1"/>
        <v>128.70000000000002</v>
      </c>
      <c r="J16" s="247"/>
      <c r="K16" s="247"/>
      <c r="L16" s="247"/>
      <c r="M16" s="247"/>
      <c r="N16" s="247"/>
      <c r="O16" s="247"/>
      <c r="P16" s="247"/>
      <c r="Q16" s="248"/>
    </row>
    <row r="17" spans="1:17" s="3" customFormat="1" ht="25" customHeight="1" x14ac:dyDescent="0.25">
      <c r="A17" s="349" t="s">
        <v>231</v>
      </c>
      <c r="B17" s="372" t="s">
        <v>259</v>
      </c>
      <c r="C17" s="352">
        <v>5</v>
      </c>
      <c r="D17" s="352">
        <v>1</v>
      </c>
      <c r="E17" s="352">
        <v>4</v>
      </c>
      <c r="F17" s="254">
        <f t="shared" si="2"/>
        <v>429</v>
      </c>
      <c r="G17" s="249">
        <v>70</v>
      </c>
      <c r="H17" s="249">
        <f t="shared" si="0"/>
        <v>1400</v>
      </c>
      <c r="I17" s="251">
        <f t="shared" si="1"/>
        <v>429</v>
      </c>
      <c r="J17" s="247"/>
      <c r="K17" s="247"/>
      <c r="L17" s="247"/>
      <c r="M17" s="247"/>
      <c r="N17" s="247"/>
      <c r="O17" s="247"/>
      <c r="P17" s="247"/>
      <c r="Q17" s="248"/>
    </row>
    <row r="18" spans="1:17" s="3" customFormat="1" ht="25" customHeight="1" x14ac:dyDescent="0.25">
      <c r="A18" s="349" t="s">
        <v>282</v>
      </c>
      <c r="B18" s="372" t="s">
        <v>249</v>
      </c>
      <c r="C18" s="351">
        <v>2</v>
      </c>
      <c r="D18" s="351">
        <v>1</v>
      </c>
      <c r="E18" s="351">
        <v>1</v>
      </c>
      <c r="F18" s="254">
        <f t="shared" si="2"/>
        <v>33</v>
      </c>
      <c r="G18" s="251">
        <v>40</v>
      </c>
      <c r="H18" s="249">
        <f t="shared" si="0"/>
        <v>80</v>
      </c>
      <c r="I18" s="251">
        <f t="shared" si="1"/>
        <v>33</v>
      </c>
      <c r="J18" s="247"/>
      <c r="K18" s="247"/>
      <c r="L18" s="247"/>
      <c r="M18" s="247"/>
      <c r="N18" s="247"/>
      <c r="O18" s="247"/>
      <c r="P18" s="247"/>
      <c r="Q18" s="248"/>
    </row>
    <row r="19" spans="1:17" s="3" customFormat="1" ht="25" customHeight="1" x14ac:dyDescent="0.3">
      <c r="A19" s="349" t="s">
        <v>283</v>
      </c>
      <c r="B19" s="373" t="s">
        <v>638</v>
      </c>
      <c r="C19" s="352">
        <v>2</v>
      </c>
      <c r="D19" s="352">
        <v>1</v>
      </c>
      <c r="E19" s="352">
        <v>2</v>
      </c>
      <c r="F19" s="254">
        <f t="shared" si="2"/>
        <v>85.8</v>
      </c>
      <c r="G19" s="249">
        <v>80</v>
      </c>
      <c r="H19" s="249">
        <f t="shared" si="0"/>
        <v>320</v>
      </c>
      <c r="I19" s="251">
        <f t="shared" si="1"/>
        <v>85.8</v>
      </c>
      <c r="J19" s="247"/>
      <c r="K19" s="247"/>
      <c r="L19" s="247"/>
      <c r="M19" s="247"/>
      <c r="N19" s="247"/>
      <c r="O19" s="247"/>
      <c r="P19" s="247"/>
      <c r="Q19" s="248"/>
    </row>
    <row r="20" spans="1:17" s="3" customFormat="1" ht="25" customHeight="1" x14ac:dyDescent="0.25">
      <c r="A20" s="349" t="s">
        <v>284</v>
      </c>
      <c r="B20" s="372" t="s">
        <v>639</v>
      </c>
      <c r="C20" s="352">
        <v>1</v>
      </c>
      <c r="D20" s="352">
        <v>1.4</v>
      </c>
      <c r="E20" s="352">
        <v>6</v>
      </c>
      <c r="F20" s="254">
        <f t="shared" si="2"/>
        <v>99</v>
      </c>
      <c r="G20" s="249">
        <v>20</v>
      </c>
      <c r="H20" s="249">
        <f t="shared" si="0"/>
        <v>167.99999999999997</v>
      </c>
      <c r="I20" s="251">
        <f t="shared" si="1"/>
        <v>99</v>
      </c>
      <c r="J20" s="247"/>
      <c r="K20" s="247"/>
      <c r="L20" s="247"/>
      <c r="M20" s="247"/>
      <c r="N20" s="247"/>
      <c r="O20" s="247"/>
      <c r="P20" s="247"/>
      <c r="Q20" s="248"/>
    </row>
    <row r="21" spans="1:17" s="3" customFormat="1" ht="25" customHeight="1" x14ac:dyDescent="0.25">
      <c r="A21" s="349" t="s">
        <v>285</v>
      </c>
      <c r="B21" s="372" t="s">
        <v>640</v>
      </c>
      <c r="C21" s="352">
        <v>3</v>
      </c>
      <c r="D21" s="352">
        <v>1</v>
      </c>
      <c r="E21" s="352">
        <v>2</v>
      </c>
      <c r="F21" s="254">
        <f t="shared" si="2"/>
        <v>128.70000000000002</v>
      </c>
      <c r="G21" s="249">
        <v>80</v>
      </c>
      <c r="H21" s="249">
        <f t="shared" si="0"/>
        <v>480</v>
      </c>
      <c r="I21" s="251">
        <f t="shared" si="1"/>
        <v>128.70000000000002</v>
      </c>
      <c r="J21" s="252"/>
      <c r="K21" s="252"/>
      <c r="L21" s="252"/>
      <c r="M21" s="252"/>
      <c r="N21" s="252"/>
      <c r="O21" s="252"/>
      <c r="P21" s="252"/>
      <c r="Q21" s="253"/>
    </row>
    <row r="22" spans="1:17" s="3" customFormat="1" ht="25" customHeight="1" x14ac:dyDescent="0.25">
      <c r="A22" s="349" t="s">
        <v>286</v>
      </c>
      <c r="B22" s="372" t="s">
        <v>252</v>
      </c>
      <c r="C22" s="352">
        <v>2</v>
      </c>
      <c r="D22" s="352">
        <v>1</v>
      </c>
      <c r="E22" s="352">
        <v>1</v>
      </c>
      <c r="F22" s="254">
        <f t="shared" si="2"/>
        <v>33</v>
      </c>
      <c r="G22" s="249">
        <v>40</v>
      </c>
      <c r="H22" s="249">
        <f t="shared" si="0"/>
        <v>80</v>
      </c>
      <c r="I22" s="251">
        <f t="shared" si="1"/>
        <v>33</v>
      </c>
      <c r="J22" s="252"/>
      <c r="K22" s="252"/>
      <c r="L22" s="252"/>
      <c r="M22" s="252"/>
      <c r="N22" s="252"/>
      <c r="O22" s="252"/>
      <c r="P22" s="252"/>
      <c r="Q22" s="253"/>
    </row>
    <row r="23" spans="1:17" s="3" customFormat="1" ht="25" customHeight="1" x14ac:dyDescent="0.25">
      <c r="A23" s="349" t="s">
        <v>289</v>
      </c>
      <c r="B23" s="372" t="s">
        <v>253</v>
      </c>
      <c r="C23" s="352">
        <v>2</v>
      </c>
      <c r="D23" s="352">
        <v>1</v>
      </c>
      <c r="E23" s="352">
        <v>1</v>
      </c>
      <c r="F23" s="254">
        <f t="shared" si="2"/>
        <v>33</v>
      </c>
      <c r="G23" s="249">
        <v>40</v>
      </c>
      <c r="H23" s="249">
        <f t="shared" si="0"/>
        <v>80</v>
      </c>
      <c r="I23" s="251">
        <f t="shared" si="1"/>
        <v>33</v>
      </c>
      <c r="J23" s="252"/>
      <c r="K23" s="252"/>
      <c r="L23" s="252"/>
      <c r="M23" s="252"/>
      <c r="N23" s="252"/>
      <c r="O23" s="252"/>
      <c r="P23" s="252"/>
      <c r="Q23" s="253"/>
    </row>
    <row r="24" spans="1:17" s="3" customFormat="1" ht="25" customHeight="1" x14ac:dyDescent="0.25">
      <c r="A24" s="349" t="s">
        <v>290</v>
      </c>
      <c r="B24" s="372" t="s">
        <v>254</v>
      </c>
      <c r="C24" s="352">
        <v>4</v>
      </c>
      <c r="D24" s="352">
        <v>1.4</v>
      </c>
      <c r="E24" s="352">
        <v>6</v>
      </c>
      <c r="F24" s="254">
        <f t="shared" si="2"/>
        <v>240</v>
      </c>
      <c r="G24" s="249">
        <v>20</v>
      </c>
      <c r="H24" s="249">
        <f t="shared" si="0"/>
        <v>671.99999999999989</v>
      </c>
      <c r="I24" s="251">
        <f>E24*G24*2</f>
        <v>240</v>
      </c>
      <c r="J24" s="252"/>
      <c r="K24" s="252"/>
      <c r="L24" s="252"/>
      <c r="M24" s="252"/>
      <c r="N24" s="252"/>
      <c r="O24" s="252"/>
      <c r="P24" s="252"/>
      <c r="Q24" s="253"/>
    </row>
    <row r="25" spans="1:17" s="3" customFormat="1" ht="25" customHeight="1" x14ac:dyDescent="0.25">
      <c r="A25" s="349" t="s">
        <v>291</v>
      </c>
      <c r="B25" s="372" t="s">
        <v>255</v>
      </c>
      <c r="C25" s="352">
        <v>3</v>
      </c>
      <c r="D25" s="352">
        <v>1.3</v>
      </c>
      <c r="E25" s="352">
        <v>7</v>
      </c>
      <c r="F25" s="254">
        <f t="shared" si="2"/>
        <v>346.5</v>
      </c>
      <c r="G25" s="249">
        <v>20</v>
      </c>
      <c r="H25" s="249">
        <f t="shared" si="0"/>
        <v>546.00000000000011</v>
      </c>
      <c r="I25" s="251">
        <f t="shared" si="1"/>
        <v>346.5</v>
      </c>
      <c r="J25" s="252"/>
      <c r="K25" s="252"/>
      <c r="L25" s="252"/>
      <c r="M25" s="252"/>
      <c r="N25" s="252"/>
      <c r="O25" s="252"/>
      <c r="P25" s="252"/>
      <c r="Q25" s="253"/>
    </row>
    <row r="26" spans="1:17" s="3" customFormat="1" ht="25" customHeight="1" x14ac:dyDescent="0.25">
      <c r="A26" s="349" t="s">
        <v>292</v>
      </c>
      <c r="B26" s="372" t="s">
        <v>256</v>
      </c>
      <c r="C26" s="352">
        <v>3</v>
      </c>
      <c r="D26" s="352">
        <v>1</v>
      </c>
      <c r="E26" s="352">
        <v>2</v>
      </c>
      <c r="F26" s="254">
        <f t="shared" si="2"/>
        <v>128.70000000000002</v>
      </c>
      <c r="G26" s="249">
        <v>70</v>
      </c>
      <c r="H26" s="249">
        <f t="shared" si="0"/>
        <v>420</v>
      </c>
      <c r="I26" s="251">
        <f t="shared" si="1"/>
        <v>128.70000000000002</v>
      </c>
      <c r="J26" s="252"/>
      <c r="K26" s="252"/>
      <c r="L26" s="252"/>
      <c r="M26" s="252"/>
      <c r="N26" s="252"/>
      <c r="O26" s="252"/>
      <c r="P26" s="252"/>
      <c r="Q26" s="253"/>
    </row>
    <row r="27" spans="1:17" s="3" customFormat="1" ht="25" customHeight="1" x14ac:dyDescent="0.3">
      <c r="A27" s="349" t="s">
        <v>394</v>
      </c>
      <c r="B27" s="374" t="s">
        <v>641</v>
      </c>
      <c r="C27" s="352">
        <v>3</v>
      </c>
      <c r="D27" s="352">
        <v>1</v>
      </c>
      <c r="E27" s="352">
        <v>4</v>
      </c>
      <c r="F27" s="254">
        <f t="shared" si="2"/>
        <v>257.40000000000003</v>
      </c>
      <c r="G27" s="249">
        <v>70</v>
      </c>
      <c r="H27" s="249">
        <f t="shared" si="0"/>
        <v>840</v>
      </c>
      <c r="I27" s="251">
        <f t="shared" si="1"/>
        <v>257.40000000000003</v>
      </c>
      <c r="J27" s="252"/>
      <c r="K27" s="252"/>
      <c r="L27" s="252"/>
      <c r="M27" s="252"/>
      <c r="N27" s="252"/>
      <c r="O27" s="252"/>
      <c r="P27" s="252"/>
      <c r="Q27" s="253"/>
    </row>
    <row r="28" spans="1:17" s="3" customFormat="1" ht="25" customHeight="1" x14ac:dyDescent="0.25">
      <c r="A28" s="349" t="s">
        <v>395</v>
      </c>
      <c r="B28" s="372" t="s">
        <v>642</v>
      </c>
      <c r="C28" s="352">
        <v>5</v>
      </c>
      <c r="D28" s="352">
        <v>1.4</v>
      </c>
      <c r="E28" s="352">
        <v>6</v>
      </c>
      <c r="F28" s="254">
        <f t="shared" si="2"/>
        <v>495</v>
      </c>
      <c r="G28" s="249">
        <v>45</v>
      </c>
      <c r="H28" s="249">
        <f t="shared" si="0"/>
        <v>1890</v>
      </c>
      <c r="I28" s="251">
        <f t="shared" si="1"/>
        <v>495</v>
      </c>
      <c r="J28" s="252"/>
      <c r="K28" s="252"/>
      <c r="L28" s="252"/>
      <c r="M28" s="252"/>
      <c r="N28" s="252"/>
      <c r="O28" s="252"/>
      <c r="P28" s="252"/>
      <c r="Q28" s="253"/>
    </row>
    <row r="29" spans="1:17" s="3" customFormat="1" ht="25" customHeight="1" x14ac:dyDescent="0.25">
      <c r="A29" s="349" t="s">
        <v>396</v>
      </c>
      <c r="B29" s="372" t="s">
        <v>260</v>
      </c>
      <c r="C29" s="352">
        <v>2</v>
      </c>
      <c r="D29" s="352">
        <v>1</v>
      </c>
      <c r="E29" s="352">
        <v>4</v>
      </c>
      <c r="F29" s="254">
        <f t="shared" si="2"/>
        <v>132</v>
      </c>
      <c r="G29" s="249">
        <v>40</v>
      </c>
      <c r="H29" s="249">
        <f t="shared" si="0"/>
        <v>320</v>
      </c>
      <c r="I29" s="251">
        <f t="shared" si="1"/>
        <v>132</v>
      </c>
      <c r="J29" s="252"/>
      <c r="K29" s="252"/>
      <c r="L29" s="252"/>
      <c r="M29" s="252"/>
      <c r="N29" s="252"/>
      <c r="O29" s="252"/>
      <c r="P29" s="252"/>
      <c r="Q29" s="253"/>
    </row>
    <row r="30" spans="1:17" s="3" customFormat="1" ht="25" customHeight="1" x14ac:dyDescent="0.25">
      <c r="A30" s="349" t="s">
        <v>397</v>
      </c>
      <c r="B30" s="372" t="s">
        <v>643</v>
      </c>
      <c r="C30" s="352">
        <v>2</v>
      </c>
      <c r="D30" s="352">
        <v>1</v>
      </c>
      <c r="E30" s="352">
        <v>2</v>
      </c>
      <c r="F30" s="254">
        <f t="shared" si="2"/>
        <v>66</v>
      </c>
      <c r="G30" s="249">
        <v>65</v>
      </c>
      <c r="H30" s="249">
        <f t="shared" si="0"/>
        <v>260</v>
      </c>
      <c r="I30" s="251">
        <f t="shared" si="1"/>
        <v>66</v>
      </c>
      <c r="J30" s="252"/>
      <c r="K30" s="252"/>
      <c r="L30" s="252"/>
      <c r="M30" s="252"/>
      <c r="N30" s="252"/>
      <c r="O30" s="252"/>
      <c r="P30" s="252"/>
      <c r="Q30" s="253"/>
    </row>
    <row r="31" spans="1:17" s="3" customFormat="1" ht="25" customHeight="1" x14ac:dyDescent="0.25">
      <c r="A31" s="349" t="s">
        <v>398</v>
      </c>
      <c r="B31" s="372" t="s">
        <v>644</v>
      </c>
      <c r="C31" s="352">
        <v>4</v>
      </c>
      <c r="D31" s="352">
        <v>1</v>
      </c>
      <c r="E31" s="352">
        <v>2</v>
      </c>
      <c r="F31" s="254">
        <f t="shared" si="2"/>
        <v>171.6</v>
      </c>
      <c r="G31" s="249">
        <v>70</v>
      </c>
      <c r="H31" s="249">
        <f t="shared" si="0"/>
        <v>560</v>
      </c>
      <c r="I31" s="251">
        <f t="shared" si="1"/>
        <v>171.6</v>
      </c>
      <c r="J31" s="252"/>
      <c r="K31" s="252"/>
      <c r="L31" s="252"/>
      <c r="M31" s="252"/>
      <c r="N31" s="252"/>
      <c r="O31" s="252"/>
      <c r="P31" s="252"/>
      <c r="Q31" s="253"/>
    </row>
    <row r="32" spans="1:17" s="3" customFormat="1" ht="25" customHeight="1" x14ac:dyDescent="0.25">
      <c r="A32" s="349" t="s">
        <v>399</v>
      </c>
      <c r="B32" s="372" t="s">
        <v>645</v>
      </c>
      <c r="C32" s="352">
        <v>2</v>
      </c>
      <c r="D32" s="352">
        <v>1.08</v>
      </c>
      <c r="E32" s="352">
        <v>4</v>
      </c>
      <c r="F32" s="254">
        <f t="shared" si="2"/>
        <v>132</v>
      </c>
      <c r="G32" s="249">
        <v>50</v>
      </c>
      <c r="H32" s="249">
        <f t="shared" si="0"/>
        <v>432</v>
      </c>
      <c r="I32" s="251">
        <f t="shared" si="1"/>
        <v>132</v>
      </c>
      <c r="J32" s="252"/>
      <c r="K32" s="252"/>
      <c r="L32" s="252"/>
      <c r="M32" s="252"/>
      <c r="N32" s="252"/>
      <c r="O32" s="252"/>
      <c r="P32" s="252"/>
      <c r="Q32" s="253"/>
    </row>
    <row r="33" spans="1:17" s="3" customFormat="1" ht="25" customHeight="1" x14ac:dyDescent="0.25">
      <c r="A33" s="349" t="s">
        <v>400</v>
      </c>
      <c r="B33" s="375" t="s">
        <v>262</v>
      </c>
      <c r="C33" s="376">
        <v>4</v>
      </c>
      <c r="D33" s="352">
        <v>1.08</v>
      </c>
      <c r="E33" s="377">
        <v>2</v>
      </c>
      <c r="F33" s="254">
        <f t="shared" si="2"/>
        <v>171.6</v>
      </c>
      <c r="G33" s="255">
        <v>70</v>
      </c>
      <c r="H33" s="249">
        <f t="shared" si="0"/>
        <v>604.80000000000007</v>
      </c>
      <c r="I33" s="251">
        <f t="shared" si="1"/>
        <v>171.6</v>
      </c>
      <c r="J33" s="252"/>
      <c r="K33" s="252"/>
      <c r="L33" s="252"/>
      <c r="M33" s="252"/>
      <c r="N33" s="252"/>
      <c r="O33" s="252"/>
      <c r="P33" s="252"/>
      <c r="Q33" s="253"/>
    </row>
    <row r="34" spans="1:17" s="3" customFormat="1" ht="25" customHeight="1" x14ac:dyDescent="0.25">
      <c r="A34" s="349" t="s">
        <v>401</v>
      </c>
      <c r="B34" s="378" t="s">
        <v>646</v>
      </c>
      <c r="C34" s="352">
        <v>3</v>
      </c>
      <c r="D34" s="352">
        <v>1</v>
      </c>
      <c r="E34" s="352">
        <v>2</v>
      </c>
      <c r="F34" s="254">
        <f t="shared" si="2"/>
        <v>128.70000000000002</v>
      </c>
      <c r="G34" s="249">
        <v>80</v>
      </c>
      <c r="H34" s="249">
        <f t="shared" si="0"/>
        <v>480</v>
      </c>
      <c r="I34" s="251">
        <f t="shared" si="1"/>
        <v>128.70000000000002</v>
      </c>
      <c r="J34" s="252"/>
      <c r="K34" s="252"/>
      <c r="L34" s="252"/>
      <c r="M34" s="252"/>
      <c r="N34" s="252"/>
      <c r="O34" s="252"/>
      <c r="P34" s="252"/>
      <c r="Q34" s="253"/>
    </row>
    <row r="35" spans="1:17" s="3" customFormat="1" ht="25" customHeight="1" x14ac:dyDescent="0.25">
      <c r="A35" s="349" t="s">
        <v>402</v>
      </c>
      <c r="B35" s="372" t="s">
        <v>647</v>
      </c>
      <c r="C35" s="352">
        <v>3</v>
      </c>
      <c r="D35" s="352">
        <v>1</v>
      </c>
      <c r="E35" s="352">
        <v>2</v>
      </c>
      <c r="F35" s="254">
        <f t="shared" si="2"/>
        <v>128.70000000000002</v>
      </c>
      <c r="G35" s="249">
        <v>70</v>
      </c>
      <c r="H35" s="249">
        <f t="shared" si="0"/>
        <v>420</v>
      </c>
      <c r="I35" s="251">
        <f t="shared" si="1"/>
        <v>128.70000000000002</v>
      </c>
      <c r="J35" s="252"/>
      <c r="K35" s="252"/>
      <c r="L35" s="252"/>
      <c r="M35" s="252"/>
      <c r="N35" s="252"/>
      <c r="O35" s="252"/>
      <c r="P35" s="252"/>
      <c r="Q35" s="253"/>
    </row>
    <row r="36" spans="1:17" s="3" customFormat="1" ht="25" customHeight="1" x14ac:dyDescent="0.25">
      <c r="A36" s="349" t="s">
        <v>403</v>
      </c>
      <c r="B36" s="372" t="s">
        <v>264</v>
      </c>
      <c r="C36" s="352">
        <v>3</v>
      </c>
      <c r="D36" s="352">
        <v>1</v>
      </c>
      <c r="E36" s="352">
        <v>1</v>
      </c>
      <c r="F36" s="254">
        <f t="shared" si="2"/>
        <v>49.5</v>
      </c>
      <c r="G36" s="249">
        <v>21</v>
      </c>
      <c r="H36" s="249">
        <f t="shared" si="0"/>
        <v>63</v>
      </c>
      <c r="I36" s="251">
        <f t="shared" si="1"/>
        <v>49.5</v>
      </c>
      <c r="J36" s="252"/>
      <c r="K36" s="252"/>
      <c r="L36" s="252"/>
      <c r="M36" s="252"/>
      <c r="N36" s="252"/>
      <c r="O36" s="252"/>
      <c r="P36" s="252"/>
      <c r="Q36" s="253"/>
    </row>
    <row r="37" spans="1:17" s="3" customFormat="1" ht="25" customHeight="1" x14ac:dyDescent="0.25">
      <c r="A37" s="349" t="s">
        <v>404</v>
      </c>
      <c r="B37" s="372" t="s">
        <v>648</v>
      </c>
      <c r="C37" s="352">
        <v>4</v>
      </c>
      <c r="D37" s="352">
        <v>1</v>
      </c>
      <c r="E37" s="352">
        <v>5</v>
      </c>
      <c r="F37" s="254">
        <f t="shared" si="2"/>
        <v>429</v>
      </c>
      <c r="G37" s="249">
        <v>70</v>
      </c>
      <c r="H37" s="249">
        <f t="shared" si="0"/>
        <v>1400</v>
      </c>
      <c r="I37" s="251">
        <f t="shared" si="1"/>
        <v>429</v>
      </c>
      <c r="J37" s="252"/>
      <c r="K37" s="252"/>
      <c r="L37" s="252"/>
      <c r="M37" s="252"/>
      <c r="N37" s="252"/>
      <c r="O37" s="252"/>
      <c r="P37" s="252"/>
      <c r="Q37" s="253"/>
    </row>
    <row r="38" spans="1:17" s="3" customFormat="1" ht="25" customHeight="1" x14ac:dyDescent="0.25">
      <c r="A38" s="349" t="s">
        <v>405</v>
      </c>
      <c r="B38" s="372" t="s">
        <v>642</v>
      </c>
      <c r="C38" s="352">
        <v>2</v>
      </c>
      <c r="D38" s="352">
        <v>1.4</v>
      </c>
      <c r="E38" s="352">
        <v>6</v>
      </c>
      <c r="F38" s="254">
        <f t="shared" si="2"/>
        <v>90</v>
      </c>
      <c r="G38" s="249">
        <v>20</v>
      </c>
      <c r="H38" s="249">
        <f t="shared" si="0"/>
        <v>335.99999999999994</v>
      </c>
      <c r="I38" s="251">
        <f>E38*15</f>
        <v>90</v>
      </c>
      <c r="J38" s="252"/>
      <c r="K38" s="252"/>
      <c r="L38" s="252"/>
      <c r="M38" s="252"/>
      <c r="N38" s="252"/>
      <c r="O38" s="252"/>
      <c r="P38" s="252"/>
      <c r="Q38" s="253"/>
    </row>
    <row r="39" spans="1:17" s="3" customFormat="1" ht="25" customHeight="1" x14ac:dyDescent="0.25">
      <c r="A39" s="349" t="s">
        <v>406</v>
      </c>
      <c r="B39" s="372" t="s">
        <v>265</v>
      </c>
      <c r="C39" s="352">
        <v>3</v>
      </c>
      <c r="D39" s="352">
        <v>1</v>
      </c>
      <c r="E39" s="352">
        <v>6</v>
      </c>
      <c r="F39" s="254">
        <f t="shared" si="2"/>
        <v>297</v>
      </c>
      <c r="G39" s="249">
        <v>50</v>
      </c>
      <c r="H39" s="249">
        <f t="shared" si="0"/>
        <v>900</v>
      </c>
      <c r="I39" s="251">
        <f t="shared" si="1"/>
        <v>297</v>
      </c>
      <c r="J39" s="252"/>
      <c r="K39" s="252"/>
      <c r="L39" s="252"/>
      <c r="M39" s="252"/>
      <c r="N39" s="252"/>
      <c r="O39" s="252"/>
      <c r="P39" s="252"/>
      <c r="Q39" s="253"/>
    </row>
    <row r="40" spans="1:17" s="3" customFormat="1" ht="25" customHeight="1" x14ac:dyDescent="0.25">
      <c r="A40" s="349" t="s">
        <v>407</v>
      </c>
      <c r="B40" s="372" t="s">
        <v>266</v>
      </c>
      <c r="C40" s="352">
        <v>3</v>
      </c>
      <c r="D40" s="352">
        <v>1</v>
      </c>
      <c r="E40" s="352">
        <v>3</v>
      </c>
      <c r="F40" s="254">
        <f t="shared" si="2"/>
        <v>193.05</v>
      </c>
      <c r="G40" s="249">
        <v>70</v>
      </c>
      <c r="H40" s="249">
        <f t="shared" si="0"/>
        <v>630</v>
      </c>
      <c r="I40" s="251">
        <f t="shared" si="1"/>
        <v>193.05</v>
      </c>
      <c r="J40" s="252"/>
      <c r="K40" s="252"/>
      <c r="L40" s="252"/>
      <c r="M40" s="252"/>
      <c r="N40" s="252"/>
      <c r="O40" s="252"/>
      <c r="P40" s="252"/>
      <c r="Q40" s="253"/>
    </row>
    <row r="41" spans="1:17" s="3" customFormat="1" ht="25" customHeight="1" x14ac:dyDescent="0.25">
      <c r="A41" s="349" t="s">
        <v>408</v>
      </c>
      <c r="B41" s="372" t="s">
        <v>267</v>
      </c>
      <c r="C41" s="352">
        <v>2</v>
      </c>
      <c r="D41" s="352">
        <v>1</v>
      </c>
      <c r="E41" s="352">
        <v>1</v>
      </c>
      <c r="F41" s="254">
        <f t="shared" si="2"/>
        <v>33</v>
      </c>
      <c r="G41" s="249">
        <v>50</v>
      </c>
      <c r="H41" s="249">
        <f t="shared" si="0"/>
        <v>100</v>
      </c>
      <c r="I41" s="251">
        <f t="shared" si="1"/>
        <v>33</v>
      </c>
      <c r="J41" s="252"/>
      <c r="K41" s="252"/>
      <c r="L41" s="252"/>
      <c r="M41" s="252"/>
      <c r="N41" s="252"/>
      <c r="O41" s="252"/>
      <c r="P41" s="252"/>
      <c r="Q41" s="253"/>
    </row>
    <row r="42" spans="1:17" s="3" customFormat="1" ht="25" customHeight="1" x14ac:dyDescent="0.25">
      <c r="A42" s="349" t="s">
        <v>409</v>
      </c>
      <c r="B42" s="372" t="s">
        <v>268</v>
      </c>
      <c r="C42" s="352">
        <v>2</v>
      </c>
      <c r="D42" s="352">
        <v>1</v>
      </c>
      <c r="E42" s="352">
        <v>1</v>
      </c>
      <c r="F42" s="254">
        <f t="shared" si="2"/>
        <v>33</v>
      </c>
      <c r="G42" s="249">
        <v>50</v>
      </c>
      <c r="H42" s="249">
        <f t="shared" si="0"/>
        <v>100</v>
      </c>
      <c r="I42" s="251">
        <f t="shared" si="1"/>
        <v>33</v>
      </c>
      <c r="J42" s="252"/>
      <c r="K42" s="252"/>
      <c r="L42" s="252"/>
      <c r="M42" s="252"/>
      <c r="N42" s="252"/>
      <c r="O42" s="252"/>
      <c r="P42" s="252"/>
      <c r="Q42" s="253"/>
    </row>
    <row r="43" spans="1:17" s="3" customFormat="1" ht="25" customHeight="1" x14ac:dyDescent="0.25">
      <c r="A43" s="349" t="s">
        <v>410</v>
      </c>
      <c r="B43" s="375" t="s">
        <v>649</v>
      </c>
      <c r="C43" s="352">
        <v>2</v>
      </c>
      <c r="D43" s="352">
        <v>1</v>
      </c>
      <c r="E43" s="352">
        <v>5</v>
      </c>
      <c r="F43" s="254">
        <f t="shared" si="2"/>
        <v>165</v>
      </c>
      <c r="G43" s="249">
        <v>50</v>
      </c>
      <c r="H43" s="249">
        <f t="shared" si="0"/>
        <v>500</v>
      </c>
      <c r="I43" s="251">
        <f t="shared" si="1"/>
        <v>165</v>
      </c>
      <c r="J43" s="252"/>
      <c r="K43" s="252"/>
      <c r="L43" s="252"/>
      <c r="M43" s="252"/>
      <c r="N43" s="252"/>
      <c r="O43" s="252"/>
      <c r="P43" s="252"/>
      <c r="Q43" s="253"/>
    </row>
    <row r="44" spans="1:17" s="3" customFormat="1" ht="25" customHeight="1" x14ac:dyDescent="0.25">
      <c r="A44" s="349" t="s">
        <v>650</v>
      </c>
      <c r="B44" s="379" t="s">
        <v>651</v>
      </c>
      <c r="C44" s="380">
        <v>3</v>
      </c>
      <c r="D44" s="352">
        <v>1</v>
      </c>
      <c r="E44" s="352">
        <v>4</v>
      </c>
      <c r="F44" s="254">
        <f t="shared" si="2"/>
        <v>198</v>
      </c>
      <c r="G44" s="255">
        <v>40</v>
      </c>
      <c r="H44" s="249">
        <f t="shared" si="0"/>
        <v>480</v>
      </c>
      <c r="I44" s="251">
        <f t="shared" si="1"/>
        <v>198</v>
      </c>
      <c r="J44" s="252"/>
      <c r="K44" s="252"/>
      <c r="L44" s="252"/>
      <c r="M44" s="252"/>
      <c r="N44" s="252"/>
      <c r="O44" s="252"/>
      <c r="P44" s="252"/>
      <c r="Q44" s="253"/>
    </row>
    <row r="45" spans="1:17" s="3" customFormat="1" ht="25" customHeight="1" x14ac:dyDescent="0.25">
      <c r="A45" s="349" t="s">
        <v>652</v>
      </c>
      <c r="B45" s="381" t="s">
        <v>653</v>
      </c>
      <c r="C45" s="352">
        <v>5</v>
      </c>
      <c r="D45" s="352">
        <v>1</v>
      </c>
      <c r="E45" s="352">
        <v>4</v>
      </c>
      <c r="F45" s="254">
        <f t="shared" si="2"/>
        <v>330</v>
      </c>
      <c r="G45" s="249">
        <v>0</v>
      </c>
      <c r="H45" s="249">
        <v>0</v>
      </c>
      <c r="I45" s="251">
        <f t="shared" si="1"/>
        <v>330</v>
      </c>
      <c r="J45" s="252"/>
      <c r="K45" s="252"/>
      <c r="L45" s="252"/>
      <c r="M45" s="252"/>
      <c r="N45" s="252"/>
      <c r="O45" s="252"/>
      <c r="P45" s="252"/>
      <c r="Q45" s="253"/>
    </row>
    <row r="46" spans="1:17" s="3" customFormat="1" ht="25" customHeight="1" x14ac:dyDescent="0.25">
      <c r="A46" s="349" t="s">
        <v>654</v>
      </c>
      <c r="B46" s="381" t="s">
        <v>261</v>
      </c>
      <c r="C46" s="380">
        <v>4</v>
      </c>
      <c r="D46" s="352">
        <v>1</v>
      </c>
      <c r="E46" s="352">
        <v>4</v>
      </c>
      <c r="F46" s="254">
        <f t="shared" si="2"/>
        <v>160</v>
      </c>
      <c r="G46" s="257">
        <v>20</v>
      </c>
      <c r="H46" s="249">
        <f>C46*D46*E46*G46</f>
        <v>320</v>
      </c>
      <c r="I46" s="251">
        <f>E46*G46*2</f>
        <v>160</v>
      </c>
      <c r="J46" s="252"/>
      <c r="K46" s="252"/>
      <c r="L46" s="252"/>
      <c r="M46" s="252"/>
      <c r="N46" s="252"/>
      <c r="O46" s="252"/>
      <c r="P46" s="252"/>
      <c r="Q46" s="253"/>
    </row>
    <row r="47" spans="1:17" s="3" customFormat="1" ht="25" customHeight="1" x14ac:dyDescent="0.3">
      <c r="A47" s="349" t="s">
        <v>655</v>
      </c>
      <c r="B47" s="382" t="s">
        <v>258</v>
      </c>
      <c r="C47" s="380">
        <v>2</v>
      </c>
      <c r="D47" s="352">
        <v>1</v>
      </c>
      <c r="E47" s="352">
        <v>2</v>
      </c>
      <c r="F47" s="249"/>
      <c r="G47" s="249"/>
      <c r="H47" s="249"/>
      <c r="I47" s="252"/>
      <c r="J47" s="252"/>
      <c r="K47" s="252"/>
      <c r="L47" s="252"/>
      <c r="M47" s="252"/>
      <c r="N47" s="252"/>
      <c r="O47" s="252"/>
      <c r="P47" s="252"/>
      <c r="Q47" s="253"/>
    </row>
    <row r="48" spans="1:17" s="3" customFormat="1" ht="25" customHeight="1" x14ac:dyDescent="0.3">
      <c r="A48" s="349" t="s">
        <v>656</v>
      </c>
      <c r="B48" s="382" t="s">
        <v>257</v>
      </c>
      <c r="C48" s="380">
        <v>2</v>
      </c>
      <c r="D48" s="352">
        <v>1</v>
      </c>
      <c r="E48" s="352">
        <v>2</v>
      </c>
      <c r="F48" s="249">
        <f>SUM(F12:F47)</f>
        <v>5781.55</v>
      </c>
      <c r="G48" s="246">
        <f>SUM(G12:G47)</f>
        <v>1761</v>
      </c>
      <c r="H48" s="246">
        <f>SUM(H12:H47)</f>
        <v>16353.8</v>
      </c>
      <c r="I48" s="246">
        <f>SUM(I12:I47)</f>
        <v>5781.55</v>
      </c>
      <c r="J48" s="252">
        <v>0</v>
      </c>
      <c r="K48" s="252">
        <v>0</v>
      </c>
      <c r="L48" s="252"/>
      <c r="M48" s="252"/>
      <c r="N48" s="252"/>
      <c r="O48" s="252"/>
      <c r="P48" s="252"/>
      <c r="Q48" s="253"/>
    </row>
    <row r="49" spans="1:17" s="3" customFormat="1" ht="25" customHeight="1" x14ac:dyDescent="0.25">
      <c r="A49" s="349" t="s">
        <v>657</v>
      </c>
      <c r="B49" s="383" t="s">
        <v>658</v>
      </c>
      <c r="C49" s="380">
        <v>1</v>
      </c>
      <c r="D49" s="352">
        <v>1.4</v>
      </c>
      <c r="E49" s="352">
        <v>14</v>
      </c>
      <c r="F49" s="249"/>
      <c r="G49" s="249"/>
      <c r="H49" s="249"/>
      <c r="I49" s="249"/>
      <c r="J49" s="252"/>
      <c r="K49" s="252"/>
      <c r="L49" s="252"/>
      <c r="M49" s="252"/>
      <c r="N49" s="252"/>
      <c r="O49" s="252"/>
      <c r="P49" s="252"/>
      <c r="Q49" s="253"/>
    </row>
    <row r="50" spans="1:17" s="3" customFormat="1" ht="25" customHeight="1" x14ac:dyDescent="0.25">
      <c r="A50" s="349" t="s">
        <v>659</v>
      </c>
      <c r="B50" s="384" t="s">
        <v>413</v>
      </c>
      <c r="C50" s="377">
        <v>1</v>
      </c>
      <c r="D50" s="377">
        <v>1.4</v>
      </c>
      <c r="E50" s="377">
        <v>2</v>
      </c>
      <c r="F50" s="249"/>
      <c r="G50" s="249"/>
      <c r="H50" s="249"/>
      <c r="I50" s="249"/>
      <c r="J50" s="252">
        <v>10</v>
      </c>
      <c r="K50" s="252"/>
      <c r="L50" s="252"/>
      <c r="M50" s="252"/>
      <c r="N50" s="252"/>
      <c r="O50" s="252"/>
      <c r="P50" s="252"/>
      <c r="Q50" s="1447" t="s">
        <v>528</v>
      </c>
    </row>
    <row r="51" spans="1:17" s="3" customFormat="1" ht="25" customHeight="1" x14ac:dyDescent="0.25">
      <c r="A51" s="359" t="s">
        <v>148</v>
      </c>
      <c r="B51" s="360" t="s">
        <v>151</v>
      </c>
      <c r="C51" s="352">
        <v>0</v>
      </c>
      <c r="D51" s="352">
        <v>0</v>
      </c>
      <c r="E51" s="352">
        <v>0</v>
      </c>
      <c r="F51" s="249"/>
      <c r="G51" s="249"/>
      <c r="H51" s="249"/>
      <c r="I51" s="249"/>
      <c r="J51" s="252">
        <v>15</v>
      </c>
      <c r="K51" s="252"/>
      <c r="L51" s="252"/>
      <c r="M51" s="252"/>
      <c r="N51" s="252"/>
      <c r="O51" s="252"/>
      <c r="P51" s="252"/>
      <c r="Q51" s="1447"/>
    </row>
    <row r="52" spans="1:17" s="3" customFormat="1" ht="25" customHeight="1" x14ac:dyDescent="0.25">
      <c r="A52" s="354" t="s">
        <v>232</v>
      </c>
      <c r="B52" s="349" t="s">
        <v>156</v>
      </c>
      <c r="C52" s="352">
        <v>4</v>
      </c>
      <c r="D52" s="352">
        <v>1.4</v>
      </c>
      <c r="E52" s="352">
        <v>4</v>
      </c>
      <c r="F52" s="249"/>
      <c r="G52" s="249"/>
      <c r="H52" s="249"/>
      <c r="I52" s="249"/>
      <c r="J52" s="252">
        <v>5</v>
      </c>
      <c r="K52" s="252"/>
      <c r="L52" s="252"/>
      <c r="M52" s="252"/>
      <c r="N52" s="252"/>
      <c r="O52" s="252"/>
      <c r="P52" s="252"/>
      <c r="Q52" s="1447"/>
    </row>
    <row r="53" spans="1:17" s="3" customFormat="1" ht="25" customHeight="1" x14ac:dyDescent="0.25">
      <c r="A53" s="354" t="s">
        <v>233</v>
      </c>
      <c r="B53" s="349" t="s">
        <v>157</v>
      </c>
      <c r="C53" s="352"/>
      <c r="D53" s="352"/>
      <c r="E53" s="352"/>
      <c r="F53" s="249"/>
      <c r="G53" s="249"/>
      <c r="H53" s="249"/>
      <c r="I53" s="252"/>
      <c r="J53" s="252"/>
      <c r="K53" s="252"/>
      <c r="L53" s="252"/>
      <c r="M53" s="252"/>
      <c r="N53" s="252"/>
      <c r="O53" s="252"/>
      <c r="P53" s="252"/>
      <c r="Q53" s="253"/>
    </row>
    <row r="54" spans="1:17" s="3" customFormat="1" ht="25" customHeight="1" x14ac:dyDescent="0.25">
      <c r="A54" s="354"/>
      <c r="B54" s="361" t="s">
        <v>353</v>
      </c>
      <c r="C54" s="364">
        <f>SUM(C12:C53)</f>
        <v>107</v>
      </c>
      <c r="D54" s="364">
        <f>SUM(D12:D53)</f>
        <v>43.659999999999989</v>
      </c>
      <c r="E54" s="364">
        <f>SUM(E12:E53)</f>
        <v>146</v>
      </c>
      <c r="F54" s="249"/>
      <c r="G54" s="249"/>
      <c r="H54" s="249"/>
      <c r="I54" s="252"/>
      <c r="J54" s="252"/>
      <c r="K54" s="252"/>
      <c r="L54" s="252"/>
      <c r="M54" s="252"/>
      <c r="N54" s="252"/>
      <c r="O54" s="252"/>
      <c r="P54" s="252"/>
      <c r="Q54" s="253"/>
    </row>
    <row r="55" spans="1:17" s="3" customFormat="1" ht="25" customHeight="1" x14ac:dyDescent="0.25">
      <c r="A55" s="359"/>
      <c r="B55" s="361" t="s">
        <v>524</v>
      </c>
      <c r="C55" s="352"/>
      <c r="D55" s="352"/>
      <c r="E55" s="352"/>
      <c r="F55" s="254">
        <f t="shared" ref="F55:F62" si="3">I55+J55+K55</f>
        <v>0</v>
      </c>
      <c r="G55" s="249">
        <v>10</v>
      </c>
      <c r="H55" s="249">
        <f t="shared" ref="H55:H60" si="4">C55*D55*E55*G55</f>
        <v>0</v>
      </c>
      <c r="I55" s="251">
        <f t="shared" ref="I55:I60" si="5">IF(G55&lt;70, C55*E55*16.5*1.5, C55*E55*16.5*1.5)</f>
        <v>0</v>
      </c>
      <c r="J55" s="252"/>
      <c r="K55" s="252"/>
      <c r="L55" s="252"/>
      <c r="M55" s="252"/>
      <c r="N55" s="252"/>
      <c r="O55" s="252"/>
      <c r="P55" s="252"/>
      <c r="Q55" s="253"/>
    </row>
    <row r="56" spans="1:17" s="3" customFormat="1" ht="25" customHeight="1" x14ac:dyDescent="0.25">
      <c r="A56" s="354" t="s">
        <v>532</v>
      </c>
      <c r="B56" s="349" t="s">
        <v>525</v>
      </c>
      <c r="C56" s="352">
        <v>5</v>
      </c>
      <c r="D56" s="352"/>
      <c r="E56" s="352">
        <v>2</v>
      </c>
      <c r="F56" s="254">
        <f t="shared" si="3"/>
        <v>247.5</v>
      </c>
      <c r="G56" s="249">
        <v>10</v>
      </c>
      <c r="H56" s="249">
        <f t="shared" si="4"/>
        <v>0</v>
      </c>
      <c r="I56" s="251">
        <f t="shared" si="5"/>
        <v>247.5</v>
      </c>
      <c r="J56" s="252"/>
      <c r="K56" s="252"/>
      <c r="L56" s="252"/>
      <c r="M56" s="252"/>
      <c r="N56" s="252"/>
      <c r="O56" s="252"/>
      <c r="P56" s="252"/>
      <c r="Q56" s="253"/>
    </row>
    <row r="57" spans="1:17" s="3" customFormat="1" ht="25" customHeight="1" x14ac:dyDescent="0.25">
      <c r="A57" s="354" t="s">
        <v>533</v>
      </c>
      <c r="B57" s="349" t="s">
        <v>526</v>
      </c>
      <c r="C57" s="352">
        <v>5</v>
      </c>
      <c r="D57" s="352"/>
      <c r="E57" s="352">
        <v>3</v>
      </c>
      <c r="F57" s="254">
        <f t="shared" si="3"/>
        <v>371.25</v>
      </c>
      <c r="G57" s="249">
        <v>10</v>
      </c>
      <c r="H57" s="249">
        <f t="shared" si="4"/>
        <v>0</v>
      </c>
      <c r="I57" s="251">
        <f t="shared" si="5"/>
        <v>371.25</v>
      </c>
      <c r="J57" s="252"/>
      <c r="K57" s="252"/>
      <c r="L57" s="252"/>
      <c r="M57" s="252"/>
      <c r="N57" s="252"/>
      <c r="O57" s="252"/>
      <c r="P57" s="252"/>
      <c r="Q57" s="253"/>
    </row>
    <row r="58" spans="1:17" s="3" customFormat="1" ht="25" customHeight="1" x14ac:dyDescent="0.25">
      <c r="A58" s="354" t="s">
        <v>534</v>
      </c>
      <c r="B58" s="372" t="s">
        <v>527</v>
      </c>
      <c r="C58" s="352">
        <v>4</v>
      </c>
      <c r="D58" s="352"/>
      <c r="E58" s="352">
        <v>1</v>
      </c>
      <c r="F58" s="254">
        <f t="shared" si="3"/>
        <v>99</v>
      </c>
      <c r="G58" s="249">
        <v>10</v>
      </c>
      <c r="H58" s="249">
        <f t="shared" si="4"/>
        <v>0</v>
      </c>
      <c r="I58" s="251">
        <f t="shared" si="5"/>
        <v>99</v>
      </c>
      <c r="J58" s="252"/>
      <c r="K58" s="252"/>
      <c r="L58" s="252"/>
      <c r="M58" s="252"/>
      <c r="N58" s="252"/>
      <c r="O58" s="252"/>
      <c r="P58" s="252"/>
      <c r="Q58" s="253"/>
    </row>
    <row r="59" spans="1:17" s="3" customFormat="1" ht="25" customHeight="1" x14ac:dyDescent="0.25">
      <c r="A59" s="385">
        <v>2</v>
      </c>
      <c r="B59" s="385" t="s">
        <v>164</v>
      </c>
      <c r="C59" s="352"/>
      <c r="D59" s="352"/>
      <c r="E59" s="352"/>
      <c r="F59" s="254">
        <f t="shared" si="3"/>
        <v>0</v>
      </c>
      <c r="G59" s="249">
        <v>10</v>
      </c>
      <c r="H59" s="249">
        <f t="shared" si="4"/>
        <v>0</v>
      </c>
      <c r="I59" s="251">
        <f t="shared" si="5"/>
        <v>0</v>
      </c>
      <c r="J59" s="252"/>
      <c r="K59" s="252"/>
      <c r="L59" s="252"/>
      <c r="M59" s="252"/>
      <c r="N59" s="252"/>
      <c r="O59" s="252"/>
      <c r="P59" s="252"/>
      <c r="Q59" s="253"/>
    </row>
    <row r="60" spans="1:17" s="3" customFormat="1" ht="25" customHeight="1" x14ac:dyDescent="0.25">
      <c r="A60" s="356" t="s">
        <v>147</v>
      </c>
      <c r="B60" s="357" t="s">
        <v>165</v>
      </c>
      <c r="C60" s="352"/>
      <c r="D60" s="352"/>
      <c r="E60" s="352"/>
      <c r="F60" s="254">
        <f t="shared" si="3"/>
        <v>0</v>
      </c>
      <c r="G60" s="249">
        <v>15</v>
      </c>
      <c r="H60" s="249">
        <f t="shared" si="4"/>
        <v>0</v>
      </c>
      <c r="I60" s="251">
        <f t="shared" si="5"/>
        <v>0</v>
      </c>
      <c r="J60" s="252"/>
      <c r="K60" s="252"/>
      <c r="L60" s="252"/>
      <c r="M60" s="252"/>
      <c r="N60" s="252"/>
      <c r="O60" s="252"/>
      <c r="P60" s="252"/>
      <c r="Q60" s="253"/>
    </row>
    <row r="61" spans="1:17" s="3" customFormat="1" ht="25" customHeight="1" x14ac:dyDescent="0.25">
      <c r="A61" s="349" t="s">
        <v>226</v>
      </c>
      <c r="B61" s="350" t="s">
        <v>269</v>
      </c>
      <c r="C61" s="352">
        <v>3</v>
      </c>
      <c r="D61" s="352">
        <v>1</v>
      </c>
      <c r="E61" s="352">
        <v>1</v>
      </c>
      <c r="F61" s="254">
        <f t="shared" si="3"/>
        <v>49.5</v>
      </c>
      <c r="G61" s="259"/>
      <c r="H61" s="259"/>
      <c r="I61" s="251">
        <f>IF(G61&lt;70, C61*E61*16.5*1, C61*E61*16.5*1.3)</f>
        <v>49.5</v>
      </c>
      <c r="J61" s="252"/>
      <c r="K61" s="252"/>
      <c r="L61" s="252"/>
      <c r="M61" s="252"/>
      <c r="N61" s="252"/>
      <c r="O61" s="252"/>
      <c r="P61" s="252"/>
      <c r="Q61" s="253"/>
    </row>
    <row r="62" spans="1:17" s="3" customFormat="1" ht="25" customHeight="1" x14ac:dyDescent="0.25">
      <c r="A62" s="349" t="s">
        <v>227</v>
      </c>
      <c r="B62" s="350" t="s">
        <v>270</v>
      </c>
      <c r="C62" s="352">
        <v>3</v>
      </c>
      <c r="D62" s="352">
        <v>1</v>
      </c>
      <c r="E62" s="352">
        <v>1</v>
      </c>
      <c r="F62" s="254">
        <f t="shared" si="3"/>
        <v>385</v>
      </c>
      <c r="G62" s="259">
        <v>11</v>
      </c>
      <c r="H62" s="249">
        <f>C62*G62*D62</f>
        <v>33</v>
      </c>
      <c r="I62" s="251">
        <f>11*35</f>
        <v>385</v>
      </c>
      <c r="J62" s="252"/>
      <c r="K62" s="252"/>
      <c r="L62" s="252"/>
      <c r="M62" s="252"/>
      <c r="N62" s="252"/>
      <c r="O62" s="252"/>
      <c r="P62" s="252"/>
      <c r="Q62" s="253"/>
    </row>
    <row r="63" spans="1:17" s="3" customFormat="1" ht="25" customHeight="1" x14ac:dyDescent="0.25">
      <c r="A63" s="349" t="s">
        <v>228</v>
      </c>
      <c r="B63" s="350" t="s">
        <v>271</v>
      </c>
      <c r="C63" s="352">
        <v>3</v>
      </c>
      <c r="D63" s="352">
        <v>1</v>
      </c>
      <c r="E63" s="352">
        <v>1</v>
      </c>
      <c r="F63" s="249">
        <f>SUM(F55:F62)</f>
        <v>1152.25</v>
      </c>
      <c r="G63" s="246">
        <f>SUM(G55:G62)</f>
        <v>76</v>
      </c>
      <c r="H63" s="246">
        <f>SUM(H55:H62)</f>
        <v>33</v>
      </c>
      <c r="I63" s="246">
        <f>SUM(I55:I62)</f>
        <v>1152.25</v>
      </c>
      <c r="J63" s="252"/>
      <c r="K63" s="252"/>
      <c r="L63" s="252"/>
      <c r="M63" s="252"/>
      <c r="N63" s="252"/>
      <c r="O63" s="252"/>
      <c r="P63" s="252"/>
      <c r="Q63" s="253"/>
    </row>
    <row r="64" spans="1:17" s="3" customFormat="1" ht="25" customHeight="1" x14ac:dyDescent="0.25">
      <c r="A64" s="349" t="s">
        <v>229</v>
      </c>
      <c r="B64" s="350" t="s">
        <v>272</v>
      </c>
      <c r="C64" s="352">
        <v>3</v>
      </c>
      <c r="D64" s="352">
        <v>1</v>
      </c>
      <c r="E64" s="352">
        <v>1</v>
      </c>
      <c r="F64" s="249">
        <v>0</v>
      </c>
      <c r="G64" s="249">
        <v>0</v>
      </c>
      <c r="H64" s="249">
        <v>0</v>
      </c>
      <c r="I64" s="249">
        <v>0</v>
      </c>
      <c r="J64" s="252"/>
      <c r="K64" s="252"/>
      <c r="L64" s="252"/>
      <c r="M64" s="252"/>
      <c r="N64" s="252"/>
      <c r="O64" s="252"/>
      <c r="P64" s="252"/>
      <c r="Q64" s="253"/>
    </row>
    <row r="65" spans="1:17" s="3" customFormat="1" ht="25" customHeight="1" x14ac:dyDescent="0.25">
      <c r="A65" s="349" t="s">
        <v>230</v>
      </c>
      <c r="B65" s="353" t="s">
        <v>273</v>
      </c>
      <c r="C65" s="352">
        <v>3</v>
      </c>
      <c r="D65" s="352">
        <v>1</v>
      </c>
      <c r="E65" s="352">
        <v>1</v>
      </c>
      <c r="F65" s="249"/>
      <c r="G65" s="249"/>
      <c r="H65" s="249"/>
      <c r="I65" s="252"/>
      <c r="J65" s="252"/>
      <c r="K65" s="252"/>
      <c r="L65" s="252"/>
      <c r="M65" s="252"/>
      <c r="N65" s="252"/>
      <c r="O65" s="252"/>
      <c r="P65" s="252"/>
      <c r="Q65" s="253"/>
    </row>
    <row r="66" spans="1:17" s="3" customFormat="1" ht="25" customHeight="1" x14ac:dyDescent="0.25">
      <c r="A66" s="349" t="s">
        <v>231</v>
      </c>
      <c r="B66" s="350" t="s">
        <v>531</v>
      </c>
      <c r="C66" s="352">
        <v>3</v>
      </c>
      <c r="D66" s="352">
        <v>1</v>
      </c>
      <c r="E66" s="352">
        <v>1</v>
      </c>
      <c r="F66" s="249"/>
      <c r="G66" s="249"/>
      <c r="H66" s="249"/>
      <c r="I66" s="252"/>
      <c r="J66" s="252"/>
      <c r="K66" s="252"/>
      <c r="L66" s="252"/>
      <c r="M66" s="252"/>
      <c r="N66" s="252"/>
      <c r="O66" s="252"/>
      <c r="P66" s="252"/>
      <c r="Q66" s="253"/>
    </row>
    <row r="67" spans="1:17" s="3" customFormat="1" ht="25" customHeight="1" x14ac:dyDescent="0.25">
      <c r="A67" s="359" t="s">
        <v>148</v>
      </c>
      <c r="B67" s="360" t="s">
        <v>470</v>
      </c>
      <c r="C67" s="352"/>
      <c r="D67" s="352"/>
      <c r="E67" s="352"/>
      <c r="F67" s="249"/>
      <c r="G67" s="249"/>
      <c r="H67" s="249"/>
      <c r="I67" s="252"/>
      <c r="J67" s="252"/>
      <c r="K67" s="252"/>
      <c r="L67" s="252"/>
      <c r="M67" s="252"/>
      <c r="N67" s="252"/>
      <c r="O67" s="252"/>
      <c r="P67" s="252"/>
      <c r="Q67" s="253"/>
    </row>
    <row r="68" spans="1:17" s="3" customFormat="1" ht="25" customHeight="1" x14ac:dyDescent="0.25">
      <c r="A68" s="359"/>
      <c r="B68" s="349" t="s">
        <v>660</v>
      </c>
      <c r="C68" s="352">
        <v>15</v>
      </c>
      <c r="D68" s="352">
        <v>1</v>
      </c>
      <c r="E68" s="352">
        <v>1</v>
      </c>
      <c r="F68" s="254">
        <f t="shared" ref="F68:F82" si="6">I68+J68+K68</f>
        <v>247.5</v>
      </c>
      <c r="G68" s="249">
        <v>40</v>
      </c>
      <c r="H68" s="249">
        <f t="shared" ref="H68:H82" si="7">C68*D68*E68*G68</f>
        <v>600</v>
      </c>
      <c r="I68" s="251">
        <f t="shared" ref="I68:I82" si="8">IF(G68&lt;70, C68*E68*16.5*1, C68*E68*16.5*1.3)</f>
        <v>247.5</v>
      </c>
      <c r="J68" s="252"/>
      <c r="K68" s="252"/>
      <c r="L68" s="252"/>
      <c r="M68" s="252"/>
      <c r="N68" s="252"/>
      <c r="O68" s="252"/>
      <c r="P68" s="252"/>
      <c r="Q68" s="253"/>
    </row>
    <row r="69" spans="1:17" s="3" customFormat="1" ht="25" customHeight="1" x14ac:dyDescent="0.25">
      <c r="A69" s="349"/>
      <c r="B69" s="361" t="s">
        <v>353</v>
      </c>
      <c r="C69" s="364">
        <f>SUM(C61:C68)</f>
        <v>33</v>
      </c>
      <c r="D69" s="364">
        <f>SUM(D61:D68)</f>
        <v>7</v>
      </c>
      <c r="E69" s="364">
        <f>SUM(E61:E68)</f>
        <v>7</v>
      </c>
      <c r="F69" s="254">
        <f t="shared" si="6"/>
        <v>3811.5</v>
      </c>
      <c r="G69" s="249">
        <v>40</v>
      </c>
      <c r="H69" s="249">
        <f t="shared" si="7"/>
        <v>64680</v>
      </c>
      <c r="I69" s="251">
        <f t="shared" si="8"/>
        <v>3811.5</v>
      </c>
      <c r="J69" s="252"/>
      <c r="K69" s="252"/>
      <c r="L69" s="252"/>
      <c r="M69" s="252"/>
      <c r="N69" s="252"/>
      <c r="O69" s="252"/>
      <c r="P69" s="252"/>
      <c r="Q69" s="253"/>
    </row>
    <row r="70" spans="1:17" s="3" customFormat="1" ht="25" customHeight="1" x14ac:dyDescent="0.25">
      <c r="A70" s="385">
        <v>3</v>
      </c>
      <c r="B70" s="385" t="s">
        <v>166</v>
      </c>
      <c r="C70" s="352">
        <v>0</v>
      </c>
      <c r="D70" s="352">
        <v>0</v>
      </c>
      <c r="E70" s="352">
        <v>0</v>
      </c>
      <c r="F70" s="254">
        <f t="shared" si="6"/>
        <v>0</v>
      </c>
      <c r="G70" s="249">
        <v>40</v>
      </c>
      <c r="H70" s="249">
        <f t="shared" si="7"/>
        <v>0</v>
      </c>
      <c r="I70" s="251">
        <f t="shared" si="8"/>
        <v>0</v>
      </c>
      <c r="J70" s="252"/>
      <c r="K70" s="252"/>
      <c r="L70" s="252"/>
      <c r="M70" s="252"/>
      <c r="N70" s="252"/>
      <c r="O70" s="252"/>
      <c r="P70" s="252"/>
      <c r="Q70" s="253"/>
    </row>
    <row r="71" spans="1:17" s="3" customFormat="1" ht="25" customHeight="1" x14ac:dyDescent="0.25">
      <c r="A71" s="385" t="s">
        <v>8</v>
      </c>
      <c r="B71" s="385" t="s">
        <v>224</v>
      </c>
      <c r="C71" s="352"/>
      <c r="D71" s="352"/>
      <c r="E71" s="352"/>
      <c r="F71" s="254">
        <f t="shared" si="6"/>
        <v>0</v>
      </c>
      <c r="G71" s="249">
        <v>40</v>
      </c>
      <c r="H71" s="249">
        <f t="shared" si="7"/>
        <v>0</v>
      </c>
      <c r="I71" s="251">
        <f t="shared" si="8"/>
        <v>0</v>
      </c>
      <c r="J71" s="252"/>
      <c r="K71" s="252"/>
      <c r="L71" s="252"/>
      <c r="M71" s="252"/>
      <c r="N71" s="252"/>
      <c r="O71" s="252"/>
      <c r="P71" s="252"/>
      <c r="Q71" s="253"/>
    </row>
    <row r="72" spans="1:17" s="3" customFormat="1" ht="25" customHeight="1" x14ac:dyDescent="0.25">
      <c r="A72" s="385">
        <v>1</v>
      </c>
      <c r="B72" s="357" t="s">
        <v>225</v>
      </c>
      <c r="C72" s="352"/>
      <c r="D72" s="352"/>
      <c r="E72" s="352"/>
      <c r="F72" s="254">
        <f t="shared" si="6"/>
        <v>0</v>
      </c>
      <c r="G72" s="249">
        <v>40</v>
      </c>
      <c r="H72" s="249">
        <f t="shared" si="7"/>
        <v>0</v>
      </c>
      <c r="I72" s="251">
        <f t="shared" si="8"/>
        <v>0</v>
      </c>
      <c r="J72" s="252"/>
      <c r="K72" s="252"/>
      <c r="L72" s="252"/>
      <c r="M72" s="252"/>
      <c r="N72" s="252"/>
      <c r="O72" s="252"/>
      <c r="P72" s="252"/>
      <c r="Q72" s="253"/>
    </row>
    <row r="73" spans="1:17" s="3" customFormat="1" ht="25" customHeight="1" x14ac:dyDescent="0.25">
      <c r="A73" s="385" t="s">
        <v>147</v>
      </c>
      <c r="B73" s="357" t="s">
        <v>163</v>
      </c>
      <c r="C73" s="352"/>
      <c r="D73" s="352"/>
      <c r="E73" s="352"/>
      <c r="F73" s="254">
        <f t="shared" si="6"/>
        <v>0</v>
      </c>
      <c r="G73" s="249">
        <v>40</v>
      </c>
      <c r="H73" s="249">
        <f t="shared" si="7"/>
        <v>0</v>
      </c>
      <c r="I73" s="251">
        <f t="shared" si="8"/>
        <v>0</v>
      </c>
      <c r="J73" s="252"/>
      <c r="K73" s="252"/>
      <c r="L73" s="252"/>
      <c r="M73" s="252"/>
      <c r="N73" s="252"/>
      <c r="O73" s="252"/>
      <c r="P73" s="252"/>
      <c r="Q73" s="253"/>
    </row>
    <row r="74" spans="1:17" s="3" customFormat="1" ht="25" customHeight="1" x14ac:dyDescent="0.25">
      <c r="A74" s="354" t="s">
        <v>226</v>
      </c>
      <c r="B74" s="353" t="s">
        <v>266</v>
      </c>
      <c r="C74" s="352">
        <v>3</v>
      </c>
      <c r="D74" s="352">
        <v>1</v>
      </c>
      <c r="E74" s="352">
        <v>3</v>
      </c>
      <c r="F74" s="254">
        <f t="shared" si="6"/>
        <v>148.5</v>
      </c>
      <c r="G74" s="249">
        <v>40</v>
      </c>
      <c r="H74" s="249">
        <f t="shared" si="7"/>
        <v>360</v>
      </c>
      <c r="I74" s="251">
        <f t="shared" si="8"/>
        <v>148.5</v>
      </c>
      <c r="J74" s="252"/>
      <c r="K74" s="252"/>
      <c r="L74" s="252"/>
      <c r="M74" s="252"/>
      <c r="N74" s="252"/>
      <c r="O74" s="252"/>
      <c r="P74" s="252"/>
      <c r="Q74" s="253"/>
    </row>
    <row r="75" spans="1:17" s="3" customFormat="1" ht="25" customHeight="1" x14ac:dyDescent="0.25">
      <c r="A75" s="354" t="s">
        <v>227</v>
      </c>
      <c r="B75" s="353" t="s">
        <v>274</v>
      </c>
      <c r="C75" s="352">
        <v>5</v>
      </c>
      <c r="D75" s="352">
        <v>1</v>
      </c>
      <c r="E75" s="352">
        <v>3</v>
      </c>
      <c r="F75" s="254">
        <f t="shared" si="6"/>
        <v>247.5</v>
      </c>
      <c r="G75" s="249">
        <v>40</v>
      </c>
      <c r="H75" s="249">
        <f t="shared" si="7"/>
        <v>600</v>
      </c>
      <c r="I75" s="251">
        <f t="shared" si="8"/>
        <v>247.5</v>
      </c>
      <c r="J75" s="252"/>
      <c r="K75" s="252"/>
      <c r="L75" s="252"/>
      <c r="M75" s="252"/>
      <c r="N75" s="252"/>
      <c r="O75" s="252"/>
      <c r="P75" s="252"/>
      <c r="Q75" s="253"/>
    </row>
    <row r="76" spans="1:17" s="3" customFormat="1" ht="25" customHeight="1" x14ac:dyDescent="0.25">
      <c r="A76" s="354" t="s">
        <v>228</v>
      </c>
      <c r="B76" s="353" t="s">
        <v>275</v>
      </c>
      <c r="C76" s="352">
        <v>3</v>
      </c>
      <c r="D76" s="352">
        <v>1</v>
      </c>
      <c r="E76" s="352">
        <v>3</v>
      </c>
      <c r="F76" s="254">
        <f t="shared" si="6"/>
        <v>148.5</v>
      </c>
      <c r="G76" s="249">
        <v>40</v>
      </c>
      <c r="H76" s="249">
        <f t="shared" si="7"/>
        <v>360</v>
      </c>
      <c r="I76" s="251">
        <f t="shared" si="8"/>
        <v>148.5</v>
      </c>
      <c r="J76" s="252"/>
      <c r="K76" s="252"/>
      <c r="L76" s="252"/>
      <c r="M76" s="252"/>
      <c r="N76" s="252"/>
      <c r="O76" s="252"/>
      <c r="P76" s="252"/>
      <c r="Q76" s="253"/>
    </row>
    <row r="77" spans="1:17" s="3" customFormat="1" ht="25" customHeight="1" x14ac:dyDescent="0.25">
      <c r="A77" s="354" t="s">
        <v>229</v>
      </c>
      <c r="B77" s="353" t="s">
        <v>276</v>
      </c>
      <c r="C77" s="352">
        <v>2</v>
      </c>
      <c r="D77" s="352">
        <v>1</v>
      </c>
      <c r="E77" s="352">
        <v>3</v>
      </c>
      <c r="F77" s="254">
        <f t="shared" si="6"/>
        <v>99</v>
      </c>
      <c r="G77" s="249">
        <v>40</v>
      </c>
      <c r="H77" s="249">
        <f t="shared" si="7"/>
        <v>240</v>
      </c>
      <c r="I77" s="251">
        <f t="shared" si="8"/>
        <v>99</v>
      </c>
      <c r="J77" s="252"/>
      <c r="K77" s="252"/>
      <c r="L77" s="252"/>
      <c r="M77" s="252"/>
      <c r="N77" s="252"/>
      <c r="O77" s="252"/>
      <c r="P77" s="252"/>
      <c r="Q77" s="253"/>
    </row>
    <row r="78" spans="1:17" s="3" customFormat="1" ht="25" customHeight="1" x14ac:dyDescent="0.25">
      <c r="A78" s="354" t="s">
        <v>230</v>
      </c>
      <c r="B78" s="353" t="s">
        <v>277</v>
      </c>
      <c r="C78" s="352">
        <v>2</v>
      </c>
      <c r="D78" s="352">
        <v>1</v>
      </c>
      <c r="E78" s="352">
        <v>3</v>
      </c>
      <c r="F78" s="254">
        <f t="shared" si="6"/>
        <v>99</v>
      </c>
      <c r="G78" s="249">
        <v>40</v>
      </c>
      <c r="H78" s="249">
        <f t="shared" si="7"/>
        <v>240</v>
      </c>
      <c r="I78" s="251">
        <f t="shared" si="8"/>
        <v>99</v>
      </c>
      <c r="J78" s="252"/>
      <c r="K78" s="252"/>
      <c r="L78" s="252"/>
      <c r="M78" s="252"/>
      <c r="N78" s="252"/>
      <c r="O78" s="252"/>
      <c r="P78" s="252"/>
      <c r="Q78" s="253"/>
    </row>
    <row r="79" spans="1:17" s="3" customFormat="1" ht="25" customHeight="1" x14ac:dyDescent="0.25">
      <c r="A79" s="354" t="s">
        <v>231</v>
      </c>
      <c r="B79" s="353" t="s">
        <v>278</v>
      </c>
      <c r="C79" s="352">
        <v>5</v>
      </c>
      <c r="D79" s="352">
        <v>1</v>
      </c>
      <c r="E79" s="352">
        <v>3</v>
      </c>
      <c r="F79" s="254">
        <f t="shared" si="6"/>
        <v>247.5</v>
      </c>
      <c r="G79" s="249">
        <v>40</v>
      </c>
      <c r="H79" s="249">
        <f t="shared" si="7"/>
        <v>600</v>
      </c>
      <c r="I79" s="251">
        <f t="shared" si="8"/>
        <v>247.5</v>
      </c>
      <c r="J79" s="252"/>
      <c r="K79" s="252"/>
      <c r="L79" s="252"/>
      <c r="M79" s="252"/>
      <c r="N79" s="252"/>
      <c r="O79" s="252"/>
      <c r="P79" s="252"/>
      <c r="Q79" s="253"/>
    </row>
    <row r="80" spans="1:17" s="3" customFormat="1" ht="25" customHeight="1" x14ac:dyDescent="0.25">
      <c r="A80" s="354" t="s">
        <v>282</v>
      </c>
      <c r="B80" s="353" t="s">
        <v>279</v>
      </c>
      <c r="C80" s="352">
        <v>2</v>
      </c>
      <c r="D80" s="352">
        <v>1</v>
      </c>
      <c r="E80" s="352">
        <v>3</v>
      </c>
      <c r="F80" s="254">
        <f t="shared" si="6"/>
        <v>99</v>
      </c>
      <c r="G80" s="249">
        <v>40</v>
      </c>
      <c r="H80" s="249">
        <f t="shared" si="7"/>
        <v>240</v>
      </c>
      <c r="I80" s="251">
        <f t="shared" si="8"/>
        <v>99</v>
      </c>
      <c r="J80" s="252"/>
      <c r="K80" s="252"/>
      <c r="L80" s="252"/>
      <c r="M80" s="252"/>
      <c r="N80" s="252"/>
      <c r="O80" s="252"/>
      <c r="P80" s="252"/>
      <c r="Q80" s="253"/>
    </row>
    <row r="81" spans="1:17" s="3" customFormat="1" ht="25" customHeight="1" x14ac:dyDescent="0.25">
      <c r="A81" s="354" t="s">
        <v>283</v>
      </c>
      <c r="B81" s="350" t="s">
        <v>256</v>
      </c>
      <c r="C81" s="352">
        <v>3</v>
      </c>
      <c r="D81" s="352">
        <v>1</v>
      </c>
      <c r="E81" s="352">
        <v>5</v>
      </c>
      <c r="F81" s="254">
        <f t="shared" si="6"/>
        <v>247.5</v>
      </c>
      <c r="G81" s="249">
        <v>40</v>
      </c>
      <c r="H81" s="249">
        <f t="shared" si="7"/>
        <v>600</v>
      </c>
      <c r="I81" s="251">
        <f t="shared" si="8"/>
        <v>247.5</v>
      </c>
      <c r="J81" s="252"/>
      <c r="K81" s="252"/>
      <c r="L81" s="252"/>
      <c r="M81" s="252"/>
      <c r="N81" s="252"/>
      <c r="O81" s="252"/>
      <c r="P81" s="252"/>
      <c r="Q81" s="253"/>
    </row>
    <row r="82" spans="1:17" s="3" customFormat="1" ht="25" customHeight="1" x14ac:dyDescent="0.25">
      <c r="A82" s="354" t="s">
        <v>284</v>
      </c>
      <c r="B82" s="350" t="s">
        <v>262</v>
      </c>
      <c r="C82" s="352">
        <v>5</v>
      </c>
      <c r="D82" s="352">
        <v>1</v>
      </c>
      <c r="E82" s="352">
        <v>5</v>
      </c>
      <c r="F82" s="254">
        <f t="shared" si="6"/>
        <v>412.5</v>
      </c>
      <c r="G82" s="249">
        <v>40</v>
      </c>
      <c r="H82" s="249">
        <f t="shared" si="7"/>
        <v>1000</v>
      </c>
      <c r="I82" s="251">
        <f t="shared" si="8"/>
        <v>412.5</v>
      </c>
      <c r="J82" s="252"/>
      <c r="K82" s="252"/>
      <c r="L82" s="252"/>
      <c r="M82" s="252"/>
      <c r="N82" s="252"/>
      <c r="O82" s="252"/>
      <c r="P82" s="252"/>
      <c r="Q82" s="253"/>
    </row>
    <row r="83" spans="1:17" s="3" customFormat="1" ht="25" customHeight="1" x14ac:dyDescent="0.25">
      <c r="A83" s="354" t="s">
        <v>285</v>
      </c>
      <c r="B83" s="350" t="s">
        <v>280</v>
      </c>
      <c r="C83" s="352">
        <v>2</v>
      </c>
      <c r="D83" s="352">
        <v>1</v>
      </c>
      <c r="E83" s="352">
        <v>5</v>
      </c>
      <c r="F83" s="249">
        <f>SUM(F68:F82)</f>
        <v>5808</v>
      </c>
      <c r="G83" s="246">
        <f>SUM(G68:G82)</f>
        <v>600</v>
      </c>
      <c r="H83" s="246">
        <f>SUM(H68:H82)</f>
        <v>69520</v>
      </c>
      <c r="I83" s="246">
        <f>SUM(I68:I82)</f>
        <v>5808</v>
      </c>
      <c r="J83" s="252"/>
      <c r="K83" s="252"/>
      <c r="L83" s="252"/>
      <c r="M83" s="252"/>
      <c r="N83" s="252"/>
      <c r="O83" s="252"/>
      <c r="P83" s="252"/>
      <c r="Q83" s="253"/>
    </row>
    <row r="84" spans="1:17" s="3" customFormat="1" ht="25" customHeight="1" x14ac:dyDescent="0.25">
      <c r="A84" s="354" t="s">
        <v>286</v>
      </c>
      <c r="B84" s="353" t="s">
        <v>281</v>
      </c>
      <c r="C84" s="352">
        <v>5</v>
      </c>
      <c r="D84" s="352">
        <v>1</v>
      </c>
      <c r="E84" s="352">
        <v>5</v>
      </c>
      <c r="F84" s="249">
        <v>0</v>
      </c>
      <c r="G84" s="249">
        <v>0</v>
      </c>
      <c r="H84" s="249">
        <v>0</v>
      </c>
      <c r="I84" s="249">
        <v>0</v>
      </c>
      <c r="J84" s="252"/>
      <c r="K84" s="252"/>
      <c r="L84" s="252"/>
      <c r="M84" s="252"/>
      <c r="N84" s="252"/>
      <c r="O84" s="252"/>
      <c r="P84" s="252"/>
      <c r="Q84" s="253"/>
    </row>
    <row r="85" spans="1:17" s="3" customFormat="1" ht="25" customHeight="1" x14ac:dyDescent="0.25">
      <c r="A85" s="354" t="s">
        <v>289</v>
      </c>
      <c r="B85" s="350" t="s">
        <v>287</v>
      </c>
      <c r="C85" s="352">
        <v>3</v>
      </c>
      <c r="D85" s="352">
        <v>1</v>
      </c>
      <c r="E85" s="352">
        <v>3</v>
      </c>
      <c r="F85" s="316">
        <f>F48+F63+F83</f>
        <v>12741.8</v>
      </c>
      <c r="G85" s="260">
        <f>G48+G63+G83</f>
        <v>2437</v>
      </c>
      <c r="H85" s="260">
        <f>H48+H63+H83</f>
        <v>85906.8</v>
      </c>
      <c r="I85" s="260">
        <f>I48+I63+I83</f>
        <v>12741.8</v>
      </c>
      <c r="J85" s="261">
        <v>0</v>
      </c>
      <c r="K85" s="261">
        <v>0</v>
      </c>
      <c r="L85" s="262">
        <f>'Bieu3 GDTH'!F24</f>
        <v>2632</v>
      </c>
      <c r="M85" s="263">
        <f>'Bieu3 GDTH'!N24</f>
        <v>2402.5</v>
      </c>
      <c r="N85" s="263">
        <f>I85-M85</f>
        <v>10339.299999999999</v>
      </c>
      <c r="O85" s="264">
        <f>'Bieu3 GDTH'!O24</f>
        <v>1422.25</v>
      </c>
      <c r="P85" s="264">
        <f>'Bieu3 GDTH'!P24</f>
        <v>780</v>
      </c>
      <c r="Q85" s="265"/>
    </row>
    <row r="86" spans="1:17" s="3" customFormat="1" ht="25" customHeight="1" x14ac:dyDescent="0.25">
      <c r="A86" s="354" t="s">
        <v>290</v>
      </c>
      <c r="B86" s="350" t="s">
        <v>265</v>
      </c>
      <c r="C86" s="352">
        <v>3</v>
      </c>
      <c r="D86" s="352">
        <v>1</v>
      </c>
      <c r="E86" s="352">
        <v>3</v>
      </c>
      <c r="F86" s="366"/>
      <c r="G86" s="365"/>
      <c r="H86" s="365"/>
      <c r="I86" s="365"/>
      <c r="J86" s="367"/>
      <c r="K86" s="367"/>
      <c r="L86" s="368"/>
      <c r="M86" s="369"/>
      <c r="N86" s="369"/>
      <c r="O86" s="370"/>
      <c r="P86" s="370"/>
      <c r="Q86" s="371"/>
    </row>
    <row r="87" spans="1:17" s="3" customFormat="1" ht="25" customHeight="1" x14ac:dyDescent="0.25">
      <c r="A87" s="354" t="s">
        <v>291</v>
      </c>
      <c r="B87" s="350" t="s">
        <v>288</v>
      </c>
      <c r="C87" s="352">
        <v>5</v>
      </c>
      <c r="D87" s="352">
        <v>1</v>
      </c>
      <c r="E87" s="352">
        <v>3</v>
      </c>
      <c r="F87" s="366"/>
      <c r="G87" s="365"/>
      <c r="H87" s="365"/>
      <c r="I87" s="365"/>
      <c r="J87" s="367"/>
      <c r="K87" s="367"/>
      <c r="L87" s="368"/>
      <c r="M87" s="369"/>
      <c r="N87" s="369"/>
      <c r="O87" s="370"/>
      <c r="P87" s="370"/>
      <c r="Q87" s="371"/>
    </row>
    <row r="88" spans="1:17" s="3" customFormat="1" ht="25" customHeight="1" x14ac:dyDescent="0.25">
      <c r="A88" s="354" t="s">
        <v>292</v>
      </c>
      <c r="B88" s="350" t="s">
        <v>263</v>
      </c>
      <c r="C88" s="352">
        <v>3</v>
      </c>
      <c r="D88" s="352">
        <v>1</v>
      </c>
      <c r="E88" s="352">
        <v>3</v>
      </c>
      <c r="F88" s="366"/>
      <c r="G88" s="365"/>
      <c r="H88" s="365"/>
      <c r="I88" s="365"/>
      <c r="J88" s="367"/>
      <c r="K88" s="367"/>
      <c r="L88" s="368"/>
      <c r="M88" s="369"/>
      <c r="N88" s="369"/>
      <c r="O88" s="370"/>
      <c r="P88" s="370"/>
      <c r="Q88" s="371"/>
    </row>
    <row r="89" spans="1:17" s="3" customFormat="1" ht="25" customHeight="1" x14ac:dyDescent="0.25">
      <c r="A89" s="386"/>
      <c r="B89" s="361" t="s">
        <v>353</v>
      </c>
      <c r="C89" s="364">
        <f>SUM(C74:C88)</f>
        <v>51</v>
      </c>
      <c r="D89" s="364">
        <f>SUM(D74:D88)</f>
        <v>15</v>
      </c>
      <c r="E89" s="364">
        <f>SUM(E74:E88)</f>
        <v>53</v>
      </c>
      <c r="F89" s="366"/>
      <c r="G89" s="365"/>
      <c r="H89" s="365"/>
      <c r="I89" s="365"/>
      <c r="J89" s="367"/>
      <c r="K89" s="367"/>
      <c r="L89" s="368"/>
      <c r="M89" s="369"/>
      <c r="N89" s="369"/>
      <c r="O89" s="370"/>
      <c r="P89" s="370"/>
      <c r="Q89" s="371"/>
    </row>
    <row r="90" spans="1:17" s="3" customFormat="1" ht="25" customHeight="1" x14ac:dyDescent="0.25">
      <c r="A90" s="385">
        <v>2</v>
      </c>
      <c r="B90" s="385" t="s">
        <v>85</v>
      </c>
      <c r="C90" s="352">
        <v>0</v>
      </c>
      <c r="D90" s="352">
        <v>0</v>
      </c>
      <c r="E90" s="352">
        <v>0</v>
      </c>
      <c r="F90" s="366"/>
      <c r="G90" s="365"/>
      <c r="H90" s="365"/>
      <c r="I90" s="365"/>
      <c r="J90" s="367"/>
      <c r="K90" s="367"/>
      <c r="L90" s="368"/>
      <c r="M90" s="369"/>
      <c r="N90" s="369"/>
      <c r="O90" s="370"/>
      <c r="P90" s="370"/>
      <c r="Q90" s="371"/>
    </row>
    <row r="91" spans="1:17" s="3" customFormat="1" ht="25" customHeight="1" x14ac:dyDescent="0.25">
      <c r="A91" s="387"/>
      <c r="B91" s="387" t="s">
        <v>374</v>
      </c>
      <c r="C91" s="388">
        <f>C54+C69+C89</f>
        <v>191</v>
      </c>
      <c r="D91" s="388">
        <f>D54+D69+D89</f>
        <v>65.66</v>
      </c>
      <c r="E91" s="388">
        <f>E54+E69+E89</f>
        <v>206</v>
      </c>
      <c r="F91" s="366"/>
      <c r="G91" s="365"/>
      <c r="H91" s="365"/>
      <c r="I91" s="365"/>
      <c r="J91" s="367"/>
      <c r="K91" s="367"/>
      <c r="L91" s="368"/>
      <c r="M91" s="369"/>
      <c r="N91" s="369"/>
      <c r="O91" s="370"/>
      <c r="P91" s="370"/>
      <c r="Q91" s="371"/>
    </row>
    <row r="92" spans="1:17" s="3" customFormat="1" ht="25" customHeight="1" x14ac:dyDescent="0.25">
      <c r="A92" s="242" t="s">
        <v>19</v>
      </c>
      <c r="B92" s="242" t="s">
        <v>375</v>
      </c>
      <c r="C92" s="249"/>
      <c r="D92" s="249"/>
      <c r="E92" s="249"/>
      <c r="F92" s="249"/>
      <c r="G92" s="249"/>
      <c r="H92" s="249"/>
      <c r="I92" s="252"/>
      <c r="J92" s="252"/>
      <c r="K92" s="252"/>
      <c r="L92" s="252"/>
      <c r="M92" s="252"/>
      <c r="N92" s="252"/>
      <c r="O92" s="252"/>
      <c r="P92" s="252"/>
      <c r="Q92" s="253"/>
    </row>
    <row r="93" spans="1:17" s="3" customFormat="1" ht="25" customHeight="1" x14ac:dyDescent="0.25">
      <c r="A93" s="266" t="s">
        <v>377</v>
      </c>
      <c r="B93" s="266" t="s">
        <v>378</v>
      </c>
      <c r="C93" s="249"/>
      <c r="D93" s="249"/>
      <c r="E93" s="249"/>
      <c r="F93" s="249"/>
      <c r="G93" s="249"/>
      <c r="H93" s="249"/>
      <c r="I93" s="252"/>
      <c r="J93" s="252"/>
      <c r="K93" s="252"/>
      <c r="L93" s="252"/>
      <c r="M93" s="252"/>
      <c r="N93" s="252"/>
      <c r="O93" s="252"/>
      <c r="P93" s="252"/>
      <c r="Q93" s="253"/>
    </row>
    <row r="94" spans="1:17" s="3" customFormat="1" ht="25" customHeight="1" x14ac:dyDescent="0.25">
      <c r="A94" s="266">
        <v>1</v>
      </c>
      <c r="B94" s="266" t="s">
        <v>379</v>
      </c>
      <c r="C94" s="249"/>
      <c r="D94" s="249"/>
      <c r="E94" s="249"/>
      <c r="F94" s="249"/>
      <c r="G94" s="249"/>
      <c r="H94" s="249"/>
      <c r="I94" s="252"/>
      <c r="J94" s="252"/>
      <c r="K94" s="252"/>
      <c r="L94" s="252"/>
      <c r="M94" s="252"/>
      <c r="N94" s="252"/>
      <c r="O94" s="252"/>
      <c r="P94" s="252"/>
      <c r="Q94" s="253"/>
    </row>
    <row r="95" spans="1:17" s="3" customFormat="1" ht="25" customHeight="1" x14ac:dyDescent="0.25">
      <c r="A95" s="267" t="s">
        <v>147</v>
      </c>
      <c r="B95" s="268" t="s">
        <v>161</v>
      </c>
      <c r="C95" s="249"/>
      <c r="D95" s="249"/>
      <c r="E95" s="249"/>
      <c r="F95" s="249"/>
      <c r="G95" s="249"/>
      <c r="H95" s="249"/>
      <c r="I95" s="252"/>
      <c r="J95" s="252"/>
      <c r="K95" s="252"/>
      <c r="L95" s="252"/>
      <c r="M95" s="252"/>
      <c r="N95" s="252"/>
      <c r="O95" s="252"/>
      <c r="P95" s="252"/>
      <c r="Q95" s="253"/>
    </row>
    <row r="96" spans="1:17" s="3" customFormat="1" ht="25" customHeight="1" x14ac:dyDescent="0.25">
      <c r="A96" s="349" t="s">
        <v>226</v>
      </c>
      <c r="B96" s="350" t="s">
        <v>597</v>
      </c>
      <c r="C96" s="351">
        <v>3</v>
      </c>
      <c r="D96" s="351">
        <v>1</v>
      </c>
      <c r="E96" s="351">
        <v>3</v>
      </c>
      <c r="F96" s="254">
        <f t="shared" ref="F96:F119" si="9">I96+J96+K96</f>
        <v>148.5</v>
      </c>
      <c r="G96" s="269">
        <v>60</v>
      </c>
      <c r="H96" s="249">
        <f t="shared" ref="H96:H118" si="10">C96*D96*E96*G96</f>
        <v>540</v>
      </c>
      <c r="I96" s="251">
        <f t="shared" ref="I96:I110" si="11">IF(G96&lt;70, C96*E96*16.5*1, C96*E96*16.5*1.3)</f>
        <v>148.5</v>
      </c>
      <c r="J96" s="270"/>
      <c r="K96" s="270"/>
      <c r="L96" s="252"/>
      <c r="M96" s="252"/>
      <c r="N96" s="252"/>
      <c r="O96" s="252"/>
      <c r="P96" s="252"/>
      <c r="Q96" s="253"/>
    </row>
    <row r="97" spans="1:17" s="3" customFormat="1" ht="25" customHeight="1" x14ac:dyDescent="0.25">
      <c r="A97" s="349" t="s">
        <v>227</v>
      </c>
      <c r="B97" s="350" t="s">
        <v>598</v>
      </c>
      <c r="C97" s="351">
        <v>4</v>
      </c>
      <c r="D97" s="351">
        <v>1.3</v>
      </c>
      <c r="E97" s="351">
        <v>3</v>
      </c>
      <c r="F97" s="254">
        <f t="shared" si="9"/>
        <v>257.40000000000003</v>
      </c>
      <c r="G97" s="269">
        <v>70</v>
      </c>
      <c r="H97" s="249">
        <f t="shared" si="10"/>
        <v>1092</v>
      </c>
      <c r="I97" s="251">
        <f t="shared" si="11"/>
        <v>257.40000000000003</v>
      </c>
      <c r="J97" s="270"/>
      <c r="K97" s="270"/>
      <c r="L97" s="252"/>
      <c r="M97" s="252"/>
      <c r="N97" s="252"/>
      <c r="O97" s="252"/>
      <c r="P97" s="252"/>
      <c r="Q97" s="253"/>
    </row>
    <row r="98" spans="1:17" s="3" customFormat="1" ht="25" customHeight="1" x14ac:dyDescent="0.25">
      <c r="A98" s="349" t="s">
        <v>228</v>
      </c>
      <c r="B98" s="350" t="s">
        <v>599</v>
      </c>
      <c r="C98" s="351">
        <v>1</v>
      </c>
      <c r="D98" s="351">
        <v>1.3</v>
      </c>
      <c r="E98" s="351">
        <v>8</v>
      </c>
      <c r="F98" s="254">
        <f t="shared" si="9"/>
        <v>132</v>
      </c>
      <c r="G98" s="269">
        <v>20</v>
      </c>
      <c r="H98" s="249">
        <f t="shared" si="10"/>
        <v>208</v>
      </c>
      <c r="I98" s="251">
        <f t="shared" si="11"/>
        <v>132</v>
      </c>
      <c r="J98" s="270"/>
      <c r="K98" s="270"/>
      <c r="L98" s="252"/>
      <c r="M98" s="252"/>
      <c r="N98" s="252"/>
      <c r="O98" s="252"/>
      <c r="P98" s="252"/>
      <c r="Q98" s="253"/>
    </row>
    <row r="99" spans="1:17" s="3" customFormat="1" ht="25" customHeight="1" x14ac:dyDescent="0.25">
      <c r="A99" s="349" t="s">
        <v>228</v>
      </c>
      <c r="B99" s="350" t="s">
        <v>600</v>
      </c>
      <c r="C99" s="351">
        <v>1</v>
      </c>
      <c r="D99" s="351">
        <v>1.3</v>
      </c>
      <c r="E99" s="351">
        <v>8</v>
      </c>
      <c r="F99" s="254">
        <f t="shared" si="9"/>
        <v>132</v>
      </c>
      <c r="G99" s="269">
        <v>20</v>
      </c>
      <c r="H99" s="249">
        <f t="shared" si="10"/>
        <v>208</v>
      </c>
      <c r="I99" s="251">
        <f t="shared" si="11"/>
        <v>132</v>
      </c>
      <c r="J99" s="270"/>
      <c r="K99" s="270"/>
      <c r="L99" s="252"/>
      <c r="M99" s="252"/>
      <c r="N99" s="252"/>
      <c r="O99" s="252"/>
      <c r="P99" s="252"/>
      <c r="Q99" s="253"/>
    </row>
    <row r="100" spans="1:17" s="3" customFormat="1" ht="25" customHeight="1" x14ac:dyDescent="0.25">
      <c r="A100" s="349" t="s">
        <v>229</v>
      </c>
      <c r="B100" s="350" t="s">
        <v>601</v>
      </c>
      <c r="C100" s="351">
        <v>1</v>
      </c>
      <c r="D100" s="351">
        <v>1.3</v>
      </c>
      <c r="E100" s="351">
        <v>7</v>
      </c>
      <c r="F100" s="254">
        <f t="shared" si="9"/>
        <v>115.5</v>
      </c>
      <c r="G100" s="269">
        <v>60</v>
      </c>
      <c r="H100" s="249">
        <f t="shared" si="10"/>
        <v>546</v>
      </c>
      <c r="I100" s="251">
        <f t="shared" si="11"/>
        <v>115.5</v>
      </c>
      <c r="J100" s="270"/>
      <c r="K100" s="270"/>
      <c r="L100" s="252"/>
      <c r="M100" s="252"/>
      <c r="N100" s="252"/>
      <c r="O100" s="252"/>
      <c r="P100" s="252"/>
      <c r="Q100" s="253"/>
    </row>
    <row r="101" spans="1:17" s="3" customFormat="1" ht="25" customHeight="1" x14ac:dyDescent="0.25">
      <c r="A101" s="349" t="s">
        <v>230</v>
      </c>
      <c r="B101" s="350" t="s">
        <v>385</v>
      </c>
      <c r="C101" s="351">
        <v>4</v>
      </c>
      <c r="D101" s="351">
        <v>1</v>
      </c>
      <c r="E101" s="351">
        <v>3</v>
      </c>
      <c r="F101" s="254">
        <f t="shared" si="9"/>
        <v>198</v>
      </c>
      <c r="G101" s="269">
        <v>25</v>
      </c>
      <c r="H101" s="249">
        <f t="shared" si="10"/>
        <v>300</v>
      </c>
      <c r="I101" s="251">
        <f t="shared" si="11"/>
        <v>198</v>
      </c>
      <c r="J101" s="270"/>
      <c r="K101" s="270"/>
      <c r="L101" s="252"/>
      <c r="M101" s="252"/>
      <c r="N101" s="252"/>
      <c r="O101" s="252"/>
      <c r="P101" s="252"/>
      <c r="Q101" s="253"/>
    </row>
    <row r="102" spans="1:17" s="3" customFormat="1" ht="25" customHeight="1" x14ac:dyDescent="0.25">
      <c r="A102" s="349" t="s">
        <v>282</v>
      </c>
      <c r="B102" s="350" t="s">
        <v>602</v>
      </c>
      <c r="C102" s="351">
        <v>2</v>
      </c>
      <c r="D102" s="351">
        <v>1</v>
      </c>
      <c r="E102" s="351">
        <v>3</v>
      </c>
      <c r="F102" s="254">
        <f t="shared" si="9"/>
        <v>128.70000000000002</v>
      </c>
      <c r="G102" s="269">
        <v>70</v>
      </c>
      <c r="H102" s="249">
        <f t="shared" si="10"/>
        <v>420</v>
      </c>
      <c r="I102" s="251">
        <f t="shared" si="11"/>
        <v>128.70000000000002</v>
      </c>
      <c r="J102" s="270"/>
      <c r="K102" s="270"/>
      <c r="L102" s="252"/>
      <c r="M102" s="252"/>
      <c r="N102" s="252"/>
      <c r="O102" s="252"/>
      <c r="P102" s="252"/>
      <c r="Q102" s="253"/>
    </row>
    <row r="103" spans="1:17" s="3" customFormat="1" ht="25" customHeight="1" x14ac:dyDescent="0.25">
      <c r="A103" s="349" t="s">
        <v>283</v>
      </c>
      <c r="B103" s="350" t="s">
        <v>603</v>
      </c>
      <c r="C103" s="351">
        <v>3</v>
      </c>
      <c r="D103" s="351">
        <v>1</v>
      </c>
      <c r="E103" s="351">
        <v>2</v>
      </c>
      <c r="F103" s="254">
        <f t="shared" si="9"/>
        <v>99</v>
      </c>
      <c r="G103" s="269">
        <v>60</v>
      </c>
      <c r="H103" s="249">
        <f t="shared" si="10"/>
        <v>360</v>
      </c>
      <c r="I103" s="251">
        <f t="shared" si="11"/>
        <v>99</v>
      </c>
      <c r="J103" s="270"/>
      <c r="K103" s="270"/>
      <c r="L103" s="252"/>
      <c r="M103" s="252"/>
      <c r="N103" s="252"/>
      <c r="O103" s="252"/>
      <c r="P103" s="252"/>
      <c r="Q103" s="253"/>
    </row>
    <row r="104" spans="1:17" s="3" customFormat="1" ht="25" customHeight="1" x14ac:dyDescent="0.25">
      <c r="A104" s="349" t="s">
        <v>284</v>
      </c>
      <c r="B104" s="350" t="s">
        <v>604</v>
      </c>
      <c r="C104" s="351">
        <v>3</v>
      </c>
      <c r="D104" s="351">
        <v>1.1000000000000001</v>
      </c>
      <c r="E104" s="351">
        <v>3</v>
      </c>
      <c r="F104" s="254">
        <f t="shared" si="9"/>
        <v>193.05</v>
      </c>
      <c r="G104" s="269">
        <v>70</v>
      </c>
      <c r="H104" s="249">
        <f t="shared" si="10"/>
        <v>693</v>
      </c>
      <c r="I104" s="251">
        <f t="shared" si="11"/>
        <v>193.05</v>
      </c>
      <c r="J104" s="270"/>
      <c r="K104" s="270"/>
      <c r="L104" s="252"/>
      <c r="M104" s="252"/>
      <c r="N104" s="252"/>
      <c r="O104" s="252"/>
      <c r="P104" s="252"/>
      <c r="Q104" s="253"/>
    </row>
    <row r="105" spans="1:17" s="3" customFormat="1" ht="25" customHeight="1" x14ac:dyDescent="0.25">
      <c r="A105" s="349" t="s">
        <v>285</v>
      </c>
      <c r="B105" s="350" t="s">
        <v>605</v>
      </c>
      <c r="C105" s="352">
        <v>3</v>
      </c>
      <c r="D105" s="352">
        <v>1</v>
      </c>
      <c r="E105" s="352">
        <v>2</v>
      </c>
      <c r="F105" s="254">
        <f t="shared" si="9"/>
        <v>128.70000000000002</v>
      </c>
      <c r="G105" s="271">
        <v>70</v>
      </c>
      <c r="H105" s="249">
        <f t="shared" si="10"/>
        <v>420</v>
      </c>
      <c r="I105" s="251">
        <f t="shared" si="11"/>
        <v>128.70000000000002</v>
      </c>
      <c r="J105" s="270"/>
      <c r="K105" s="270"/>
      <c r="L105" s="252"/>
      <c r="M105" s="252"/>
      <c r="N105" s="252"/>
      <c r="O105" s="252"/>
      <c r="P105" s="252"/>
      <c r="Q105" s="253"/>
    </row>
    <row r="106" spans="1:17" s="3" customFormat="1" ht="25" customHeight="1" x14ac:dyDescent="0.25">
      <c r="A106" s="349" t="s">
        <v>286</v>
      </c>
      <c r="B106" s="350" t="s">
        <v>606</v>
      </c>
      <c r="C106" s="352">
        <v>4</v>
      </c>
      <c r="D106" s="352">
        <v>1</v>
      </c>
      <c r="E106" s="352">
        <v>3</v>
      </c>
      <c r="F106" s="254">
        <f t="shared" si="9"/>
        <v>257.40000000000003</v>
      </c>
      <c r="G106" s="271">
        <v>70</v>
      </c>
      <c r="H106" s="249">
        <f t="shared" si="10"/>
        <v>840</v>
      </c>
      <c r="I106" s="251">
        <f t="shared" si="11"/>
        <v>257.40000000000003</v>
      </c>
      <c r="J106" s="270"/>
      <c r="K106" s="270"/>
      <c r="L106" s="252"/>
      <c r="M106" s="252"/>
      <c r="N106" s="252"/>
      <c r="O106" s="252"/>
      <c r="P106" s="252"/>
      <c r="Q106" s="253"/>
    </row>
    <row r="107" spans="1:17" s="3" customFormat="1" ht="25" customHeight="1" x14ac:dyDescent="0.25">
      <c r="A107" s="349" t="s">
        <v>289</v>
      </c>
      <c r="B107" s="350" t="s">
        <v>607</v>
      </c>
      <c r="C107" s="352">
        <v>2</v>
      </c>
      <c r="D107" s="352">
        <v>1.3</v>
      </c>
      <c r="E107" s="352">
        <v>6</v>
      </c>
      <c r="F107" s="254">
        <f t="shared" si="9"/>
        <v>198</v>
      </c>
      <c r="G107" s="271">
        <v>25</v>
      </c>
      <c r="H107" s="249">
        <f t="shared" si="10"/>
        <v>390.00000000000006</v>
      </c>
      <c r="I107" s="251">
        <f t="shared" si="11"/>
        <v>198</v>
      </c>
      <c r="J107" s="270"/>
      <c r="K107" s="270"/>
      <c r="L107" s="252"/>
      <c r="M107" s="252"/>
      <c r="N107" s="252"/>
      <c r="O107" s="252"/>
      <c r="P107" s="252"/>
      <c r="Q107" s="253"/>
    </row>
    <row r="108" spans="1:17" s="3" customFormat="1" ht="25" customHeight="1" x14ac:dyDescent="0.25">
      <c r="A108" s="349" t="s">
        <v>290</v>
      </c>
      <c r="B108" s="350" t="s">
        <v>608</v>
      </c>
      <c r="C108" s="352">
        <v>3</v>
      </c>
      <c r="D108" s="352">
        <v>1</v>
      </c>
      <c r="E108" s="352">
        <v>2</v>
      </c>
      <c r="F108" s="254">
        <f t="shared" si="9"/>
        <v>128.70000000000002</v>
      </c>
      <c r="G108" s="271">
        <v>70</v>
      </c>
      <c r="H108" s="249">
        <f t="shared" si="10"/>
        <v>420</v>
      </c>
      <c r="I108" s="251">
        <f t="shared" si="11"/>
        <v>128.70000000000002</v>
      </c>
      <c r="J108" s="270"/>
      <c r="K108" s="270"/>
      <c r="L108" s="252"/>
      <c r="M108" s="252"/>
      <c r="N108" s="252"/>
      <c r="O108" s="252"/>
      <c r="P108" s="252"/>
      <c r="Q108" s="253"/>
    </row>
    <row r="109" spans="1:17" s="3" customFormat="1" ht="25" customHeight="1" x14ac:dyDescent="0.25">
      <c r="A109" s="349" t="s">
        <v>291</v>
      </c>
      <c r="B109" s="350" t="s">
        <v>499</v>
      </c>
      <c r="C109" s="352">
        <v>2</v>
      </c>
      <c r="D109" s="352">
        <v>1</v>
      </c>
      <c r="E109" s="352">
        <v>1</v>
      </c>
      <c r="F109" s="254">
        <f t="shared" si="9"/>
        <v>33</v>
      </c>
      <c r="G109" s="271">
        <v>40</v>
      </c>
      <c r="H109" s="249">
        <f t="shared" si="10"/>
        <v>80</v>
      </c>
      <c r="I109" s="251">
        <f t="shared" si="11"/>
        <v>33</v>
      </c>
      <c r="J109" s="270"/>
      <c r="K109" s="270"/>
      <c r="L109" s="252"/>
      <c r="M109" s="252"/>
      <c r="N109" s="252"/>
      <c r="O109" s="252"/>
      <c r="P109" s="252"/>
      <c r="Q109" s="253"/>
    </row>
    <row r="110" spans="1:17" s="3" customFormat="1" ht="25" customHeight="1" x14ac:dyDescent="0.25">
      <c r="A110" s="349" t="s">
        <v>292</v>
      </c>
      <c r="B110" s="353" t="s">
        <v>609</v>
      </c>
      <c r="C110" s="352">
        <v>4</v>
      </c>
      <c r="D110" s="352">
        <v>1</v>
      </c>
      <c r="E110" s="352">
        <v>3</v>
      </c>
      <c r="F110" s="254">
        <f t="shared" si="9"/>
        <v>257.40000000000003</v>
      </c>
      <c r="G110" s="271">
        <v>70</v>
      </c>
      <c r="H110" s="249">
        <f t="shared" si="10"/>
        <v>840</v>
      </c>
      <c r="I110" s="251">
        <f t="shared" si="11"/>
        <v>257.40000000000003</v>
      </c>
      <c r="J110" s="246">
        <v>0</v>
      </c>
      <c r="K110" s="246">
        <v>0</v>
      </c>
      <c r="L110" s="252"/>
      <c r="M110" s="252"/>
      <c r="N110" s="252"/>
      <c r="O110" s="252"/>
      <c r="P110" s="252"/>
      <c r="Q110" s="253"/>
    </row>
    <row r="111" spans="1:17" s="3" customFormat="1" ht="25" customHeight="1" x14ac:dyDescent="0.25">
      <c r="A111" s="349" t="s">
        <v>395</v>
      </c>
      <c r="B111" s="353" t="s">
        <v>610</v>
      </c>
      <c r="C111" s="352">
        <v>3</v>
      </c>
      <c r="D111" s="352">
        <v>1.2</v>
      </c>
      <c r="E111" s="352">
        <v>2</v>
      </c>
      <c r="F111" s="254">
        <f t="shared" si="9"/>
        <v>30</v>
      </c>
      <c r="G111" s="271">
        <v>25</v>
      </c>
      <c r="H111" s="249">
        <f t="shared" si="10"/>
        <v>179.99999999999997</v>
      </c>
      <c r="I111" s="251">
        <f>E111*15</f>
        <v>30</v>
      </c>
      <c r="J111" s="252"/>
      <c r="K111" s="252"/>
      <c r="L111" s="252"/>
      <c r="M111" s="252"/>
      <c r="N111" s="252"/>
      <c r="O111" s="252"/>
      <c r="P111" s="252"/>
      <c r="Q111" s="253"/>
    </row>
    <row r="112" spans="1:17" s="3" customFormat="1" ht="25" customHeight="1" x14ac:dyDescent="0.25">
      <c r="A112" s="349" t="s">
        <v>396</v>
      </c>
      <c r="B112" s="353" t="s">
        <v>611</v>
      </c>
      <c r="C112" s="352">
        <v>4</v>
      </c>
      <c r="D112" s="352">
        <v>1</v>
      </c>
      <c r="E112" s="352">
        <v>3</v>
      </c>
      <c r="F112" s="254">
        <f t="shared" si="9"/>
        <v>198</v>
      </c>
      <c r="G112" s="271">
        <v>25</v>
      </c>
      <c r="H112" s="249">
        <f t="shared" si="10"/>
        <v>300</v>
      </c>
      <c r="I112" s="250"/>
      <c r="J112" s="251">
        <f>IF(G112&lt;70, C112*E112*16.5*1, C112*E112*16.5*1.3)</f>
        <v>198</v>
      </c>
      <c r="K112" s="252"/>
      <c r="L112" s="252"/>
      <c r="M112" s="252"/>
      <c r="N112" s="252"/>
      <c r="O112" s="252"/>
      <c r="P112" s="252"/>
      <c r="Q112" s="253"/>
    </row>
    <row r="113" spans="1:17" s="3" customFormat="1" ht="25" customHeight="1" x14ac:dyDescent="0.25">
      <c r="A113" s="349" t="s">
        <v>397</v>
      </c>
      <c r="B113" s="353" t="s">
        <v>612</v>
      </c>
      <c r="C113" s="352">
        <v>4</v>
      </c>
      <c r="D113" s="352">
        <v>1</v>
      </c>
      <c r="E113" s="352">
        <v>3</v>
      </c>
      <c r="F113" s="254">
        <f t="shared" si="9"/>
        <v>257.40000000000003</v>
      </c>
      <c r="G113" s="271">
        <v>70</v>
      </c>
      <c r="H113" s="249">
        <f t="shared" si="10"/>
        <v>840</v>
      </c>
      <c r="I113" s="251">
        <f>IF(G113&lt;70, C113*E113*16.5*1, C113*E113*16.5*1.3)</f>
        <v>257.40000000000003</v>
      </c>
      <c r="J113" s="252"/>
      <c r="K113" s="252"/>
      <c r="L113" s="252"/>
      <c r="M113" s="252"/>
      <c r="N113" s="252"/>
      <c r="O113" s="252"/>
      <c r="P113" s="252"/>
      <c r="Q113" s="253"/>
    </row>
    <row r="114" spans="1:17" s="3" customFormat="1" ht="25" customHeight="1" x14ac:dyDescent="0.25">
      <c r="A114" s="349" t="s">
        <v>398</v>
      </c>
      <c r="B114" s="353" t="s">
        <v>376</v>
      </c>
      <c r="C114" s="352">
        <v>2</v>
      </c>
      <c r="D114" s="352">
        <v>1.3</v>
      </c>
      <c r="E114" s="352">
        <v>2</v>
      </c>
      <c r="F114" s="254">
        <f t="shared" si="9"/>
        <v>85.8</v>
      </c>
      <c r="G114" s="271">
        <v>70</v>
      </c>
      <c r="H114" s="249">
        <f t="shared" si="10"/>
        <v>364</v>
      </c>
      <c r="I114" s="251">
        <f t="shared" ref="I114:I119" si="12">IF(G114&lt;70, C114*E114*16.5*1, C114*E114*16.5*1.3)</f>
        <v>85.8</v>
      </c>
      <c r="J114" s="252"/>
      <c r="K114" s="252"/>
      <c r="L114" s="252"/>
      <c r="M114" s="252"/>
      <c r="N114" s="252"/>
      <c r="O114" s="252"/>
      <c r="P114" s="252"/>
      <c r="Q114" s="253"/>
    </row>
    <row r="115" spans="1:17" s="3" customFormat="1" ht="25" customHeight="1" x14ac:dyDescent="0.25">
      <c r="A115" s="349" t="s">
        <v>399</v>
      </c>
      <c r="B115" s="353" t="s">
        <v>613</v>
      </c>
      <c r="C115" s="352">
        <v>4</v>
      </c>
      <c r="D115" s="352">
        <v>1.3</v>
      </c>
      <c r="E115" s="352">
        <v>3</v>
      </c>
      <c r="F115" s="254">
        <f t="shared" si="9"/>
        <v>257.40000000000003</v>
      </c>
      <c r="G115" s="271">
        <v>70</v>
      </c>
      <c r="H115" s="249">
        <f t="shared" si="10"/>
        <v>1092</v>
      </c>
      <c r="I115" s="251">
        <f t="shared" si="12"/>
        <v>257.40000000000003</v>
      </c>
      <c r="J115" s="252"/>
      <c r="K115" s="252"/>
      <c r="L115" s="252"/>
      <c r="M115" s="252"/>
      <c r="N115" s="252"/>
      <c r="O115" s="252"/>
      <c r="P115" s="252"/>
      <c r="Q115" s="253"/>
    </row>
    <row r="116" spans="1:17" s="3" customFormat="1" ht="25" customHeight="1" x14ac:dyDescent="0.25">
      <c r="A116" s="349"/>
      <c r="B116" s="353" t="s">
        <v>614</v>
      </c>
      <c r="C116" s="352">
        <v>3</v>
      </c>
      <c r="D116" s="352">
        <v>1</v>
      </c>
      <c r="E116" s="352">
        <v>2</v>
      </c>
      <c r="F116" s="254">
        <f t="shared" si="9"/>
        <v>128.70000000000002</v>
      </c>
      <c r="G116" s="271">
        <v>70</v>
      </c>
      <c r="H116" s="249">
        <f t="shared" si="10"/>
        <v>420</v>
      </c>
      <c r="I116" s="251">
        <f t="shared" si="12"/>
        <v>128.70000000000002</v>
      </c>
      <c r="J116" s="270">
        <v>0</v>
      </c>
      <c r="K116" s="270">
        <v>0</v>
      </c>
      <c r="L116" s="252"/>
      <c r="M116" s="252"/>
      <c r="N116" s="252"/>
      <c r="O116" s="252"/>
      <c r="P116" s="252"/>
      <c r="Q116" s="253"/>
    </row>
    <row r="117" spans="1:17" s="3" customFormat="1" ht="25" customHeight="1" x14ac:dyDescent="0.25">
      <c r="A117" s="349" t="s">
        <v>400</v>
      </c>
      <c r="B117" s="353" t="s">
        <v>615</v>
      </c>
      <c r="C117" s="352">
        <v>2</v>
      </c>
      <c r="D117" s="352">
        <v>1.3</v>
      </c>
      <c r="E117" s="352">
        <v>2</v>
      </c>
      <c r="F117" s="254">
        <f t="shared" si="9"/>
        <v>85.8</v>
      </c>
      <c r="G117" s="271">
        <v>70</v>
      </c>
      <c r="H117" s="249">
        <f t="shared" si="10"/>
        <v>364</v>
      </c>
      <c r="I117" s="251">
        <f t="shared" si="12"/>
        <v>85.8</v>
      </c>
      <c r="J117" s="270">
        <v>0</v>
      </c>
      <c r="K117" s="270">
        <v>0</v>
      </c>
      <c r="L117" s="252"/>
      <c r="M117" s="252"/>
      <c r="N117" s="252"/>
      <c r="O117" s="252"/>
      <c r="P117" s="252"/>
      <c r="Q117" s="253"/>
    </row>
    <row r="118" spans="1:17" s="3" customFormat="1" ht="25" customHeight="1" x14ac:dyDescent="0.25">
      <c r="A118" s="349"/>
      <c r="B118" s="353" t="s">
        <v>616</v>
      </c>
      <c r="C118" s="352">
        <v>4</v>
      </c>
      <c r="D118" s="352">
        <v>1</v>
      </c>
      <c r="E118" s="352">
        <v>3</v>
      </c>
      <c r="F118" s="254">
        <f t="shared" si="9"/>
        <v>257.40000000000003</v>
      </c>
      <c r="G118" s="249">
        <v>70</v>
      </c>
      <c r="H118" s="249">
        <f t="shared" si="10"/>
        <v>840</v>
      </c>
      <c r="I118" s="251">
        <f t="shared" si="12"/>
        <v>257.40000000000003</v>
      </c>
      <c r="J118" s="270">
        <v>0</v>
      </c>
      <c r="K118" s="270">
        <v>0</v>
      </c>
      <c r="L118" s="252"/>
      <c r="M118" s="252"/>
      <c r="N118" s="252"/>
      <c r="O118" s="252"/>
      <c r="P118" s="252"/>
      <c r="Q118" s="253"/>
    </row>
    <row r="119" spans="1:17" s="3" customFormat="1" ht="25" customHeight="1" x14ac:dyDescent="0.25">
      <c r="A119" s="349" t="s">
        <v>401</v>
      </c>
      <c r="B119" s="353" t="s">
        <v>617</v>
      </c>
      <c r="C119" s="352">
        <v>4</v>
      </c>
      <c r="D119" s="352">
        <v>1.1200000000000001</v>
      </c>
      <c r="E119" s="352">
        <v>3</v>
      </c>
      <c r="F119" s="254">
        <f t="shared" si="9"/>
        <v>198</v>
      </c>
      <c r="G119" s="271">
        <v>24</v>
      </c>
      <c r="H119" s="249">
        <f>C119*D119*E119*G119</f>
        <v>322.56000000000006</v>
      </c>
      <c r="I119" s="251">
        <f t="shared" si="12"/>
        <v>198</v>
      </c>
      <c r="J119" s="270"/>
      <c r="K119" s="270"/>
      <c r="L119" s="252"/>
      <c r="M119" s="252"/>
      <c r="N119" s="252"/>
      <c r="O119" s="252"/>
      <c r="P119" s="252"/>
      <c r="Q119" s="253"/>
    </row>
    <row r="120" spans="1:17" s="3" customFormat="1" ht="25" customHeight="1" x14ac:dyDescent="0.25">
      <c r="A120" s="349"/>
      <c r="B120" s="353"/>
      <c r="C120" s="352">
        <f>SUM(C96:C119)</f>
        <v>70</v>
      </c>
      <c r="D120" s="352">
        <f>SUM(D96:D119)</f>
        <v>26.820000000000004</v>
      </c>
      <c r="E120" s="352">
        <f>SUM(E96:E119)</f>
        <v>80</v>
      </c>
      <c r="F120" s="259"/>
      <c r="G120" s="259"/>
      <c r="H120" s="259"/>
      <c r="I120" s="246"/>
      <c r="J120" s="246"/>
      <c r="K120" s="246"/>
      <c r="L120" s="252"/>
      <c r="M120" s="252"/>
      <c r="N120" s="252"/>
      <c r="O120" s="252"/>
      <c r="P120" s="252"/>
      <c r="Q120" s="253"/>
    </row>
    <row r="121" spans="1:17" s="3" customFormat="1" ht="25" customHeight="1" x14ac:dyDescent="0.25">
      <c r="A121" s="359" t="s">
        <v>148</v>
      </c>
      <c r="B121" s="360" t="s">
        <v>151</v>
      </c>
      <c r="C121" s="352"/>
      <c r="D121" s="352"/>
      <c r="E121" s="352"/>
      <c r="F121" s="259"/>
      <c r="G121" s="259"/>
      <c r="H121" s="259"/>
      <c r="I121" s="246"/>
      <c r="J121" s="246"/>
      <c r="K121" s="246"/>
      <c r="L121" s="252"/>
      <c r="M121" s="252"/>
      <c r="N121" s="252"/>
      <c r="O121" s="252"/>
      <c r="P121" s="252"/>
      <c r="Q121" s="253"/>
    </row>
    <row r="122" spans="1:17" s="3" customFormat="1" ht="25" customHeight="1" x14ac:dyDescent="0.25">
      <c r="A122" s="354" t="s">
        <v>232</v>
      </c>
      <c r="B122" s="349" t="s">
        <v>154</v>
      </c>
      <c r="C122" s="352"/>
      <c r="D122" s="352"/>
      <c r="E122" s="352"/>
      <c r="F122" s="259"/>
      <c r="G122" s="259"/>
      <c r="H122" s="259"/>
      <c r="I122" s="246"/>
      <c r="J122" s="246"/>
      <c r="K122" s="246"/>
      <c r="L122" s="252"/>
      <c r="M122" s="252"/>
      <c r="N122" s="252"/>
      <c r="O122" s="252"/>
      <c r="P122" s="252"/>
      <c r="Q122" s="253"/>
    </row>
    <row r="123" spans="1:17" s="3" customFormat="1" ht="25" customHeight="1" x14ac:dyDescent="0.25">
      <c r="A123" s="354" t="s">
        <v>233</v>
      </c>
      <c r="B123" s="349" t="s">
        <v>153</v>
      </c>
      <c r="C123" s="352"/>
      <c r="D123" s="352"/>
      <c r="E123" s="352"/>
      <c r="F123" s="259"/>
      <c r="G123" s="259"/>
      <c r="H123" s="259"/>
      <c r="I123" s="246"/>
      <c r="J123" s="246"/>
      <c r="K123" s="246"/>
      <c r="L123" s="252"/>
      <c r="M123" s="252"/>
      <c r="N123" s="252"/>
      <c r="O123" s="252"/>
      <c r="P123" s="252"/>
      <c r="Q123" s="253"/>
    </row>
    <row r="124" spans="1:17" s="3" customFormat="1" ht="25" customHeight="1" x14ac:dyDescent="0.25">
      <c r="A124" s="354" t="s">
        <v>234</v>
      </c>
      <c r="B124" s="349" t="s">
        <v>155</v>
      </c>
      <c r="C124" s="352"/>
      <c r="D124" s="352"/>
      <c r="E124" s="352"/>
      <c r="F124" s="324">
        <f>I124</f>
        <v>0</v>
      </c>
      <c r="G124" s="259">
        <v>25</v>
      </c>
      <c r="H124" s="249">
        <f>C124*D124*E124*G124</f>
        <v>0</v>
      </c>
      <c r="I124" s="254">
        <f>2*G124*E124</f>
        <v>0</v>
      </c>
      <c r="J124" s="246"/>
      <c r="K124" s="246"/>
      <c r="L124" s="252"/>
      <c r="M124" s="252"/>
      <c r="N124" s="252"/>
      <c r="O124" s="252"/>
      <c r="P124" s="252"/>
      <c r="Q124" s="253"/>
    </row>
    <row r="125" spans="1:17" s="3" customFormat="1" ht="25" customHeight="1" x14ac:dyDescent="0.25">
      <c r="A125" s="354" t="s">
        <v>235</v>
      </c>
      <c r="B125" s="349" t="s">
        <v>156</v>
      </c>
      <c r="C125" s="352">
        <v>4</v>
      </c>
      <c r="D125" s="352">
        <v>1.4</v>
      </c>
      <c r="E125" s="352">
        <v>6</v>
      </c>
      <c r="F125" s="259"/>
      <c r="G125" s="259"/>
      <c r="H125" s="259"/>
      <c r="I125" s="246"/>
      <c r="J125" s="246"/>
      <c r="K125" s="246"/>
      <c r="L125" s="252"/>
      <c r="M125" s="252"/>
      <c r="N125" s="252"/>
      <c r="O125" s="252"/>
      <c r="P125" s="252"/>
      <c r="Q125" s="253"/>
    </row>
    <row r="126" spans="1:17" s="3" customFormat="1" ht="25" customHeight="1" x14ac:dyDescent="0.25">
      <c r="A126" s="354" t="s">
        <v>236</v>
      </c>
      <c r="B126" s="349" t="s">
        <v>157</v>
      </c>
      <c r="C126" s="352"/>
      <c r="D126" s="352"/>
      <c r="E126" s="352"/>
      <c r="F126" s="249">
        <f t="shared" ref="F126:K126" si="13">SUM(F96:F125)</f>
        <v>3905.8500000000008</v>
      </c>
      <c r="G126" s="246">
        <f t="shared" si="13"/>
        <v>1319</v>
      </c>
      <c r="H126" s="246">
        <f t="shared" si="13"/>
        <v>12079.56</v>
      </c>
      <c r="I126" s="246">
        <f t="shared" si="13"/>
        <v>3707.8500000000008</v>
      </c>
      <c r="J126" s="246">
        <f t="shared" si="13"/>
        <v>198</v>
      </c>
      <c r="K126" s="246">
        <f t="shared" si="13"/>
        <v>0</v>
      </c>
      <c r="L126" s="252"/>
      <c r="M126" s="252"/>
      <c r="N126" s="252"/>
      <c r="O126" s="252"/>
      <c r="P126" s="252"/>
      <c r="Q126" s="253"/>
    </row>
    <row r="127" spans="1:17" s="3" customFormat="1" ht="25" customHeight="1" x14ac:dyDescent="0.25">
      <c r="A127" s="354"/>
      <c r="B127" s="362" t="s">
        <v>380</v>
      </c>
      <c r="C127" s="352">
        <v>4</v>
      </c>
      <c r="D127" s="352">
        <v>1.4</v>
      </c>
      <c r="E127" s="352">
        <v>6</v>
      </c>
      <c r="F127" s="249"/>
      <c r="G127" s="246"/>
      <c r="H127" s="246"/>
      <c r="I127" s="246"/>
      <c r="J127" s="246"/>
      <c r="K127" s="246"/>
      <c r="L127" s="252"/>
      <c r="M127" s="252"/>
      <c r="N127" s="252"/>
      <c r="O127" s="252"/>
      <c r="P127" s="252"/>
      <c r="Q127" s="253"/>
    </row>
    <row r="128" spans="1:17" s="3" customFormat="1" ht="25" customHeight="1" x14ac:dyDescent="0.25">
      <c r="A128" s="355">
        <v>2</v>
      </c>
      <c r="B128" s="355" t="s">
        <v>501</v>
      </c>
      <c r="C128" s="352"/>
      <c r="D128" s="352"/>
      <c r="E128" s="352"/>
      <c r="F128" s="269"/>
      <c r="G128" s="271">
        <v>70</v>
      </c>
      <c r="H128" s="249"/>
      <c r="I128" s="249"/>
      <c r="J128" s="270">
        <v>5</v>
      </c>
      <c r="K128" s="250"/>
      <c r="L128" s="252"/>
      <c r="M128" s="252"/>
      <c r="N128" s="252"/>
      <c r="O128" s="252"/>
      <c r="P128" s="252"/>
      <c r="Q128" s="1447" t="s">
        <v>528</v>
      </c>
    </row>
    <row r="129" spans="1:17" s="3" customFormat="1" ht="25" customHeight="1" x14ac:dyDescent="0.25">
      <c r="A129" s="356" t="s">
        <v>147</v>
      </c>
      <c r="B129" s="357" t="s">
        <v>165</v>
      </c>
      <c r="C129" s="352"/>
      <c r="D129" s="352"/>
      <c r="E129" s="352"/>
      <c r="F129" s="269"/>
      <c r="G129" s="271">
        <v>70</v>
      </c>
      <c r="H129" s="249"/>
      <c r="I129" s="249"/>
      <c r="J129" s="270">
        <v>5</v>
      </c>
      <c r="K129" s="250"/>
      <c r="L129" s="252"/>
      <c r="M129" s="252"/>
      <c r="N129" s="252"/>
      <c r="O129" s="252"/>
      <c r="P129" s="252"/>
      <c r="Q129" s="1447"/>
    </row>
    <row r="130" spans="1:17" s="3" customFormat="1" ht="25" customHeight="1" x14ac:dyDescent="0.25">
      <c r="A130" s="349" t="s">
        <v>226</v>
      </c>
      <c r="B130" s="358" t="s">
        <v>618</v>
      </c>
      <c r="C130" s="352">
        <v>3</v>
      </c>
      <c r="D130" s="352">
        <v>1</v>
      </c>
      <c r="E130" s="352">
        <v>1</v>
      </c>
      <c r="F130" s="254"/>
      <c r="G130" s="271">
        <v>70</v>
      </c>
      <c r="H130" s="250"/>
      <c r="I130" s="250"/>
      <c r="J130" s="270">
        <v>5</v>
      </c>
      <c r="K130" s="250"/>
      <c r="L130" s="250"/>
      <c r="M130" s="252"/>
      <c r="N130" s="252"/>
      <c r="O130" s="252"/>
      <c r="P130" s="252"/>
      <c r="Q130" s="1447"/>
    </row>
    <row r="131" spans="1:17" s="3" customFormat="1" ht="25" customHeight="1" x14ac:dyDescent="0.25">
      <c r="A131" s="349" t="s">
        <v>227</v>
      </c>
      <c r="B131" s="358" t="s">
        <v>619</v>
      </c>
      <c r="C131" s="352">
        <v>3</v>
      </c>
      <c r="D131" s="352">
        <v>1</v>
      </c>
      <c r="E131" s="352">
        <v>1</v>
      </c>
      <c r="F131" s="254"/>
      <c r="G131" s="271">
        <v>70</v>
      </c>
      <c r="H131" s="250"/>
      <c r="I131" s="250"/>
      <c r="J131" s="270">
        <v>5</v>
      </c>
      <c r="K131" s="250"/>
      <c r="L131" s="250"/>
      <c r="M131" s="252"/>
      <c r="N131" s="252"/>
      <c r="O131" s="252"/>
      <c r="P131" s="252"/>
      <c r="Q131" s="1447"/>
    </row>
    <row r="132" spans="1:17" s="3" customFormat="1" ht="25" customHeight="1" x14ac:dyDescent="0.25">
      <c r="A132" s="349" t="s">
        <v>228</v>
      </c>
      <c r="B132" s="358" t="s">
        <v>620</v>
      </c>
      <c r="C132" s="352">
        <v>3</v>
      </c>
      <c r="D132" s="352">
        <v>1</v>
      </c>
      <c r="E132" s="352">
        <v>1</v>
      </c>
      <c r="F132" s="254"/>
      <c r="G132" s="271">
        <v>70</v>
      </c>
      <c r="H132" s="250"/>
      <c r="I132" s="250"/>
      <c r="J132" s="270">
        <v>5</v>
      </c>
      <c r="K132" s="250"/>
      <c r="L132" s="250"/>
      <c r="M132" s="252"/>
      <c r="N132" s="252"/>
      <c r="O132" s="252"/>
      <c r="P132" s="252"/>
      <c r="Q132" s="1447"/>
    </row>
    <row r="133" spans="1:17" s="3" customFormat="1" ht="25" customHeight="1" x14ac:dyDescent="0.25">
      <c r="A133" s="349" t="s">
        <v>229</v>
      </c>
      <c r="B133" s="358" t="s">
        <v>621</v>
      </c>
      <c r="C133" s="352">
        <v>3</v>
      </c>
      <c r="D133" s="352">
        <v>1</v>
      </c>
      <c r="E133" s="352">
        <v>1</v>
      </c>
      <c r="F133" s="254"/>
      <c r="G133" s="271">
        <v>70</v>
      </c>
      <c r="H133" s="250"/>
      <c r="I133" s="250"/>
      <c r="J133" s="270">
        <v>5</v>
      </c>
      <c r="K133" s="250"/>
      <c r="L133" s="250"/>
      <c r="M133" s="252"/>
      <c r="N133" s="252"/>
      <c r="O133" s="252"/>
      <c r="P133" s="252"/>
      <c r="Q133" s="1447"/>
    </row>
    <row r="134" spans="1:17" s="3" customFormat="1" ht="25" customHeight="1" x14ac:dyDescent="0.25">
      <c r="A134" s="349" t="s">
        <v>230</v>
      </c>
      <c r="B134" s="349" t="s">
        <v>500</v>
      </c>
      <c r="C134" s="352">
        <v>3</v>
      </c>
      <c r="D134" s="352">
        <v>1</v>
      </c>
      <c r="E134" s="352">
        <v>1</v>
      </c>
      <c r="F134" s="254"/>
      <c r="G134" s="271">
        <v>70</v>
      </c>
      <c r="H134" s="250"/>
      <c r="I134" s="250"/>
      <c r="J134" s="270">
        <v>5</v>
      </c>
      <c r="K134" s="250"/>
      <c r="L134" s="250"/>
      <c r="M134" s="252"/>
      <c r="N134" s="252"/>
      <c r="O134" s="252"/>
      <c r="P134" s="252"/>
      <c r="Q134" s="1447"/>
    </row>
    <row r="135" spans="1:17" s="3" customFormat="1" ht="25" customHeight="1" x14ac:dyDescent="0.25">
      <c r="A135" s="349" t="s">
        <v>231</v>
      </c>
      <c r="B135" s="353" t="s">
        <v>622</v>
      </c>
      <c r="C135" s="352">
        <v>3</v>
      </c>
      <c r="D135" s="352">
        <v>1</v>
      </c>
      <c r="E135" s="352">
        <v>1</v>
      </c>
      <c r="F135" s="259"/>
      <c r="G135" s="259"/>
      <c r="H135" s="259"/>
      <c r="I135" s="246"/>
      <c r="J135" s="246"/>
      <c r="K135" s="246"/>
      <c r="L135" s="252"/>
      <c r="M135" s="252"/>
      <c r="N135" s="252"/>
      <c r="O135" s="252"/>
      <c r="P135" s="252"/>
      <c r="Q135" s="253"/>
    </row>
    <row r="136" spans="1:17" s="3" customFormat="1" ht="25" customHeight="1" x14ac:dyDescent="0.25">
      <c r="A136" s="354" t="s">
        <v>282</v>
      </c>
      <c r="B136" s="353" t="s">
        <v>623</v>
      </c>
      <c r="C136" s="352">
        <v>3</v>
      </c>
      <c r="D136" s="352">
        <v>1</v>
      </c>
      <c r="E136" s="352">
        <v>1</v>
      </c>
      <c r="F136" s="259"/>
      <c r="G136" s="259"/>
      <c r="H136" s="259"/>
      <c r="I136" s="246"/>
      <c r="J136" s="246"/>
      <c r="K136" s="246"/>
      <c r="L136" s="252"/>
      <c r="M136" s="252"/>
      <c r="N136" s="252"/>
      <c r="O136" s="252"/>
      <c r="P136" s="252"/>
      <c r="Q136" s="253"/>
    </row>
    <row r="137" spans="1:17" s="3" customFormat="1" ht="25" customHeight="1" x14ac:dyDescent="0.25">
      <c r="A137" s="354"/>
      <c r="B137" s="353"/>
      <c r="C137" s="352">
        <f>SUM(C130:C136)</f>
        <v>21</v>
      </c>
      <c r="D137" s="352">
        <f>SUM(D130:D136)</f>
        <v>7</v>
      </c>
      <c r="E137" s="352">
        <f>SUM(E130:E136)</f>
        <v>7</v>
      </c>
      <c r="F137" s="254">
        <f t="shared" ref="F137:F145" si="14">I137+J137+K137</f>
        <v>3638.25</v>
      </c>
      <c r="G137" s="271">
        <v>13</v>
      </c>
      <c r="H137" s="249">
        <f>C137*D137*E137*G137</f>
        <v>13377</v>
      </c>
      <c r="I137" s="251">
        <f>IF(G137&lt;70, C137*E137*16.5*1.5, C137*E137*16.5*1.5)</f>
        <v>3638.25</v>
      </c>
      <c r="J137" s="246"/>
      <c r="K137" s="246"/>
      <c r="L137" s="252"/>
      <c r="M137" s="252"/>
      <c r="N137" s="252"/>
      <c r="O137" s="252"/>
      <c r="P137" s="252"/>
      <c r="Q137" s="253"/>
    </row>
    <row r="138" spans="1:17" s="3" customFormat="1" ht="25" customHeight="1" x14ac:dyDescent="0.25">
      <c r="A138" s="359" t="s">
        <v>148</v>
      </c>
      <c r="B138" s="360" t="s">
        <v>470</v>
      </c>
      <c r="C138" s="352"/>
      <c r="D138" s="352"/>
      <c r="E138" s="352"/>
      <c r="F138" s="254">
        <f t="shared" si="14"/>
        <v>0</v>
      </c>
      <c r="G138" s="271">
        <v>13</v>
      </c>
      <c r="H138" s="249">
        <f t="shared" ref="H138:H143" si="15">C138*D138*E138*G138</f>
        <v>0</v>
      </c>
      <c r="I138" s="251">
        <f t="shared" ref="I138:I143" si="16">IF(G138&lt;70, C138*E138*16.5*1.5, C138*E138*16.5*1.5)</f>
        <v>0</v>
      </c>
      <c r="J138" s="246"/>
      <c r="K138" s="246"/>
      <c r="L138" s="252"/>
      <c r="M138" s="252"/>
      <c r="N138" s="252"/>
      <c r="O138" s="252"/>
      <c r="P138" s="252"/>
      <c r="Q138" s="253"/>
    </row>
    <row r="139" spans="1:17" s="3" customFormat="1" ht="25" customHeight="1" x14ac:dyDescent="0.25">
      <c r="A139" s="359"/>
      <c r="B139" s="349" t="s">
        <v>624</v>
      </c>
      <c r="C139" s="352">
        <v>15</v>
      </c>
      <c r="D139" s="352">
        <v>1</v>
      </c>
      <c r="E139" s="352">
        <v>1</v>
      </c>
      <c r="F139" s="254">
        <f t="shared" si="14"/>
        <v>371.25</v>
      </c>
      <c r="G139" s="271">
        <v>13</v>
      </c>
      <c r="H139" s="249">
        <f t="shared" si="15"/>
        <v>195</v>
      </c>
      <c r="I139" s="251">
        <f t="shared" si="16"/>
        <v>371.25</v>
      </c>
      <c r="J139" s="246"/>
      <c r="K139" s="246"/>
      <c r="L139" s="252"/>
      <c r="M139" s="252"/>
      <c r="N139" s="252"/>
      <c r="O139" s="252"/>
      <c r="P139" s="252"/>
      <c r="Q139" s="253"/>
    </row>
    <row r="140" spans="1:17" s="3" customFormat="1" ht="25" customHeight="1" x14ac:dyDescent="0.25">
      <c r="A140" s="354"/>
      <c r="B140" s="361" t="s">
        <v>380</v>
      </c>
      <c r="C140" s="352">
        <f>SUM(C130:C139)</f>
        <v>57</v>
      </c>
      <c r="D140" s="352">
        <f>SUM(D130:D139)</f>
        <v>15</v>
      </c>
      <c r="E140" s="352">
        <f>SUM(E130:E139)</f>
        <v>15</v>
      </c>
      <c r="F140" s="254">
        <f t="shared" si="14"/>
        <v>21161.25</v>
      </c>
      <c r="G140" s="271">
        <v>13</v>
      </c>
      <c r="H140" s="249">
        <f t="shared" si="15"/>
        <v>166725</v>
      </c>
      <c r="I140" s="251">
        <f t="shared" si="16"/>
        <v>21161.25</v>
      </c>
      <c r="J140" s="246"/>
      <c r="K140" s="246"/>
      <c r="L140" s="252"/>
      <c r="M140" s="252"/>
      <c r="N140" s="252"/>
      <c r="O140" s="252"/>
      <c r="P140" s="252"/>
      <c r="Q140" s="253"/>
    </row>
    <row r="141" spans="1:17" s="3" customFormat="1" ht="25" customHeight="1" x14ac:dyDescent="0.25">
      <c r="A141" s="355">
        <v>1</v>
      </c>
      <c r="B141" s="357" t="s">
        <v>225</v>
      </c>
      <c r="C141" s="352"/>
      <c r="D141" s="352"/>
      <c r="E141" s="352"/>
      <c r="F141" s="254">
        <f t="shared" si="14"/>
        <v>0</v>
      </c>
      <c r="G141" s="271">
        <v>13</v>
      </c>
      <c r="H141" s="249">
        <f>C141*D141*E141*G141</f>
        <v>0</v>
      </c>
      <c r="I141" s="251">
        <f t="shared" si="16"/>
        <v>0</v>
      </c>
      <c r="J141" s="246"/>
      <c r="K141" s="246"/>
      <c r="L141" s="252"/>
      <c r="M141" s="252"/>
      <c r="N141" s="252"/>
      <c r="O141" s="252"/>
      <c r="P141" s="252"/>
      <c r="Q141" s="253"/>
    </row>
    <row r="142" spans="1:17" s="3" customFormat="1" ht="25" customHeight="1" x14ac:dyDescent="0.25">
      <c r="A142" s="355" t="s">
        <v>381</v>
      </c>
      <c r="B142" s="357" t="s">
        <v>163</v>
      </c>
      <c r="C142" s="352"/>
      <c r="D142" s="352"/>
      <c r="E142" s="352"/>
      <c r="F142" s="254">
        <f t="shared" si="14"/>
        <v>0</v>
      </c>
      <c r="G142" s="271">
        <v>13</v>
      </c>
      <c r="H142" s="249">
        <f t="shared" si="15"/>
        <v>0</v>
      </c>
      <c r="I142" s="251">
        <f t="shared" si="16"/>
        <v>0</v>
      </c>
      <c r="J142" s="246"/>
      <c r="K142" s="246"/>
      <c r="L142" s="252"/>
      <c r="M142" s="252"/>
      <c r="N142" s="252"/>
      <c r="O142" s="252"/>
      <c r="P142" s="252"/>
      <c r="Q142" s="253"/>
    </row>
    <row r="143" spans="1:17" s="3" customFormat="1" ht="25" customHeight="1" x14ac:dyDescent="0.25">
      <c r="A143" s="354" t="s">
        <v>228</v>
      </c>
      <c r="B143" s="350" t="s">
        <v>625</v>
      </c>
      <c r="C143" s="352">
        <v>3</v>
      </c>
      <c r="D143" s="352">
        <v>1</v>
      </c>
      <c r="E143" s="352">
        <v>7</v>
      </c>
      <c r="F143" s="254">
        <f t="shared" si="14"/>
        <v>519.75</v>
      </c>
      <c r="G143" s="271">
        <v>13</v>
      </c>
      <c r="H143" s="249">
        <f t="shared" si="15"/>
        <v>273</v>
      </c>
      <c r="I143" s="251">
        <f t="shared" si="16"/>
        <v>519.75</v>
      </c>
      <c r="J143" s="246"/>
      <c r="K143" s="246"/>
      <c r="L143" s="252"/>
      <c r="M143" s="252"/>
      <c r="N143" s="252"/>
      <c r="O143" s="252"/>
      <c r="P143" s="252"/>
      <c r="Q143" s="253"/>
    </row>
    <row r="144" spans="1:17" s="3" customFormat="1" ht="25" customHeight="1" x14ac:dyDescent="0.25">
      <c r="A144" s="354" t="s">
        <v>229</v>
      </c>
      <c r="B144" s="350" t="s">
        <v>626</v>
      </c>
      <c r="C144" s="352">
        <v>3</v>
      </c>
      <c r="D144" s="352">
        <v>1</v>
      </c>
      <c r="E144" s="352">
        <v>7</v>
      </c>
      <c r="F144" s="259"/>
      <c r="G144" s="259"/>
      <c r="H144" s="259"/>
      <c r="I144" s="275"/>
      <c r="J144" s="275"/>
      <c r="K144" s="246"/>
      <c r="L144" s="252"/>
      <c r="M144" s="252"/>
      <c r="N144" s="252"/>
      <c r="O144" s="252"/>
      <c r="P144" s="252"/>
      <c r="Q144" s="253"/>
    </row>
    <row r="145" spans="1:17" s="3" customFormat="1" ht="25" customHeight="1" x14ac:dyDescent="0.25">
      <c r="A145" s="354" t="s">
        <v>230</v>
      </c>
      <c r="B145" s="350" t="s">
        <v>627</v>
      </c>
      <c r="C145" s="352">
        <v>2</v>
      </c>
      <c r="D145" s="352">
        <v>1</v>
      </c>
      <c r="E145" s="352">
        <v>10</v>
      </c>
      <c r="F145" s="254">
        <f t="shared" si="14"/>
        <v>14700</v>
      </c>
      <c r="G145" s="259">
        <v>42</v>
      </c>
      <c r="H145" s="249">
        <f>C145*D145*E145*G145</f>
        <v>840</v>
      </c>
      <c r="I145" s="251">
        <f>E145*G145*35</f>
        <v>14700</v>
      </c>
      <c r="J145" s="275"/>
      <c r="K145" s="246"/>
      <c r="L145" s="252"/>
      <c r="M145" s="252"/>
      <c r="N145" s="252"/>
      <c r="O145" s="252"/>
      <c r="P145" s="252"/>
      <c r="Q145" s="253"/>
    </row>
    <row r="146" spans="1:17" s="3" customFormat="1" ht="25" customHeight="1" x14ac:dyDescent="0.25">
      <c r="A146" s="354" t="s">
        <v>231</v>
      </c>
      <c r="B146" s="350" t="s">
        <v>628</v>
      </c>
      <c r="C146" s="352">
        <v>3</v>
      </c>
      <c r="D146" s="352">
        <v>1</v>
      </c>
      <c r="E146" s="352">
        <v>16</v>
      </c>
      <c r="F146" s="259">
        <f>SUM(F137:F145)</f>
        <v>40390.5</v>
      </c>
      <c r="G146" s="276">
        <f>SUM(G137:G145)</f>
        <v>133</v>
      </c>
      <c r="H146" s="276">
        <f>SUM(H137:H145)</f>
        <v>181410</v>
      </c>
      <c r="I146" s="276">
        <f>SUM(I137:I145)</f>
        <v>40390.5</v>
      </c>
      <c r="J146" s="246">
        <v>0</v>
      </c>
      <c r="K146" s="246">
        <v>0</v>
      </c>
      <c r="L146" s="252"/>
      <c r="M146" s="252"/>
      <c r="N146" s="252"/>
      <c r="O146" s="252"/>
      <c r="P146" s="252"/>
      <c r="Q146" s="253"/>
    </row>
    <row r="147" spans="1:17" s="3" customFormat="1" ht="25" customHeight="1" x14ac:dyDescent="0.25">
      <c r="A147" s="354" t="s">
        <v>282</v>
      </c>
      <c r="B147" s="350" t="s">
        <v>629</v>
      </c>
      <c r="C147" s="352">
        <v>2</v>
      </c>
      <c r="D147" s="352">
        <v>1</v>
      </c>
      <c r="E147" s="352">
        <v>10</v>
      </c>
      <c r="F147" s="259"/>
      <c r="G147" s="259"/>
      <c r="H147" s="259"/>
      <c r="I147" s="275"/>
      <c r="J147" s="252"/>
      <c r="K147" s="252"/>
      <c r="L147" s="252"/>
      <c r="M147" s="252"/>
      <c r="N147" s="252"/>
      <c r="O147" s="252"/>
      <c r="P147" s="252"/>
      <c r="Q147" s="253"/>
    </row>
    <row r="148" spans="1:17" s="3" customFormat="1" ht="25" customHeight="1" x14ac:dyDescent="0.25">
      <c r="A148" s="354" t="s">
        <v>284</v>
      </c>
      <c r="B148" s="353" t="s">
        <v>630</v>
      </c>
      <c r="C148" s="352">
        <v>3</v>
      </c>
      <c r="D148" s="352">
        <v>1</v>
      </c>
      <c r="E148" s="352">
        <v>10</v>
      </c>
      <c r="F148" s="259"/>
      <c r="G148" s="259"/>
      <c r="H148" s="259"/>
      <c r="I148" s="275"/>
      <c r="J148" s="252"/>
      <c r="K148" s="252"/>
      <c r="L148" s="252"/>
      <c r="M148" s="252"/>
      <c r="N148" s="252"/>
      <c r="O148" s="252"/>
      <c r="P148" s="252"/>
      <c r="Q148" s="253"/>
    </row>
    <row r="149" spans="1:17" s="3" customFormat="1" ht="25" customHeight="1" x14ac:dyDescent="0.25">
      <c r="A149" s="354" t="s">
        <v>286</v>
      </c>
      <c r="B149" s="349" t="s">
        <v>631</v>
      </c>
      <c r="C149" s="352">
        <v>3</v>
      </c>
      <c r="D149" s="352">
        <v>1</v>
      </c>
      <c r="E149" s="352">
        <v>10</v>
      </c>
      <c r="F149" s="254">
        <f t="shared" ref="F149:F163" si="17">I149+J149+K149</f>
        <v>643.5</v>
      </c>
      <c r="G149" s="271">
        <v>70</v>
      </c>
      <c r="H149" s="249">
        <f t="shared" ref="H149:H163" si="18">C149*D149*E149*G149</f>
        <v>2100</v>
      </c>
      <c r="I149" s="251">
        <f>IF(G149&lt;70, C149*E149*16.5*1, C149*E149*16.5*1.3)</f>
        <v>643.5</v>
      </c>
      <c r="J149" s="252"/>
      <c r="K149" s="252"/>
      <c r="L149" s="252"/>
      <c r="M149" s="252"/>
      <c r="N149" s="252"/>
      <c r="O149" s="252"/>
      <c r="P149" s="252"/>
      <c r="Q149" s="253"/>
    </row>
    <row r="150" spans="1:17" s="3" customFormat="1" ht="25" customHeight="1" x14ac:dyDescent="0.25">
      <c r="A150" s="354" t="s">
        <v>289</v>
      </c>
      <c r="B150" s="349" t="s">
        <v>388</v>
      </c>
      <c r="C150" s="352">
        <v>3</v>
      </c>
      <c r="D150" s="352">
        <v>1</v>
      </c>
      <c r="E150" s="352">
        <v>16</v>
      </c>
      <c r="F150" s="254">
        <f t="shared" si="17"/>
        <v>1029.6000000000001</v>
      </c>
      <c r="G150" s="271">
        <v>70</v>
      </c>
      <c r="H150" s="249">
        <f t="shared" si="18"/>
        <v>3360</v>
      </c>
      <c r="I150" s="251">
        <f t="shared" ref="I150:I163" si="19">IF(G150&lt;70, C150*E150*16.5*1, C150*E150*16.5*1.3)</f>
        <v>1029.6000000000001</v>
      </c>
      <c r="J150" s="252"/>
      <c r="K150" s="252"/>
      <c r="L150" s="252"/>
      <c r="M150" s="252"/>
      <c r="N150" s="252"/>
      <c r="O150" s="252"/>
      <c r="P150" s="252"/>
      <c r="Q150" s="253"/>
    </row>
    <row r="151" spans="1:17" s="3" customFormat="1" ht="25" customHeight="1" x14ac:dyDescent="0.25">
      <c r="A151" s="354" t="s">
        <v>290</v>
      </c>
      <c r="B151" s="349" t="s">
        <v>632</v>
      </c>
      <c r="C151" s="352">
        <v>4</v>
      </c>
      <c r="D151" s="352">
        <v>1</v>
      </c>
      <c r="E151" s="352">
        <v>10</v>
      </c>
      <c r="F151" s="254">
        <f t="shared" si="17"/>
        <v>858</v>
      </c>
      <c r="G151" s="271">
        <v>70</v>
      </c>
      <c r="H151" s="249">
        <f t="shared" si="18"/>
        <v>2800</v>
      </c>
      <c r="I151" s="251">
        <f t="shared" si="19"/>
        <v>858</v>
      </c>
      <c r="J151" s="252"/>
      <c r="K151" s="252"/>
      <c r="L151" s="252"/>
      <c r="M151" s="252"/>
      <c r="N151" s="252"/>
      <c r="O151" s="252"/>
      <c r="P151" s="252"/>
      <c r="Q151" s="253"/>
    </row>
    <row r="152" spans="1:17" s="3" customFormat="1" ht="25" customHeight="1" x14ac:dyDescent="0.25">
      <c r="A152" s="354" t="s">
        <v>291</v>
      </c>
      <c r="B152" s="349" t="s">
        <v>633</v>
      </c>
      <c r="C152" s="352">
        <v>4</v>
      </c>
      <c r="D152" s="352">
        <v>1</v>
      </c>
      <c r="E152" s="352">
        <v>8</v>
      </c>
      <c r="F152" s="254">
        <f t="shared" si="17"/>
        <v>686.4</v>
      </c>
      <c r="G152" s="271">
        <v>70</v>
      </c>
      <c r="H152" s="249">
        <f t="shared" si="18"/>
        <v>2240</v>
      </c>
      <c r="I152" s="251">
        <f t="shared" si="19"/>
        <v>686.4</v>
      </c>
      <c r="J152" s="252"/>
      <c r="K152" s="252"/>
      <c r="L152" s="252"/>
      <c r="M152" s="252"/>
      <c r="N152" s="252"/>
      <c r="O152" s="252"/>
      <c r="P152" s="252"/>
      <c r="Q152" s="253"/>
    </row>
    <row r="153" spans="1:17" s="3" customFormat="1" ht="25" customHeight="1" x14ac:dyDescent="0.25">
      <c r="A153" s="354" t="s">
        <v>292</v>
      </c>
      <c r="B153" s="349" t="s">
        <v>634</v>
      </c>
      <c r="C153" s="352">
        <v>4</v>
      </c>
      <c r="D153" s="352">
        <v>1</v>
      </c>
      <c r="E153" s="352">
        <v>8</v>
      </c>
      <c r="F153" s="254">
        <f t="shared" si="17"/>
        <v>686.4</v>
      </c>
      <c r="G153" s="271">
        <v>70</v>
      </c>
      <c r="H153" s="249">
        <f t="shared" si="18"/>
        <v>2240</v>
      </c>
      <c r="I153" s="251">
        <f t="shared" si="19"/>
        <v>686.4</v>
      </c>
      <c r="J153" s="270"/>
      <c r="K153" s="270"/>
      <c r="L153" s="270"/>
      <c r="M153" s="270"/>
      <c r="N153" s="270"/>
      <c r="O153" s="270"/>
      <c r="P153" s="270"/>
      <c r="Q153" s="254"/>
    </row>
    <row r="154" spans="1:17" s="3" customFormat="1" ht="25" customHeight="1" x14ac:dyDescent="0.25">
      <c r="A154" s="274" t="s">
        <v>231</v>
      </c>
      <c r="B154" s="277" t="s">
        <v>382</v>
      </c>
      <c r="C154" s="271">
        <v>4</v>
      </c>
      <c r="D154" s="271">
        <v>1</v>
      </c>
      <c r="E154" s="271">
        <v>16</v>
      </c>
      <c r="F154" s="254">
        <f t="shared" si="17"/>
        <v>1372.8</v>
      </c>
      <c r="G154" s="271">
        <v>70</v>
      </c>
      <c r="H154" s="249">
        <f t="shared" si="18"/>
        <v>4480</v>
      </c>
      <c r="I154" s="251">
        <f t="shared" si="19"/>
        <v>1372.8</v>
      </c>
      <c r="J154" s="270"/>
      <c r="K154" s="270"/>
      <c r="L154" s="270"/>
      <c r="M154" s="270"/>
      <c r="N154" s="270"/>
      <c r="O154" s="270"/>
      <c r="P154" s="270"/>
      <c r="Q154" s="254"/>
    </row>
    <row r="155" spans="1:17" s="3" customFormat="1" ht="25" customHeight="1" x14ac:dyDescent="0.25">
      <c r="A155" s="274" t="s">
        <v>282</v>
      </c>
      <c r="B155" s="277" t="s">
        <v>383</v>
      </c>
      <c r="C155" s="271">
        <v>2</v>
      </c>
      <c r="D155" s="271">
        <v>1</v>
      </c>
      <c r="E155" s="271">
        <v>16</v>
      </c>
      <c r="F155" s="254">
        <f t="shared" si="17"/>
        <v>686.4</v>
      </c>
      <c r="G155" s="271">
        <v>80</v>
      </c>
      <c r="H155" s="249">
        <f t="shared" si="18"/>
        <v>2560</v>
      </c>
      <c r="I155" s="251">
        <f t="shared" si="19"/>
        <v>686.4</v>
      </c>
      <c r="J155" s="270"/>
      <c r="K155" s="270"/>
      <c r="L155" s="270"/>
      <c r="M155" s="270"/>
      <c r="N155" s="270"/>
      <c r="O155" s="270"/>
      <c r="P155" s="270"/>
      <c r="Q155" s="254"/>
    </row>
    <row r="156" spans="1:17" s="3" customFormat="1" ht="25" customHeight="1" x14ac:dyDescent="0.25">
      <c r="A156" s="274" t="s">
        <v>283</v>
      </c>
      <c r="B156" s="277" t="s">
        <v>384</v>
      </c>
      <c r="C156" s="271">
        <v>4</v>
      </c>
      <c r="D156" s="271">
        <v>1</v>
      </c>
      <c r="E156" s="271">
        <v>16</v>
      </c>
      <c r="F156" s="254">
        <f t="shared" si="17"/>
        <v>1372.8</v>
      </c>
      <c r="G156" s="271">
        <v>70</v>
      </c>
      <c r="H156" s="249">
        <f t="shared" si="18"/>
        <v>4480</v>
      </c>
      <c r="I156" s="251">
        <f t="shared" si="19"/>
        <v>1372.8</v>
      </c>
      <c r="J156" s="270"/>
      <c r="K156" s="270"/>
      <c r="L156" s="270"/>
      <c r="M156" s="270"/>
      <c r="N156" s="270"/>
      <c r="O156" s="270"/>
      <c r="P156" s="270"/>
      <c r="Q156" s="254"/>
    </row>
    <row r="157" spans="1:17" s="3" customFormat="1" ht="25" customHeight="1" x14ac:dyDescent="0.25">
      <c r="A157" s="274" t="s">
        <v>284</v>
      </c>
      <c r="B157" s="273" t="s">
        <v>385</v>
      </c>
      <c r="C157" s="271">
        <v>3</v>
      </c>
      <c r="D157" s="271">
        <v>1</v>
      </c>
      <c r="E157" s="271">
        <v>16</v>
      </c>
      <c r="F157" s="254">
        <f t="shared" si="17"/>
        <v>1029.6000000000001</v>
      </c>
      <c r="G157" s="271">
        <v>70</v>
      </c>
      <c r="H157" s="249">
        <f t="shared" si="18"/>
        <v>3360</v>
      </c>
      <c r="I157" s="251">
        <f t="shared" si="19"/>
        <v>1029.6000000000001</v>
      </c>
      <c r="J157" s="270"/>
      <c r="K157" s="270"/>
      <c r="L157" s="270"/>
      <c r="M157" s="270"/>
      <c r="N157" s="270"/>
      <c r="O157" s="270"/>
      <c r="P157" s="270"/>
      <c r="Q157" s="254"/>
    </row>
    <row r="158" spans="1:17" s="3" customFormat="1" ht="25" customHeight="1" x14ac:dyDescent="0.25">
      <c r="A158" s="274" t="s">
        <v>285</v>
      </c>
      <c r="B158" s="273" t="s">
        <v>386</v>
      </c>
      <c r="C158" s="271">
        <v>3</v>
      </c>
      <c r="D158" s="271">
        <v>1</v>
      </c>
      <c r="E158" s="271">
        <v>16</v>
      </c>
      <c r="F158" s="254">
        <f t="shared" si="17"/>
        <v>1029.6000000000001</v>
      </c>
      <c r="G158" s="271">
        <v>70</v>
      </c>
      <c r="H158" s="249">
        <f t="shared" si="18"/>
        <v>3360</v>
      </c>
      <c r="I158" s="251">
        <f t="shared" si="19"/>
        <v>1029.6000000000001</v>
      </c>
      <c r="J158" s="270"/>
      <c r="K158" s="270"/>
      <c r="L158" s="270"/>
      <c r="M158" s="270"/>
      <c r="N158" s="270"/>
      <c r="O158" s="270"/>
      <c r="P158" s="270"/>
      <c r="Q158" s="254"/>
    </row>
    <row r="159" spans="1:17" s="3" customFormat="1" ht="25" customHeight="1" x14ac:dyDescent="0.25">
      <c r="A159" s="274" t="s">
        <v>286</v>
      </c>
      <c r="B159" s="272" t="s">
        <v>387</v>
      </c>
      <c r="C159" s="271">
        <v>3</v>
      </c>
      <c r="D159" s="271">
        <v>1</v>
      </c>
      <c r="E159" s="271">
        <v>16</v>
      </c>
      <c r="F159" s="254">
        <f t="shared" si="17"/>
        <v>1029.6000000000001</v>
      </c>
      <c r="G159" s="271">
        <v>70</v>
      </c>
      <c r="H159" s="249">
        <f t="shared" si="18"/>
        <v>3360</v>
      </c>
      <c r="I159" s="251">
        <f t="shared" si="19"/>
        <v>1029.6000000000001</v>
      </c>
      <c r="J159" s="270"/>
      <c r="K159" s="270"/>
      <c r="L159" s="270"/>
      <c r="M159" s="270"/>
      <c r="N159" s="270"/>
      <c r="O159" s="270"/>
      <c r="P159" s="270"/>
      <c r="Q159" s="254"/>
    </row>
    <row r="160" spans="1:17" s="3" customFormat="1" ht="25" customHeight="1" x14ac:dyDescent="0.25">
      <c r="A160" s="274" t="s">
        <v>289</v>
      </c>
      <c r="B160" s="272" t="s">
        <v>388</v>
      </c>
      <c r="C160" s="271">
        <v>3</v>
      </c>
      <c r="D160" s="271">
        <v>1</v>
      </c>
      <c r="E160" s="271">
        <v>16</v>
      </c>
      <c r="F160" s="254">
        <f t="shared" si="17"/>
        <v>1029.6000000000001</v>
      </c>
      <c r="G160" s="271">
        <v>70</v>
      </c>
      <c r="H160" s="249">
        <f t="shared" si="18"/>
        <v>3360</v>
      </c>
      <c r="I160" s="251">
        <f t="shared" si="19"/>
        <v>1029.6000000000001</v>
      </c>
      <c r="J160" s="270"/>
      <c r="K160" s="270"/>
      <c r="L160" s="270"/>
      <c r="M160" s="270"/>
      <c r="N160" s="270"/>
      <c r="O160" s="270"/>
      <c r="P160" s="270"/>
      <c r="Q160" s="254"/>
    </row>
    <row r="161" spans="1:17" s="3" customFormat="1" ht="25" customHeight="1" x14ac:dyDescent="0.25">
      <c r="A161" s="274" t="s">
        <v>290</v>
      </c>
      <c r="B161" s="272" t="s">
        <v>389</v>
      </c>
      <c r="C161" s="271">
        <v>4</v>
      </c>
      <c r="D161" s="271">
        <v>1</v>
      </c>
      <c r="E161" s="271">
        <v>10</v>
      </c>
      <c r="F161" s="254">
        <f t="shared" si="17"/>
        <v>858</v>
      </c>
      <c r="G161" s="271">
        <v>70</v>
      </c>
      <c r="H161" s="249">
        <f t="shared" si="18"/>
        <v>2800</v>
      </c>
      <c r="I161" s="251">
        <f t="shared" si="19"/>
        <v>858</v>
      </c>
      <c r="J161" s="270"/>
      <c r="K161" s="270"/>
      <c r="L161" s="270"/>
      <c r="M161" s="270"/>
      <c r="N161" s="270"/>
      <c r="O161" s="270"/>
      <c r="P161" s="270"/>
      <c r="Q161" s="254"/>
    </row>
    <row r="162" spans="1:17" s="3" customFormat="1" ht="25" customHeight="1" x14ac:dyDescent="0.25">
      <c r="A162" s="274" t="s">
        <v>291</v>
      </c>
      <c r="B162" s="272" t="s">
        <v>390</v>
      </c>
      <c r="C162" s="271">
        <v>4</v>
      </c>
      <c r="D162" s="271">
        <v>1</v>
      </c>
      <c r="E162" s="271">
        <v>13</v>
      </c>
      <c r="F162" s="254">
        <f t="shared" si="17"/>
        <v>1115.4000000000001</v>
      </c>
      <c r="G162" s="271">
        <v>70</v>
      </c>
      <c r="H162" s="249">
        <f t="shared" si="18"/>
        <v>3640</v>
      </c>
      <c r="I162" s="251">
        <f t="shared" si="19"/>
        <v>1115.4000000000001</v>
      </c>
      <c r="J162" s="270"/>
      <c r="K162" s="270"/>
      <c r="L162" s="270"/>
      <c r="M162" s="270"/>
      <c r="N162" s="270"/>
      <c r="O162" s="270"/>
      <c r="P162" s="270"/>
      <c r="Q162" s="254"/>
    </row>
    <row r="163" spans="1:17" s="3" customFormat="1" ht="25" customHeight="1" x14ac:dyDescent="0.25">
      <c r="A163" s="274" t="s">
        <v>292</v>
      </c>
      <c r="B163" s="272" t="s">
        <v>391</v>
      </c>
      <c r="C163" s="271">
        <v>4</v>
      </c>
      <c r="D163" s="271">
        <v>1</v>
      </c>
      <c r="E163" s="271">
        <v>16</v>
      </c>
      <c r="F163" s="254">
        <f t="shared" si="17"/>
        <v>1372.8</v>
      </c>
      <c r="G163" s="271">
        <v>70</v>
      </c>
      <c r="H163" s="249">
        <f t="shared" si="18"/>
        <v>4480</v>
      </c>
      <c r="I163" s="251">
        <f t="shared" si="19"/>
        <v>1372.8</v>
      </c>
      <c r="J163" s="270"/>
      <c r="K163" s="270"/>
      <c r="L163" s="270"/>
      <c r="M163" s="270"/>
      <c r="N163" s="270"/>
      <c r="O163" s="270"/>
      <c r="P163" s="270"/>
      <c r="Q163" s="254"/>
    </row>
    <row r="164" spans="1:17" s="3" customFormat="1" ht="25" customHeight="1" x14ac:dyDescent="0.25">
      <c r="A164" s="274"/>
      <c r="B164" s="278" t="s">
        <v>392</v>
      </c>
      <c r="C164" s="279">
        <f>SUM(C149:C163)</f>
        <v>52</v>
      </c>
      <c r="D164" s="279">
        <f t="shared" ref="D164:K164" si="20">SUM(D149:D163)</f>
        <v>15</v>
      </c>
      <c r="E164" s="279">
        <f t="shared" si="20"/>
        <v>203</v>
      </c>
      <c r="F164" s="271">
        <f t="shared" si="20"/>
        <v>14800.5</v>
      </c>
      <c r="G164" s="279">
        <f t="shared" si="20"/>
        <v>1060</v>
      </c>
      <c r="H164" s="279">
        <f t="shared" si="20"/>
        <v>48620</v>
      </c>
      <c r="I164" s="279">
        <f t="shared" si="20"/>
        <v>14800.5</v>
      </c>
      <c r="J164" s="279">
        <f t="shared" si="20"/>
        <v>0</v>
      </c>
      <c r="K164" s="279">
        <f t="shared" si="20"/>
        <v>0</v>
      </c>
      <c r="L164" s="270"/>
      <c r="M164" s="270"/>
      <c r="N164" s="270"/>
      <c r="O164" s="270"/>
      <c r="P164" s="270"/>
      <c r="Q164" s="254"/>
    </row>
    <row r="165" spans="1:17" s="3" customFormat="1" ht="25" customHeight="1" x14ac:dyDescent="0.25">
      <c r="A165" s="280"/>
      <c r="B165" s="281" t="s">
        <v>393</v>
      </c>
      <c r="C165" s="282">
        <f t="shared" ref="C165:K165" si="21">C126+C164+C146</f>
        <v>55</v>
      </c>
      <c r="D165" s="282">
        <f t="shared" si="21"/>
        <v>16</v>
      </c>
      <c r="E165" s="282">
        <f t="shared" si="21"/>
        <v>219</v>
      </c>
      <c r="F165" s="317">
        <f t="shared" si="21"/>
        <v>59096.850000000006</v>
      </c>
      <c r="G165" s="282">
        <f t="shared" si="21"/>
        <v>2512</v>
      </c>
      <c r="H165" s="282">
        <f t="shared" si="21"/>
        <v>242109.56</v>
      </c>
      <c r="I165" s="282">
        <f t="shared" si="21"/>
        <v>58898.850000000006</v>
      </c>
      <c r="J165" s="282">
        <f t="shared" si="21"/>
        <v>198</v>
      </c>
      <c r="K165" s="282">
        <f t="shared" si="21"/>
        <v>0</v>
      </c>
      <c r="L165" s="264">
        <f>'Bieu3 GDMN'!F25</f>
        <v>2700</v>
      </c>
      <c r="M165" s="264">
        <f>'Bieu3 GDMN'!N25</f>
        <v>2376</v>
      </c>
      <c r="N165" s="263">
        <f>I165-M165</f>
        <v>56522.850000000006</v>
      </c>
      <c r="O165" s="264">
        <f>'Bieu3 GDMN'!O25</f>
        <v>1709.75</v>
      </c>
      <c r="P165" s="264">
        <f>'Bieu3 GDMN'!P25</f>
        <v>960</v>
      </c>
      <c r="Q165" s="265"/>
    </row>
    <row r="166" spans="1:17" s="3" customFormat="1" ht="25" customHeight="1" x14ac:dyDescent="0.25">
      <c r="A166" s="283"/>
      <c r="B166" s="284"/>
      <c r="C166" s="257"/>
      <c r="D166" s="257"/>
      <c r="E166" s="257"/>
      <c r="F166" s="257"/>
      <c r="G166" s="257"/>
      <c r="H166" s="257"/>
      <c r="I166" s="285"/>
      <c r="J166" s="252"/>
      <c r="K166" s="252"/>
      <c r="L166" s="252"/>
      <c r="M166" s="252"/>
      <c r="N166" s="252"/>
      <c r="O166" s="252"/>
      <c r="P166" s="252"/>
      <c r="Q166" s="253"/>
    </row>
    <row r="167" spans="1:17" s="3" customFormat="1" ht="25" customHeight="1" x14ac:dyDescent="0.25">
      <c r="A167" s="286" t="s">
        <v>422</v>
      </c>
      <c r="B167" s="286" t="s">
        <v>423</v>
      </c>
      <c r="C167" s="287"/>
      <c r="D167" s="287"/>
      <c r="E167" s="287"/>
      <c r="F167" s="318"/>
      <c r="G167" s="287"/>
      <c r="H167" s="257"/>
      <c r="I167" s="285"/>
      <c r="J167" s="252"/>
      <c r="K167" s="252"/>
      <c r="L167" s="252"/>
      <c r="M167" s="252"/>
      <c r="N167" s="252"/>
      <c r="O167" s="252"/>
      <c r="P167" s="252"/>
      <c r="Q167" s="253"/>
    </row>
    <row r="168" spans="1:17" s="3" customFormat="1" ht="25" customHeight="1" x14ac:dyDescent="0.25">
      <c r="A168" s="288" t="s">
        <v>7</v>
      </c>
      <c r="B168" s="288" t="s">
        <v>223</v>
      </c>
      <c r="C168" s="287"/>
      <c r="D168" s="287"/>
      <c r="E168" s="287"/>
      <c r="F168" s="318"/>
      <c r="G168" s="287"/>
      <c r="H168" s="257"/>
      <c r="I168" s="285"/>
      <c r="J168" s="252"/>
      <c r="K168" s="252"/>
      <c r="L168" s="252"/>
      <c r="M168" s="252"/>
      <c r="N168" s="252"/>
      <c r="O168" s="252"/>
      <c r="P168" s="252"/>
      <c r="Q168" s="253"/>
    </row>
    <row r="169" spans="1:17" s="3" customFormat="1" ht="25" customHeight="1" x14ac:dyDescent="0.25">
      <c r="A169" s="288">
        <v>1</v>
      </c>
      <c r="B169" s="288" t="s">
        <v>4</v>
      </c>
      <c r="C169" s="287"/>
      <c r="D169" s="287"/>
      <c r="E169" s="287"/>
      <c r="F169" s="318"/>
      <c r="G169" s="287"/>
      <c r="H169" s="257"/>
      <c r="I169" s="285"/>
      <c r="J169" s="252"/>
      <c r="K169" s="252"/>
      <c r="L169" s="252"/>
      <c r="M169" s="252"/>
      <c r="N169" s="252"/>
      <c r="O169" s="252"/>
      <c r="P169" s="252"/>
      <c r="Q169" s="253"/>
    </row>
    <row r="170" spans="1:17" s="3" customFormat="1" ht="25" customHeight="1" x14ac:dyDescent="0.25">
      <c r="A170" s="289" t="s">
        <v>147</v>
      </c>
      <c r="B170" s="290" t="s">
        <v>161</v>
      </c>
      <c r="C170" s="291"/>
      <c r="D170" s="291"/>
      <c r="E170" s="291"/>
      <c r="F170" s="295"/>
      <c r="G170" s="291"/>
      <c r="H170" s="257"/>
      <c r="I170" s="285"/>
      <c r="J170" s="252"/>
      <c r="K170" s="252"/>
      <c r="L170" s="252"/>
      <c r="M170" s="252"/>
      <c r="N170" s="252"/>
      <c r="O170" s="252"/>
      <c r="P170" s="252"/>
      <c r="Q170" s="253"/>
    </row>
    <row r="171" spans="1:17" s="3" customFormat="1" ht="25" customHeight="1" x14ac:dyDescent="0.25">
      <c r="A171" s="349" t="s">
        <v>226</v>
      </c>
      <c r="B171" s="350" t="s">
        <v>680</v>
      </c>
      <c r="C171" s="421">
        <v>4</v>
      </c>
      <c r="D171" s="351">
        <v>1</v>
      </c>
      <c r="E171" s="421">
        <v>13</v>
      </c>
      <c r="F171" s="254">
        <f t="shared" ref="F171:F184" si="22">I171+J171+K171</f>
        <v>858</v>
      </c>
      <c r="G171" s="292">
        <v>50</v>
      </c>
      <c r="H171" s="249">
        <f>C171*D171*E171*G171</f>
        <v>2600</v>
      </c>
      <c r="I171" s="251">
        <f>IF(G171&lt;70, C171*E171*16.5*1, C171*E171*16.5*1.3)</f>
        <v>858</v>
      </c>
      <c r="J171" s="252"/>
      <c r="K171" s="252"/>
      <c r="L171" s="252"/>
      <c r="M171" s="252"/>
      <c r="N171" s="252"/>
      <c r="O171" s="252"/>
      <c r="P171" s="252"/>
      <c r="Q171" s="253"/>
    </row>
    <row r="172" spans="1:17" s="3" customFormat="1" ht="25" customHeight="1" x14ac:dyDescent="0.25">
      <c r="A172" s="349" t="s">
        <v>227</v>
      </c>
      <c r="B172" s="350" t="s">
        <v>681</v>
      </c>
      <c r="C172" s="372">
        <v>3</v>
      </c>
      <c r="D172" s="352">
        <v>1</v>
      </c>
      <c r="E172" s="372">
        <v>7</v>
      </c>
      <c r="F172" s="254">
        <f t="shared" si="22"/>
        <v>450.45</v>
      </c>
      <c r="G172" s="293">
        <v>70</v>
      </c>
      <c r="H172" s="249">
        <f t="shared" ref="H172:H184" si="23">C172*D172*E172*G172</f>
        <v>1470</v>
      </c>
      <c r="I172" s="251">
        <f t="shared" ref="I172:I182" si="24">IF(G172&lt;70, C172*E172*16.5*1, C172*E172*16.5*1.3)</f>
        <v>450.45</v>
      </c>
      <c r="J172" s="252"/>
      <c r="K172" s="252"/>
      <c r="L172" s="252"/>
      <c r="M172" s="252"/>
      <c r="N172" s="252"/>
      <c r="O172" s="252"/>
      <c r="P172" s="252"/>
      <c r="Q172" s="253"/>
    </row>
    <row r="173" spans="1:17" s="3" customFormat="1" ht="25" customHeight="1" x14ac:dyDescent="0.25">
      <c r="A173" s="349" t="s">
        <v>229</v>
      </c>
      <c r="B173" s="350" t="s">
        <v>682</v>
      </c>
      <c r="C173" s="372">
        <v>5</v>
      </c>
      <c r="D173" s="352">
        <v>1</v>
      </c>
      <c r="E173" s="372">
        <v>6</v>
      </c>
      <c r="F173" s="254">
        <f t="shared" si="22"/>
        <v>643.5</v>
      </c>
      <c r="G173" s="293">
        <v>70</v>
      </c>
      <c r="H173" s="249">
        <f t="shared" si="23"/>
        <v>2100</v>
      </c>
      <c r="I173" s="251">
        <f t="shared" si="24"/>
        <v>643.5</v>
      </c>
      <c r="J173" s="252"/>
      <c r="K173" s="252"/>
      <c r="L173" s="252"/>
      <c r="M173" s="252"/>
      <c r="N173" s="252"/>
      <c r="O173" s="252"/>
      <c r="P173" s="252"/>
      <c r="Q173" s="253"/>
    </row>
    <row r="174" spans="1:17" s="3" customFormat="1" ht="25" customHeight="1" x14ac:dyDescent="0.25">
      <c r="A174" s="349" t="s">
        <v>230</v>
      </c>
      <c r="B174" s="350" t="s">
        <v>683</v>
      </c>
      <c r="C174" s="372">
        <v>2</v>
      </c>
      <c r="D174" s="352">
        <v>1</v>
      </c>
      <c r="E174" s="372">
        <v>1</v>
      </c>
      <c r="F174" s="254">
        <f t="shared" si="22"/>
        <v>33</v>
      </c>
      <c r="G174" s="293">
        <v>50</v>
      </c>
      <c r="H174" s="249">
        <f t="shared" si="23"/>
        <v>100</v>
      </c>
      <c r="I174" s="251">
        <f t="shared" si="24"/>
        <v>33</v>
      </c>
      <c r="J174" s="252"/>
      <c r="K174" s="252"/>
      <c r="L174" s="252"/>
      <c r="M174" s="252"/>
      <c r="N174" s="252"/>
      <c r="O174" s="252"/>
      <c r="P174" s="252"/>
      <c r="Q174" s="253"/>
    </row>
    <row r="175" spans="1:17" s="3" customFormat="1" ht="25" customHeight="1" x14ac:dyDescent="0.25">
      <c r="A175" s="349" t="s">
        <v>231</v>
      </c>
      <c r="B175" s="350" t="s">
        <v>411</v>
      </c>
      <c r="C175" s="372">
        <v>2</v>
      </c>
      <c r="D175" s="352">
        <v>1</v>
      </c>
      <c r="E175" s="372">
        <v>1</v>
      </c>
      <c r="F175" s="254">
        <f t="shared" si="22"/>
        <v>33</v>
      </c>
      <c r="G175" s="293">
        <v>55</v>
      </c>
      <c r="H175" s="249">
        <f t="shared" si="23"/>
        <v>110</v>
      </c>
      <c r="I175" s="251">
        <f t="shared" si="24"/>
        <v>33</v>
      </c>
      <c r="J175" s="252"/>
      <c r="K175" s="252"/>
      <c r="L175" s="252"/>
      <c r="M175" s="252"/>
      <c r="N175" s="252"/>
      <c r="O175" s="252"/>
      <c r="P175" s="252"/>
      <c r="Q175" s="253"/>
    </row>
    <row r="176" spans="1:17" s="3" customFormat="1" ht="25" customHeight="1" x14ac:dyDescent="0.25">
      <c r="A176" s="349" t="s">
        <v>285</v>
      </c>
      <c r="B176" s="350" t="s">
        <v>684</v>
      </c>
      <c r="C176" s="422">
        <v>3</v>
      </c>
      <c r="D176" s="352">
        <v>1</v>
      </c>
      <c r="E176" s="422">
        <v>1</v>
      </c>
      <c r="F176" s="254">
        <f t="shared" si="22"/>
        <v>49.5</v>
      </c>
      <c r="G176" s="293">
        <v>30</v>
      </c>
      <c r="H176" s="249">
        <f t="shared" si="23"/>
        <v>90</v>
      </c>
      <c r="I176" s="251">
        <f t="shared" si="24"/>
        <v>49.5</v>
      </c>
      <c r="J176" s="252"/>
      <c r="K176" s="252"/>
      <c r="L176" s="252"/>
      <c r="M176" s="252"/>
      <c r="N176" s="252"/>
      <c r="O176" s="252"/>
      <c r="P176" s="252"/>
      <c r="Q176" s="253"/>
    </row>
    <row r="177" spans="1:17" s="3" customFormat="1" ht="25" customHeight="1" x14ac:dyDescent="0.25">
      <c r="A177" s="349" t="s">
        <v>286</v>
      </c>
      <c r="B177" s="350" t="s">
        <v>412</v>
      </c>
      <c r="C177" s="422">
        <v>2</v>
      </c>
      <c r="D177" s="352">
        <v>1</v>
      </c>
      <c r="E177" s="422">
        <v>1</v>
      </c>
      <c r="F177" s="254">
        <f t="shared" si="22"/>
        <v>33</v>
      </c>
      <c r="G177" s="293">
        <v>30</v>
      </c>
      <c r="H177" s="249">
        <f t="shared" si="23"/>
        <v>60</v>
      </c>
      <c r="I177" s="251">
        <f t="shared" si="24"/>
        <v>33</v>
      </c>
      <c r="J177" s="252"/>
      <c r="K177" s="252"/>
      <c r="L177" s="252"/>
      <c r="M177" s="252"/>
      <c r="N177" s="252"/>
      <c r="O177" s="252"/>
      <c r="P177" s="252"/>
      <c r="Q177" s="253"/>
    </row>
    <row r="178" spans="1:17" s="3" customFormat="1" ht="25" customHeight="1" x14ac:dyDescent="0.25">
      <c r="A178" s="349" t="s">
        <v>289</v>
      </c>
      <c r="B178" s="350" t="s">
        <v>685</v>
      </c>
      <c r="C178" s="422">
        <v>2</v>
      </c>
      <c r="D178" s="352">
        <v>1</v>
      </c>
      <c r="E178" s="422">
        <v>1</v>
      </c>
      <c r="F178" s="254">
        <f t="shared" si="22"/>
        <v>33</v>
      </c>
      <c r="G178" s="293">
        <v>40</v>
      </c>
      <c r="H178" s="249">
        <f t="shared" si="23"/>
        <v>80</v>
      </c>
      <c r="I178" s="251">
        <f t="shared" si="24"/>
        <v>33</v>
      </c>
      <c r="J178" s="252"/>
      <c r="K178" s="252"/>
      <c r="L178" s="252"/>
      <c r="M178" s="252"/>
      <c r="N178" s="252"/>
      <c r="O178" s="252"/>
      <c r="P178" s="252"/>
      <c r="Q178" s="253"/>
    </row>
    <row r="179" spans="1:17" s="3" customFormat="1" ht="25" customHeight="1" x14ac:dyDescent="0.25">
      <c r="A179" s="349" t="s">
        <v>290</v>
      </c>
      <c r="B179" s="350" t="s">
        <v>686</v>
      </c>
      <c r="C179" s="422">
        <v>2</v>
      </c>
      <c r="D179" s="352">
        <v>1</v>
      </c>
      <c r="E179" s="422">
        <v>1</v>
      </c>
      <c r="F179" s="254">
        <f t="shared" si="22"/>
        <v>33</v>
      </c>
      <c r="G179" s="294">
        <v>40</v>
      </c>
      <c r="H179" s="249">
        <f t="shared" si="23"/>
        <v>80</v>
      </c>
      <c r="I179" s="251">
        <f t="shared" si="24"/>
        <v>33</v>
      </c>
      <c r="J179" s="252"/>
      <c r="K179" s="252"/>
      <c r="L179" s="252"/>
      <c r="M179" s="252"/>
      <c r="N179" s="252"/>
      <c r="O179" s="252"/>
      <c r="P179" s="252"/>
      <c r="Q179" s="253"/>
    </row>
    <row r="180" spans="1:17" s="3" customFormat="1" ht="25" customHeight="1" x14ac:dyDescent="0.25">
      <c r="A180" s="349" t="s">
        <v>291</v>
      </c>
      <c r="B180" s="350" t="s">
        <v>413</v>
      </c>
      <c r="C180" s="422">
        <v>1</v>
      </c>
      <c r="D180" s="352">
        <v>1.4</v>
      </c>
      <c r="E180" s="422">
        <v>6</v>
      </c>
      <c r="F180" s="254">
        <f t="shared" si="22"/>
        <v>99</v>
      </c>
      <c r="G180" s="294">
        <v>40</v>
      </c>
      <c r="H180" s="249">
        <f t="shared" si="23"/>
        <v>335.99999999999994</v>
      </c>
      <c r="I180" s="251">
        <f t="shared" si="24"/>
        <v>99</v>
      </c>
      <c r="J180" s="252"/>
      <c r="K180" s="252"/>
      <c r="L180" s="252"/>
      <c r="M180" s="252"/>
      <c r="N180" s="252"/>
      <c r="O180" s="252"/>
      <c r="P180" s="252"/>
      <c r="Q180" s="253"/>
    </row>
    <row r="181" spans="1:17" s="3" customFormat="1" ht="25" customHeight="1" x14ac:dyDescent="0.25">
      <c r="A181" s="349" t="s">
        <v>292</v>
      </c>
      <c r="B181" s="372" t="s">
        <v>414</v>
      </c>
      <c r="C181" s="422">
        <v>1</v>
      </c>
      <c r="D181" s="352">
        <v>1.4</v>
      </c>
      <c r="E181" s="422">
        <v>14</v>
      </c>
      <c r="F181" s="254">
        <f t="shared" si="22"/>
        <v>300.3</v>
      </c>
      <c r="G181" s="294">
        <v>80</v>
      </c>
      <c r="H181" s="249">
        <f t="shared" si="23"/>
        <v>1567.9999999999998</v>
      </c>
      <c r="I181" s="251">
        <f t="shared" si="24"/>
        <v>300.3</v>
      </c>
      <c r="J181" s="252"/>
      <c r="K181" s="252"/>
      <c r="L181" s="252"/>
      <c r="M181" s="252"/>
      <c r="N181" s="252"/>
      <c r="O181" s="252"/>
      <c r="P181" s="252"/>
      <c r="Q181" s="253"/>
    </row>
    <row r="182" spans="1:17" s="3" customFormat="1" ht="25" customHeight="1" x14ac:dyDescent="0.25">
      <c r="A182" s="354"/>
      <c r="B182" s="361" t="s">
        <v>380</v>
      </c>
      <c r="C182" s="364">
        <f>SUM(C171:C181)</f>
        <v>27</v>
      </c>
      <c r="D182" s="364">
        <f>SUM(D171:D181)</f>
        <v>11.8</v>
      </c>
      <c r="E182" s="364">
        <f>SUM(E171:E181)</f>
        <v>52</v>
      </c>
      <c r="F182" s="254">
        <f t="shared" si="22"/>
        <v>30115.8</v>
      </c>
      <c r="G182" s="294">
        <v>80</v>
      </c>
      <c r="H182" s="249">
        <f t="shared" si="23"/>
        <v>1325376</v>
      </c>
      <c r="I182" s="251">
        <f t="shared" si="24"/>
        <v>30115.8</v>
      </c>
      <c r="J182" s="252"/>
      <c r="K182" s="252"/>
      <c r="L182" s="252"/>
      <c r="M182" s="252"/>
      <c r="N182" s="252"/>
      <c r="O182" s="252"/>
      <c r="P182" s="252"/>
      <c r="Q182" s="253"/>
    </row>
    <row r="183" spans="1:17" s="3" customFormat="1" ht="25" customHeight="1" x14ac:dyDescent="0.25">
      <c r="A183" s="423">
        <v>2</v>
      </c>
      <c r="B183" s="423" t="s">
        <v>164</v>
      </c>
      <c r="C183" s="352"/>
      <c r="D183" s="352"/>
      <c r="E183" s="352"/>
      <c r="F183" s="254">
        <f t="shared" si="22"/>
        <v>0</v>
      </c>
      <c r="G183" s="294">
        <v>36</v>
      </c>
      <c r="H183" s="249">
        <f t="shared" si="23"/>
        <v>0</v>
      </c>
      <c r="I183" s="251">
        <f>E183*15</f>
        <v>0</v>
      </c>
      <c r="J183" s="252"/>
      <c r="K183" s="252"/>
      <c r="L183" s="252"/>
      <c r="M183" s="252"/>
      <c r="N183" s="252"/>
      <c r="O183" s="252"/>
      <c r="P183" s="252"/>
      <c r="Q183" s="253"/>
    </row>
    <row r="184" spans="1:17" s="3" customFormat="1" ht="25" customHeight="1" x14ac:dyDescent="0.25">
      <c r="A184" s="356" t="s">
        <v>147</v>
      </c>
      <c r="B184" s="357" t="s">
        <v>165</v>
      </c>
      <c r="C184" s="352"/>
      <c r="D184" s="352"/>
      <c r="E184" s="352"/>
      <c r="F184" s="254">
        <f t="shared" si="22"/>
        <v>0</v>
      </c>
      <c r="G184" s="294">
        <v>20</v>
      </c>
      <c r="H184" s="249">
        <f t="shared" si="23"/>
        <v>0</v>
      </c>
      <c r="I184" s="251">
        <f>E184*15</f>
        <v>0</v>
      </c>
      <c r="J184" s="252"/>
      <c r="K184" s="252"/>
      <c r="L184" s="252"/>
      <c r="M184" s="252"/>
      <c r="N184" s="252"/>
      <c r="O184" s="252"/>
      <c r="P184" s="252"/>
      <c r="Q184" s="253"/>
    </row>
    <row r="185" spans="1:17" s="3" customFormat="1" ht="25" customHeight="1" x14ac:dyDescent="0.25">
      <c r="A185" s="349" t="s">
        <v>226</v>
      </c>
      <c r="B185" s="350" t="s">
        <v>415</v>
      </c>
      <c r="C185" s="372">
        <v>3</v>
      </c>
      <c r="D185" s="352">
        <v>1</v>
      </c>
      <c r="E185" s="422">
        <v>3</v>
      </c>
      <c r="F185" s="271">
        <f>SUM(F171:F184)</f>
        <v>32681.55</v>
      </c>
      <c r="G185" s="279">
        <f>SUM(G171:G184)</f>
        <v>691</v>
      </c>
      <c r="H185" s="279">
        <f>SUM(H171:H184)</f>
        <v>1333970</v>
      </c>
      <c r="I185" s="279">
        <f>SUM(I171:I184)</f>
        <v>32681.55</v>
      </c>
      <c r="J185" s="252"/>
      <c r="K185" s="252"/>
      <c r="L185" s="252"/>
      <c r="M185" s="252"/>
      <c r="N185" s="252"/>
      <c r="O185" s="252"/>
      <c r="P185" s="252"/>
      <c r="Q185" s="253"/>
    </row>
    <row r="186" spans="1:17" s="3" customFormat="1" ht="25" customHeight="1" x14ac:dyDescent="0.25">
      <c r="A186" s="349" t="s">
        <v>227</v>
      </c>
      <c r="B186" s="350" t="s">
        <v>416</v>
      </c>
      <c r="C186" s="372">
        <v>3</v>
      </c>
      <c r="D186" s="352">
        <v>1</v>
      </c>
      <c r="E186" s="422">
        <v>1</v>
      </c>
      <c r="F186" s="295"/>
      <c r="G186" s="295"/>
      <c r="H186" s="257"/>
      <c r="I186" s="285"/>
      <c r="J186" s="252"/>
      <c r="K186" s="252"/>
      <c r="L186" s="252"/>
      <c r="M186" s="252"/>
      <c r="N186" s="252"/>
      <c r="O186" s="252"/>
      <c r="P186" s="252"/>
      <c r="Q186" s="253"/>
    </row>
    <row r="187" spans="1:17" s="3" customFormat="1" ht="25" customHeight="1" x14ac:dyDescent="0.25">
      <c r="A187" s="349" t="s">
        <v>228</v>
      </c>
      <c r="B187" s="350" t="s">
        <v>417</v>
      </c>
      <c r="C187" s="372">
        <v>3</v>
      </c>
      <c r="D187" s="352">
        <v>1</v>
      </c>
      <c r="E187" s="422">
        <v>1</v>
      </c>
      <c r="F187" s="295"/>
      <c r="G187" s="295"/>
      <c r="H187" s="257"/>
      <c r="I187" s="285"/>
      <c r="J187" s="252"/>
      <c r="K187" s="252"/>
      <c r="L187" s="252"/>
      <c r="M187" s="252"/>
      <c r="N187" s="252"/>
      <c r="O187" s="252"/>
      <c r="P187" s="252"/>
      <c r="Q187" s="253"/>
    </row>
    <row r="188" spans="1:17" s="3" customFormat="1" ht="25" customHeight="1" x14ac:dyDescent="0.25">
      <c r="A188" s="349" t="s">
        <v>229</v>
      </c>
      <c r="B188" s="350" t="s">
        <v>418</v>
      </c>
      <c r="C188" s="372">
        <v>3</v>
      </c>
      <c r="D188" s="352">
        <v>1</v>
      </c>
      <c r="E188" s="422">
        <v>1</v>
      </c>
      <c r="F188" s="254">
        <f t="shared" ref="F188:F194" si="25">I188+J188+K188</f>
        <v>74.25</v>
      </c>
      <c r="G188" s="293">
        <v>15</v>
      </c>
      <c r="H188" s="249">
        <f>C188*D188*E188*G188</f>
        <v>45</v>
      </c>
      <c r="I188" s="251">
        <f t="shared" ref="I188:I194" si="26">IF(G188&lt;70, C188*E188*16.5*1*1.5, C188*E188*16.5*1.3*1.5)</f>
        <v>74.25</v>
      </c>
      <c r="J188" s="252"/>
      <c r="K188" s="252"/>
      <c r="L188" s="252"/>
      <c r="M188" s="252"/>
      <c r="N188" s="252"/>
      <c r="O188" s="252"/>
      <c r="P188" s="252"/>
      <c r="Q188" s="253"/>
    </row>
    <row r="189" spans="1:17" s="3" customFormat="1" ht="25" customHeight="1" x14ac:dyDescent="0.25">
      <c r="A189" s="349" t="s">
        <v>230</v>
      </c>
      <c r="B189" s="353" t="s">
        <v>419</v>
      </c>
      <c r="C189" s="372">
        <v>3</v>
      </c>
      <c r="D189" s="352">
        <v>1</v>
      </c>
      <c r="E189" s="422">
        <v>3</v>
      </c>
      <c r="F189" s="254">
        <f t="shared" si="25"/>
        <v>222.75</v>
      </c>
      <c r="G189" s="293">
        <v>10</v>
      </c>
      <c r="H189" s="249">
        <f t="shared" ref="H189:H194" si="27">C189*D189*E189*G189</f>
        <v>90</v>
      </c>
      <c r="I189" s="251">
        <f t="shared" si="26"/>
        <v>222.75</v>
      </c>
      <c r="J189" s="252"/>
      <c r="K189" s="252"/>
      <c r="L189" s="252"/>
      <c r="M189" s="252"/>
      <c r="N189" s="252"/>
      <c r="O189" s="252"/>
      <c r="P189" s="252"/>
      <c r="Q189" s="253"/>
    </row>
    <row r="190" spans="1:17" s="3" customFormat="1" ht="25" customHeight="1" x14ac:dyDescent="0.25">
      <c r="A190" s="349" t="s">
        <v>231</v>
      </c>
      <c r="B190" s="353" t="s">
        <v>420</v>
      </c>
      <c r="C190" s="372">
        <v>3</v>
      </c>
      <c r="D190" s="352">
        <v>1</v>
      </c>
      <c r="E190" s="422">
        <v>1</v>
      </c>
      <c r="F190" s="254">
        <f t="shared" si="25"/>
        <v>74.25</v>
      </c>
      <c r="G190" s="293">
        <v>10</v>
      </c>
      <c r="H190" s="249">
        <f t="shared" si="27"/>
        <v>30</v>
      </c>
      <c r="I190" s="251">
        <f t="shared" si="26"/>
        <v>74.25</v>
      </c>
      <c r="J190" s="252"/>
      <c r="K190" s="252"/>
      <c r="L190" s="252"/>
      <c r="M190" s="252"/>
      <c r="N190" s="252"/>
      <c r="O190" s="252"/>
      <c r="P190" s="252"/>
      <c r="Q190" s="253"/>
    </row>
    <row r="191" spans="1:17" s="3" customFormat="1" ht="25" customHeight="1" x14ac:dyDescent="0.25">
      <c r="A191" s="349" t="s">
        <v>282</v>
      </c>
      <c r="B191" s="353" t="s">
        <v>421</v>
      </c>
      <c r="C191" s="372">
        <v>3</v>
      </c>
      <c r="D191" s="352">
        <v>1</v>
      </c>
      <c r="E191" s="422">
        <v>3</v>
      </c>
      <c r="F191" s="254">
        <f t="shared" si="25"/>
        <v>222.75</v>
      </c>
      <c r="G191" s="293">
        <v>10</v>
      </c>
      <c r="H191" s="249">
        <f t="shared" si="27"/>
        <v>90</v>
      </c>
      <c r="I191" s="251">
        <f t="shared" si="26"/>
        <v>222.75</v>
      </c>
      <c r="J191" s="252"/>
      <c r="K191" s="252"/>
      <c r="L191" s="252"/>
      <c r="M191" s="252"/>
      <c r="N191" s="252"/>
      <c r="O191" s="252"/>
      <c r="P191" s="252"/>
      <c r="Q191" s="253"/>
    </row>
    <row r="192" spans="1:17" s="3" customFormat="1" ht="25" customHeight="1" x14ac:dyDescent="0.25">
      <c r="A192" s="354"/>
      <c r="B192" s="424" t="s">
        <v>380</v>
      </c>
      <c r="C192" s="364">
        <f>SUM(C185:C191)</f>
        <v>21</v>
      </c>
      <c r="D192" s="364">
        <f>SUM(D185:D191)</f>
        <v>7</v>
      </c>
      <c r="E192" s="364">
        <f>SUM(E185:E191)</f>
        <v>13</v>
      </c>
      <c r="F192" s="254">
        <f t="shared" si="25"/>
        <v>6756.75</v>
      </c>
      <c r="G192" s="293">
        <v>15</v>
      </c>
      <c r="H192" s="249">
        <f t="shared" si="27"/>
        <v>28665</v>
      </c>
      <c r="I192" s="251">
        <f t="shared" si="26"/>
        <v>6756.75</v>
      </c>
      <c r="J192" s="252"/>
      <c r="K192" s="252"/>
      <c r="L192" s="252"/>
      <c r="M192" s="252"/>
      <c r="N192" s="252"/>
      <c r="O192" s="252"/>
      <c r="P192" s="252"/>
      <c r="Q192" s="253"/>
    </row>
    <row r="193" spans="1:17" s="3" customFormat="1" ht="25" customHeight="1" x14ac:dyDescent="0.25">
      <c r="A193" s="423" t="s">
        <v>8</v>
      </c>
      <c r="B193" s="423" t="s">
        <v>224</v>
      </c>
      <c r="C193" s="352"/>
      <c r="D193" s="352"/>
      <c r="E193" s="352"/>
      <c r="F193" s="254">
        <f t="shared" si="25"/>
        <v>0</v>
      </c>
      <c r="G193" s="293">
        <v>10</v>
      </c>
      <c r="H193" s="249">
        <f t="shared" si="27"/>
        <v>0</v>
      </c>
      <c r="I193" s="251">
        <f t="shared" si="26"/>
        <v>0</v>
      </c>
      <c r="J193" s="252"/>
      <c r="K193" s="252"/>
      <c r="L193" s="252"/>
      <c r="M193" s="252"/>
      <c r="N193" s="252"/>
      <c r="O193" s="252"/>
      <c r="P193" s="252"/>
      <c r="Q193" s="253"/>
    </row>
    <row r="194" spans="1:17" s="3" customFormat="1" ht="25" customHeight="1" x14ac:dyDescent="0.25">
      <c r="A194" s="423">
        <v>1</v>
      </c>
      <c r="B194" s="357" t="s">
        <v>225</v>
      </c>
      <c r="C194" s="352"/>
      <c r="D194" s="352"/>
      <c r="E194" s="352"/>
      <c r="F194" s="254">
        <f t="shared" si="25"/>
        <v>0</v>
      </c>
      <c r="G194" s="293">
        <v>15</v>
      </c>
      <c r="H194" s="249">
        <f t="shared" si="27"/>
        <v>0</v>
      </c>
      <c r="I194" s="251">
        <f t="shared" si="26"/>
        <v>0</v>
      </c>
      <c r="J194" s="252"/>
      <c r="K194" s="252"/>
      <c r="L194" s="252"/>
      <c r="M194" s="252"/>
      <c r="N194" s="252"/>
      <c r="O194" s="252"/>
      <c r="P194" s="252"/>
      <c r="Q194" s="253"/>
    </row>
    <row r="195" spans="1:17" s="3" customFormat="1" ht="25" customHeight="1" x14ac:dyDescent="0.25">
      <c r="A195" s="423" t="s">
        <v>147</v>
      </c>
      <c r="B195" s="357" t="s">
        <v>163</v>
      </c>
      <c r="C195" s="352"/>
      <c r="D195" s="352"/>
      <c r="E195" s="352"/>
      <c r="F195" s="271">
        <f>SUM(F188:F194)</f>
        <v>7350.75</v>
      </c>
      <c r="G195" s="279">
        <f>SUM(G188:G194)</f>
        <v>85</v>
      </c>
      <c r="H195" s="279">
        <f>SUM(H188:H194)</f>
        <v>28920</v>
      </c>
      <c r="I195" s="279">
        <f>SUM(I188:I194)</f>
        <v>7350.75</v>
      </c>
      <c r="J195" s="252"/>
      <c r="K195" s="252"/>
      <c r="L195" s="252"/>
      <c r="M195" s="252"/>
      <c r="N195" s="252"/>
      <c r="O195" s="252"/>
      <c r="P195" s="252"/>
      <c r="Q195" s="253"/>
    </row>
    <row r="196" spans="1:17" s="3" customFormat="1" ht="25" customHeight="1" x14ac:dyDescent="0.25">
      <c r="A196" s="354" t="s">
        <v>226</v>
      </c>
      <c r="B196" s="350" t="s">
        <v>687</v>
      </c>
      <c r="C196" s="422">
        <v>5</v>
      </c>
      <c r="D196" s="352">
        <v>1</v>
      </c>
      <c r="E196" s="352">
        <v>25</v>
      </c>
      <c r="F196" s="295"/>
      <c r="G196" s="295"/>
      <c r="H196" s="295"/>
      <c r="I196" s="296"/>
      <c r="J196" s="296"/>
      <c r="K196" s="296"/>
      <c r="L196" s="296"/>
      <c r="M196" s="296"/>
      <c r="N196" s="296"/>
      <c r="O196" s="296"/>
      <c r="P196" s="296"/>
      <c r="Q196" s="297"/>
    </row>
    <row r="197" spans="1:17" s="3" customFormat="1" ht="25" customHeight="1" x14ac:dyDescent="0.25">
      <c r="A197" s="354" t="s">
        <v>227</v>
      </c>
      <c r="B197" s="350" t="s">
        <v>688</v>
      </c>
      <c r="C197" s="422">
        <v>5</v>
      </c>
      <c r="D197" s="352">
        <v>1</v>
      </c>
      <c r="E197" s="352">
        <v>26</v>
      </c>
      <c r="F197" s="295"/>
      <c r="G197" s="295"/>
      <c r="H197" s="295"/>
      <c r="I197" s="296"/>
      <c r="J197" s="296"/>
      <c r="K197" s="296"/>
      <c r="L197" s="296"/>
      <c r="M197" s="296"/>
      <c r="N197" s="296"/>
      <c r="O197" s="296"/>
      <c r="P197" s="296"/>
      <c r="Q197" s="297"/>
    </row>
    <row r="198" spans="1:17" s="3" customFormat="1" ht="25" customHeight="1" x14ac:dyDescent="0.25">
      <c r="A198" s="354"/>
      <c r="B198" s="361" t="s">
        <v>380</v>
      </c>
      <c r="C198" s="364">
        <f>SUM(C196:C197)</f>
        <v>10</v>
      </c>
      <c r="D198" s="364">
        <f>SUM(D196:D197)</f>
        <v>2</v>
      </c>
      <c r="E198" s="364">
        <f>SUM(E196:E197)</f>
        <v>51</v>
      </c>
      <c r="F198" s="295"/>
      <c r="G198" s="295"/>
      <c r="H198" s="295"/>
      <c r="I198" s="296"/>
      <c r="J198" s="296"/>
      <c r="K198" s="296"/>
      <c r="L198" s="296"/>
      <c r="M198" s="296"/>
      <c r="N198" s="296"/>
      <c r="O198" s="296"/>
      <c r="P198" s="296"/>
      <c r="Q198" s="297"/>
    </row>
    <row r="199" spans="1:17" s="3" customFormat="1" ht="25" customHeight="1" x14ac:dyDescent="0.25">
      <c r="A199" s="393"/>
      <c r="B199" s="398" t="s">
        <v>424</v>
      </c>
      <c r="C199" s="388">
        <f>C182+C192+C198</f>
        <v>58</v>
      </c>
      <c r="D199" s="388">
        <f>D182+D192+D198</f>
        <v>20.8</v>
      </c>
      <c r="E199" s="388">
        <f>E182+E192+E198</f>
        <v>116</v>
      </c>
      <c r="F199" s="254">
        <f>I199+J199+K199</f>
        <v>111012</v>
      </c>
      <c r="G199" s="295">
        <v>50</v>
      </c>
      <c r="H199" s="249">
        <f>C199*D199*E199*G199</f>
        <v>6997120.0000000009</v>
      </c>
      <c r="I199" s="251">
        <f>IF(G199&lt;70, C199*E199*16.5*1, C199*E199*16.5*1.3)</f>
        <v>111012</v>
      </c>
      <c r="J199" s="296"/>
      <c r="K199" s="296"/>
      <c r="L199" s="296"/>
      <c r="M199" s="296"/>
      <c r="N199" s="296"/>
      <c r="O199" s="296"/>
      <c r="P199" s="296"/>
      <c r="Q199" s="297"/>
    </row>
    <row r="200" spans="1:17" s="3" customFormat="1" ht="25" customHeight="1" x14ac:dyDescent="0.25">
      <c r="A200" s="288" t="s">
        <v>431</v>
      </c>
      <c r="B200" s="323" t="s">
        <v>432</v>
      </c>
      <c r="C200" s="287"/>
      <c r="D200" s="287"/>
      <c r="E200" s="287"/>
      <c r="F200" s="318"/>
      <c r="G200" s="287"/>
      <c r="H200" s="287"/>
      <c r="I200" s="287"/>
      <c r="J200" s="252"/>
      <c r="K200" s="252"/>
      <c r="L200" s="252"/>
      <c r="M200" s="252"/>
      <c r="N200" s="252"/>
      <c r="O200" s="252"/>
      <c r="P200" s="252"/>
      <c r="Q200" s="253"/>
    </row>
    <row r="201" spans="1:17" s="3" customFormat="1" ht="25" customHeight="1" x14ac:dyDescent="0.25">
      <c r="A201" s="288" t="s">
        <v>7</v>
      </c>
      <c r="B201" s="288" t="s">
        <v>223</v>
      </c>
      <c r="C201" s="287"/>
      <c r="D201" s="287"/>
      <c r="E201" s="287"/>
      <c r="F201" s="318"/>
      <c r="G201" s="287"/>
      <c r="H201" s="287"/>
      <c r="I201" s="287"/>
      <c r="J201" s="252"/>
      <c r="K201" s="252"/>
      <c r="L201" s="252"/>
      <c r="M201" s="252"/>
      <c r="N201" s="252"/>
      <c r="O201" s="252"/>
      <c r="P201" s="252"/>
      <c r="Q201" s="253"/>
    </row>
    <row r="202" spans="1:17" s="3" customFormat="1" ht="25" customHeight="1" x14ac:dyDescent="0.25">
      <c r="A202" s="288">
        <v>1</v>
      </c>
      <c r="B202" s="288" t="s">
        <v>4</v>
      </c>
      <c r="C202" s="287"/>
      <c r="D202" s="287"/>
      <c r="E202" s="287"/>
      <c r="F202" s="318"/>
      <c r="G202" s="287"/>
      <c r="H202" s="287"/>
      <c r="I202" s="287"/>
      <c r="J202" s="252"/>
      <c r="K202" s="252"/>
      <c r="L202" s="252"/>
      <c r="M202" s="252"/>
      <c r="N202" s="252"/>
      <c r="O202" s="252"/>
      <c r="P202" s="252"/>
      <c r="Q202" s="253"/>
    </row>
    <row r="203" spans="1:17" s="3" customFormat="1" ht="25" customHeight="1" x14ac:dyDescent="0.25">
      <c r="A203" s="349" t="s">
        <v>226</v>
      </c>
      <c r="B203" s="350" t="s">
        <v>689</v>
      </c>
      <c r="C203" s="351">
        <v>4</v>
      </c>
      <c r="D203" s="351">
        <v>1</v>
      </c>
      <c r="E203" s="351">
        <v>10</v>
      </c>
      <c r="F203" s="295"/>
      <c r="G203" s="291"/>
      <c r="H203" s="291"/>
      <c r="I203" s="298"/>
      <c r="J203" s="252"/>
      <c r="K203" s="252"/>
      <c r="L203" s="252"/>
      <c r="M203" s="252"/>
      <c r="N203" s="252"/>
      <c r="O203" s="252"/>
      <c r="P203" s="252"/>
      <c r="Q203" s="253"/>
    </row>
    <row r="204" spans="1:17" s="3" customFormat="1" ht="25" customHeight="1" x14ac:dyDescent="0.25">
      <c r="A204" s="349" t="s">
        <v>227</v>
      </c>
      <c r="B204" s="350" t="s">
        <v>690</v>
      </c>
      <c r="C204" s="352">
        <v>3</v>
      </c>
      <c r="D204" s="352">
        <v>1</v>
      </c>
      <c r="E204" s="352">
        <v>4</v>
      </c>
      <c r="F204" s="254">
        <f t="shared" ref="F204:F210" si="28">I204+J204+K204</f>
        <v>257.40000000000003</v>
      </c>
      <c r="G204" s="299">
        <v>70</v>
      </c>
      <c r="H204" s="249">
        <f t="shared" ref="H204:H210" si="29">C204*D204*E204*G204</f>
        <v>840</v>
      </c>
      <c r="I204" s="251">
        <f t="shared" ref="I204:I210" si="30">IF(G204&lt;70, C204*E204*16.5*1, C204*E204*16.5*1.3)</f>
        <v>257.40000000000003</v>
      </c>
      <c r="J204" s="252"/>
      <c r="K204" s="252"/>
      <c r="L204" s="252"/>
      <c r="M204" s="252"/>
      <c r="N204" s="252"/>
      <c r="O204" s="252"/>
      <c r="P204" s="252"/>
      <c r="Q204" s="253"/>
    </row>
    <row r="205" spans="1:17" s="3" customFormat="1" ht="25" customHeight="1" x14ac:dyDescent="0.25">
      <c r="A205" s="349" t="s">
        <v>228</v>
      </c>
      <c r="B205" s="350" t="s">
        <v>426</v>
      </c>
      <c r="C205" s="352">
        <v>3</v>
      </c>
      <c r="D205" s="352">
        <v>1</v>
      </c>
      <c r="E205" s="352">
        <v>3</v>
      </c>
      <c r="F205" s="254">
        <f t="shared" si="28"/>
        <v>193.05</v>
      </c>
      <c r="G205" s="295">
        <v>70</v>
      </c>
      <c r="H205" s="249">
        <f t="shared" si="29"/>
        <v>630</v>
      </c>
      <c r="I205" s="251">
        <f t="shared" si="30"/>
        <v>193.05</v>
      </c>
      <c r="J205" s="252"/>
      <c r="K205" s="252"/>
      <c r="L205" s="252"/>
      <c r="M205" s="252"/>
      <c r="N205" s="252"/>
      <c r="O205" s="252"/>
      <c r="P205" s="252"/>
      <c r="Q205" s="253"/>
    </row>
    <row r="206" spans="1:17" s="3" customFormat="1" ht="25" customHeight="1" x14ac:dyDescent="0.25">
      <c r="A206" s="349" t="s">
        <v>229</v>
      </c>
      <c r="B206" s="350" t="s">
        <v>427</v>
      </c>
      <c r="C206" s="352">
        <v>4</v>
      </c>
      <c r="D206" s="352">
        <v>1</v>
      </c>
      <c r="E206" s="352">
        <v>3</v>
      </c>
      <c r="F206" s="254">
        <f t="shared" si="28"/>
        <v>257.40000000000003</v>
      </c>
      <c r="G206" s="295">
        <v>70</v>
      </c>
      <c r="H206" s="249">
        <f t="shared" si="29"/>
        <v>840</v>
      </c>
      <c r="I206" s="251">
        <f t="shared" si="30"/>
        <v>257.40000000000003</v>
      </c>
      <c r="J206" s="252"/>
      <c r="K206" s="252"/>
      <c r="L206" s="252"/>
      <c r="M206" s="252"/>
      <c r="N206" s="252"/>
      <c r="O206" s="252"/>
      <c r="P206" s="252"/>
      <c r="Q206" s="253"/>
    </row>
    <row r="207" spans="1:17" s="3" customFormat="1" ht="25" customHeight="1" x14ac:dyDescent="0.25">
      <c r="A207" s="349" t="s">
        <v>230</v>
      </c>
      <c r="B207" s="350" t="s">
        <v>428</v>
      </c>
      <c r="C207" s="352">
        <v>4</v>
      </c>
      <c r="D207" s="352">
        <v>1</v>
      </c>
      <c r="E207" s="352">
        <v>4</v>
      </c>
      <c r="F207" s="254">
        <f t="shared" si="28"/>
        <v>343.2</v>
      </c>
      <c r="G207" s="295">
        <v>70</v>
      </c>
      <c r="H207" s="249">
        <f t="shared" si="29"/>
        <v>1120</v>
      </c>
      <c r="I207" s="251">
        <f t="shared" si="30"/>
        <v>343.2</v>
      </c>
      <c r="J207" s="252"/>
      <c r="K207" s="252"/>
      <c r="L207" s="252"/>
      <c r="M207" s="252"/>
      <c r="N207" s="252"/>
      <c r="O207" s="252"/>
      <c r="P207" s="252"/>
      <c r="Q207" s="253"/>
    </row>
    <row r="208" spans="1:17" s="3" customFormat="1" ht="25" customHeight="1" x14ac:dyDescent="0.25">
      <c r="A208" s="349" t="s">
        <v>231</v>
      </c>
      <c r="B208" s="353" t="s">
        <v>429</v>
      </c>
      <c r="C208" s="352">
        <v>4</v>
      </c>
      <c r="D208" s="352">
        <v>1</v>
      </c>
      <c r="E208" s="352">
        <v>1</v>
      </c>
      <c r="F208" s="254">
        <f t="shared" si="28"/>
        <v>85.8</v>
      </c>
      <c r="G208" s="295">
        <v>70</v>
      </c>
      <c r="H208" s="249">
        <f t="shared" si="29"/>
        <v>280</v>
      </c>
      <c r="I208" s="251">
        <f t="shared" si="30"/>
        <v>85.8</v>
      </c>
      <c r="J208" s="252"/>
      <c r="K208" s="252"/>
      <c r="L208" s="252"/>
      <c r="M208" s="252"/>
      <c r="N208" s="252"/>
      <c r="O208" s="252"/>
      <c r="P208" s="252"/>
      <c r="Q208" s="253"/>
    </row>
    <row r="209" spans="1:17" s="3" customFormat="1" ht="25" customHeight="1" x14ac:dyDescent="0.25">
      <c r="A209" s="349" t="s">
        <v>691</v>
      </c>
      <c r="B209" s="353" t="s">
        <v>692</v>
      </c>
      <c r="C209" s="352">
        <v>2</v>
      </c>
      <c r="D209" s="352">
        <v>1</v>
      </c>
      <c r="E209" s="352">
        <v>4</v>
      </c>
      <c r="F209" s="254">
        <f t="shared" si="28"/>
        <v>171.6</v>
      </c>
      <c r="G209" s="295">
        <v>70</v>
      </c>
      <c r="H209" s="249">
        <f t="shared" si="29"/>
        <v>560</v>
      </c>
      <c r="I209" s="251">
        <f t="shared" si="30"/>
        <v>171.6</v>
      </c>
      <c r="J209" s="252"/>
      <c r="K209" s="252"/>
      <c r="L209" s="252"/>
      <c r="M209" s="252"/>
      <c r="N209" s="252"/>
      <c r="O209" s="252"/>
      <c r="P209" s="252"/>
      <c r="Q209" s="253"/>
    </row>
    <row r="210" spans="1:17" s="3" customFormat="1" ht="25" customHeight="1" x14ac:dyDescent="0.25">
      <c r="A210" s="349" t="s">
        <v>693</v>
      </c>
      <c r="B210" s="353" t="s">
        <v>694</v>
      </c>
      <c r="C210" s="352">
        <v>2</v>
      </c>
      <c r="D210" s="352">
        <v>1</v>
      </c>
      <c r="E210" s="352">
        <v>10</v>
      </c>
      <c r="F210" s="254">
        <f t="shared" si="28"/>
        <v>429</v>
      </c>
      <c r="G210" s="295">
        <v>70</v>
      </c>
      <c r="H210" s="249">
        <f t="shared" si="29"/>
        <v>1400</v>
      </c>
      <c r="I210" s="251">
        <f t="shared" si="30"/>
        <v>429</v>
      </c>
      <c r="J210" s="252"/>
      <c r="K210" s="252"/>
      <c r="L210" s="252"/>
      <c r="M210" s="252"/>
      <c r="N210" s="252"/>
      <c r="O210" s="252"/>
      <c r="P210" s="252"/>
      <c r="Q210" s="253"/>
    </row>
    <row r="211" spans="1:17" s="3" customFormat="1" ht="25" customHeight="1" x14ac:dyDescent="0.25">
      <c r="A211" s="349" t="s">
        <v>282</v>
      </c>
      <c r="B211" s="353" t="s">
        <v>430</v>
      </c>
      <c r="C211" s="352">
        <v>3</v>
      </c>
      <c r="D211" s="352">
        <v>1</v>
      </c>
      <c r="E211" s="352">
        <v>4</v>
      </c>
      <c r="F211" s="271">
        <f>SUM(F204:F210)</f>
        <v>1737.45</v>
      </c>
      <c r="G211" s="279">
        <f>SUM(G204:G210)</f>
        <v>490</v>
      </c>
      <c r="H211" s="279">
        <f>SUM(H204:H210)</f>
        <v>5670</v>
      </c>
      <c r="I211" s="279">
        <f>SUM(I204:I210)</f>
        <v>1737.45</v>
      </c>
      <c r="J211" s="252"/>
      <c r="K211" s="252"/>
      <c r="L211" s="252"/>
      <c r="M211" s="252"/>
      <c r="N211" s="252"/>
      <c r="O211" s="252"/>
      <c r="P211" s="252"/>
      <c r="Q211" s="253"/>
    </row>
    <row r="212" spans="1:17" s="3" customFormat="1" ht="25" customHeight="1" x14ac:dyDescent="0.25">
      <c r="A212" s="354"/>
      <c r="B212" s="361" t="s">
        <v>380</v>
      </c>
      <c r="C212" s="364">
        <f>SUM(C203:C211)</f>
        <v>29</v>
      </c>
      <c r="D212" s="364">
        <f>SUM(D203:D211)</f>
        <v>9</v>
      </c>
      <c r="E212" s="364">
        <f>SUM(E203:E211)</f>
        <v>43</v>
      </c>
      <c r="F212" s="295"/>
      <c r="G212" s="295"/>
      <c r="H212" s="295"/>
      <c r="I212" s="296"/>
      <c r="J212" s="296"/>
      <c r="K212" s="296"/>
      <c r="L212" s="296"/>
      <c r="M212" s="296"/>
      <c r="N212" s="252"/>
      <c r="O212" s="252"/>
      <c r="P212" s="252"/>
      <c r="Q212" s="253"/>
    </row>
    <row r="213" spans="1:17" s="3" customFormat="1" ht="25" customHeight="1" x14ac:dyDescent="0.25">
      <c r="A213" s="359" t="s">
        <v>148</v>
      </c>
      <c r="B213" s="360" t="s">
        <v>151</v>
      </c>
      <c r="C213" s="352"/>
      <c r="D213" s="352"/>
      <c r="E213" s="352"/>
      <c r="F213" s="295"/>
      <c r="G213" s="295"/>
      <c r="H213" s="295"/>
      <c r="I213" s="296"/>
      <c r="J213" s="296"/>
      <c r="K213" s="296"/>
      <c r="L213" s="296"/>
      <c r="M213" s="296"/>
      <c r="N213" s="252"/>
      <c r="O213" s="252"/>
      <c r="P213" s="252"/>
      <c r="Q213" s="253"/>
    </row>
    <row r="214" spans="1:17" s="3" customFormat="1" ht="25" customHeight="1" x14ac:dyDescent="0.25">
      <c r="A214" s="354" t="s">
        <v>232</v>
      </c>
      <c r="B214" s="349" t="s">
        <v>154</v>
      </c>
      <c r="C214" s="352"/>
      <c r="D214" s="352"/>
      <c r="E214" s="352"/>
      <c r="F214" s="295"/>
      <c r="G214" s="295"/>
      <c r="H214" s="295"/>
      <c r="I214" s="296"/>
      <c r="J214" s="296"/>
      <c r="K214" s="296"/>
      <c r="L214" s="296"/>
      <c r="M214" s="296"/>
      <c r="N214" s="252"/>
      <c r="O214" s="252"/>
      <c r="P214" s="252"/>
      <c r="Q214" s="253"/>
    </row>
    <row r="215" spans="1:17" s="3" customFormat="1" ht="25" customHeight="1" x14ac:dyDescent="0.25">
      <c r="A215" s="354" t="s">
        <v>233</v>
      </c>
      <c r="B215" s="349" t="s">
        <v>153</v>
      </c>
      <c r="C215" s="352"/>
      <c r="D215" s="352"/>
      <c r="E215" s="352"/>
      <c r="F215" s="295"/>
      <c r="G215" s="295"/>
      <c r="H215" s="295"/>
      <c r="I215" s="296"/>
      <c r="J215" s="296"/>
      <c r="K215" s="296"/>
      <c r="L215" s="296"/>
      <c r="M215" s="296"/>
      <c r="N215" s="252"/>
      <c r="O215" s="252"/>
      <c r="P215" s="252"/>
      <c r="Q215" s="253"/>
    </row>
    <row r="216" spans="1:17" s="3" customFormat="1" ht="25" customHeight="1" x14ac:dyDescent="0.25">
      <c r="A216" s="354" t="s">
        <v>234</v>
      </c>
      <c r="B216" s="349" t="s">
        <v>155</v>
      </c>
      <c r="C216" s="352"/>
      <c r="D216" s="352"/>
      <c r="E216" s="352"/>
      <c r="F216" s="295"/>
      <c r="G216" s="295"/>
      <c r="H216" s="295"/>
      <c r="I216" s="296"/>
      <c r="J216" s="296"/>
      <c r="K216" s="296"/>
      <c r="L216" s="296"/>
      <c r="M216" s="296"/>
      <c r="N216" s="252"/>
      <c r="O216" s="252"/>
      <c r="P216" s="252"/>
      <c r="Q216" s="253"/>
    </row>
    <row r="217" spans="1:17" s="3" customFormat="1" ht="25" customHeight="1" x14ac:dyDescent="0.25">
      <c r="A217" s="354" t="s">
        <v>235</v>
      </c>
      <c r="B217" s="349" t="s">
        <v>156</v>
      </c>
      <c r="C217" s="352"/>
      <c r="D217" s="352"/>
      <c r="E217" s="352"/>
      <c r="F217" s="295"/>
      <c r="G217" s="295"/>
      <c r="H217" s="295"/>
      <c r="I217" s="296"/>
      <c r="J217" s="296"/>
      <c r="K217" s="296"/>
      <c r="L217" s="296"/>
      <c r="M217" s="296"/>
      <c r="N217" s="252"/>
      <c r="O217" s="252"/>
      <c r="P217" s="252"/>
      <c r="Q217" s="253"/>
    </row>
    <row r="218" spans="1:17" s="3" customFormat="1" ht="25" customHeight="1" x14ac:dyDescent="0.25">
      <c r="A218" s="354" t="s">
        <v>236</v>
      </c>
      <c r="B218" s="349" t="s">
        <v>157</v>
      </c>
      <c r="C218" s="352"/>
      <c r="D218" s="352"/>
      <c r="E218" s="352"/>
      <c r="F218" s="295"/>
      <c r="G218" s="295"/>
      <c r="H218" s="295"/>
      <c r="I218" s="296"/>
      <c r="J218" s="296"/>
      <c r="K218" s="296"/>
      <c r="L218" s="296"/>
      <c r="M218" s="296"/>
      <c r="N218" s="252"/>
      <c r="O218" s="252"/>
      <c r="P218" s="252"/>
      <c r="Q218" s="253"/>
    </row>
    <row r="219" spans="1:17" s="3" customFormat="1" ht="25" customHeight="1" x14ac:dyDescent="0.25">
      <c r="A219" s="423">
        <v>2</v>
      </c>
      <c r="B219" s="423" t="s">
        <v>164</v>
      </c>
      <c r="C219" s="352"/>
      <c r="D219" s="352"/>
      <c r="E219" s="352"/>
      <c r="F219" s="295"/>
      <c r="G219" s="295"/>
      <c r="H219" s="295"/>
      <c r="I219" s="296"/>
      <c r="J219" s="296"/>
      <c r="K219" s="296"/>
      <c r="L219" s="296"/>
      <c r="M219" s="296"/>
      <c r="N219" s="252"/>
      <c r="O219" s="252"/>
      <c r="P219" s="252"/>
      <c r="Q219" s="253"/>
    </row>
    <row r="220" spans="1:17" s="3" customFormat="1" ht="25" customHeight="1" x14ac:dyDescent="0.25">
      <c r="A220" s="356" t="s">
        <v>147</v>
      </c>
      <c r="B220" s="357" t="s">
        <v>165</v>
      </c>
      <c r="C220" s="352"/>
      <c r="D220" s="352"/>
      <c r="E220" s="352"/>
      <c r="F220" s="254">
        <f>I220+J220+K220</f>
        <v>0</v>
      </c>
      <c r="G220" s="295">
        <v>25</v>
      </c>
      <c r="H220" s="249">
        <f>C220*D220*E220*G220</f>
        <v>0</v>
      </c>
      <c r="I220" s="251">
        <f>IF(G220&lt;70, C220*E220*16.5*1.5, C220*E220*16.5*1.5)</f>
        <v>0</v>
      </c>
      <c r="J220" s="296"/>
      <c r="K220" s="296"/>
      <c r="L220" s="296"/>
      <c r="M220" s="296"/>
      <c r="N220" s="252"/>
      <c r="O220" s="252"/>
      <c r="P220" s="252"/>
      <c r="Q220" s="253"/>
    </row>
    <row r="221" spans="1:17" s="3" customFormat="1" ht="25" customHeight="1" x14ac:dyDescent="0.25">
      <c r="A221" s="349" t="s">
        <v>226</v>
      </c>
      <c r="B221" s="350" t="s">
        <v>433</v>
      </c>
      <c r="C221" s="352">
        <v>3</v>
      </c>
      <c r="D221" s="352">
        <v>1</v>
      </c>
      <c r="E221" s="352">
        <v>3</v>
      </c>
      <c r="F221" s="254">
        <f>I221+J221+K221</f>
        <v>222.75</v>
      </c>
      <c r="G221" s="295">
        <v>15</v>
      </c>
      <c r="H221" s="249">
        <f>C221*D221*E221*G221</f>
        <v>135</v>
      </c>
      <c r="I221" s="251">
        <f>IF(G221&lt;70, C221*E221*16.5*1.5, C221*E221*16.5*1.5)</f>
        <v>222.75</v>
      </c>
      <c r="J221" s="296"/>
      <c r="K221" s="296"/>
      <c r="L221" s="296"/>
      <c r="M221" s="296"/>
      <c r="N221" s="252"/>
      <c r="O221" s="252"/>
      <c r="P221" s="252"/>
      <c r="Q221" s="253"/>
    </row>
    <row r="222" spans="1:17" s="3" customFormat="1" ht="25" customHeight="1" x14ac:dyDescent="0.25">
      <c r="A222" s="349" t="s">
        <v>227</v>
      </c>
      <c r="B222" s="350" t="s">
        <v>434</v>
      </c>
      <c r="C222" s="352">
        <v>3</v>
      </c>
      <c r="D222" s="352">
        <v>1</v>
      </c>
      <c r="E222" s="352">
        <v>1</v>
      </c>
      <c r="F222" s="254">
        <f>I222+J222+K222</f>
        <v>74.25</v>
      </c>
      <c r="G222" s="295">
        <v>25</v>
      </c>
      <c r="H222" s="249">
        <f>C222*D222*E222*G222</f>
        <v>75</v>
      </c>
      <c r="I222" s="251">
        <f>IF(G222&lt;70, C222*E222*16.5*1.5, C222*E222*16.5*1.5)</f>
        <v>74.25</v>
      </c>
      <c r="J222" s="296"/>
      <c r="K222" s="296"/>
      <c r="L222" s="296"/>
      <c r="M222" s="296"/>
      <c r="N222" s="252"/>
      <c r="O222" s="252"/>
      <c r="P222" s="252"/>
      <c r="Q222" s="253"/>
    </row>
    <row r="223" spans="1:17" s="3" customFormat="1" ht="25" customHeight="1" x14ac:dyDescent="0.25">
      <c r="A223" s="349"/>
      <c r="B223" s="350" t="s">
        <v>695</v>
      </c>
      <c r="C223" s="352">
        <v>3</v>
      </c>
      <c r="D223" s="352">
        <v>1</v>
      </c>
      <c r="E223" s="352">
        <v>1</v>
      </c>
      <c r="F223" s="295">
        <f>SUM(F220:F222)</f>
        <v>297</v>
      </c>
      <c r="G223" s="291">
        <f>SUM(G220:G222)</f>
        <v>65</v>
      </c>
      <c r="H223" s="291">
        <f>SUM(H220:H222)</f>
        <v>210</v>
      </c>
      <c r="I223" s="291">
        <f>SUM(I220:I222)</f>
        <v>297</v>
      </c>
      <c r="J223" s="296"/>
      <c r="K223" s="296"/>
      <c r="L223" s="296"/>
      <c r="M223" s="296"/>
      <c r="N223" s="252"/>
      <c r="O223" s="252"/>
      <c r="P223" s="252"/>
      <c r="Q223" s="253"/>
    </row>
    <row r="224" spans="1:17" s="3" customFormat="1" ht="25" customHeight="1" x14ac:dyDescent="0.25">
      <c r="A224" s="349" t="s">
        <v>228</v>
      </c>
      <c r="B224" s="350" t="s">
        <v>435</v>
      </c>
      <c r="C224" s="352">
        <v>3</v>
      </c>
      <c r="D224" s="352">
        <v>1</v>
      </c>
      <c r="E224" s="352">
        <v>3</v>
      </c>
      <c r="F224" s="295"/>
      <c r="G224" s="295"/>
      <c r="H224" s="295"/>
      <c r="I224" s="296"/>
      <c r="J224" s="296"/>
      <c r="K224" s="296"/>
      <c r="L224" s="296"/>
      <c r="M224" s="296"/>
      <c r="N224" s="252"/>
      <c r="O224" s="252"/>
      <c r="P224" s="252"/>
      <c r="Q224" s="253"/>
    </row>
    <row r="225" spans="1:17" s="3" customFormat="1" ht="25" customHeight="1" x14ac:dyDescent="0.25">
      <c r="A225" s="349"/>
      <c r="B225" s="389" t="s">
        <v>380</v>
      </c>
      <c r="C225" s="364">
        <f>SUM(C221:C224)</f>
        <v>12</v>
      </c>
      <c r="D225" s="364">
        <f>SUM(D221:D224)</f>
        <v>4</v>
      </c>
      <c r="E225" s="364">
        <f>SUM(E221:E224)</f>
        <v>8</v>
      </c>
      <c r="F225" s="295"/>
      <c r="G225" s="295"/>
      <c r="H225" s="295"/>
      <c r="I225" s="296"/>
      <c r="J225" s="296"/>
      <c r="K225" s="296"/>
      <c r="L225" s="296"/>
      <c r="M225" s="296"/>
      <c r="N225" s="252"/>
      <c r="O225" s="252"/>
      <c r="P225" s="252"/>
      <c r="Q225" s="253"/>
    </row>
    <row r="226" spans="1:17" s="3" customFormat="1" ht="25" customHeight="1" x14ac:dyDescent="0.25">
      <c r="A226" s="359" t="s">
        <v>148</v>
      </c>
      <c r="B226" s="360" t="s">
        <v>696</v>
      </c>
      <c r="C226" s="352"/>
      <c r="D226" s="352"/>
      <c r="E226" s="352"/>
      <c r="F226" s="295"/>
      <c r="G226" s="295"/>
      <c r="H226" s="295"/>
      <c r="I226" s="296"/>
      <c r="J226" s="296"/>
      <c r="K226" s="296"/>
      <c r="L226" s="296"/>
      <c r="M226" s="296"/>
      <c r="N226" s="252"/>
      <c r="O226" s="252"/>
      <c r="P226" s="252"/>
      <c r="Q226" s="253"/>
    </row>
    <row r="227" spans="1:17" s="3" customFormat="1" ht="25" customHeight="1" x14ac:dyDescent="0.25">
      <c r="A227" s="423">
        <v>3</v>
      </c>
      <c r="B227" s="423" t="s">
        <v>166</v>
      </c>
      <c r="C227" s="352"/>
      <c r="D227" s="352"/>
      <c r="E227" s="352"/>
      <c r="F227" s="295"/>
      <c r="G227" s="295"/>
      <c r="H227" s="295"/>
      <c r="I227" s="296"/>
      <c r="J227" s="296"/>
      <c r="K227" s="296"/>
      <c r="L227" s="296"/>
      <c r="M227" s="296"/>
      <c r="N227" s="252"/>
      <c r="O227" s="252"/>
      <c r="P227" s="252"/>
      <c r="Q227" s="253"/>
    </row>
    <row r="228" spans="1:17" s="3" customFormat="1" ht="25" customHeight="1" x14ac:dyDescent="0.25">
      <c r="A228" s="356" t="s">
        <v>147</v>
      </c>
      <c r="B228" s="357" t="s">
        <v>167</v>
      </c>
      <c r="C228" s="352"/>
      <c r="D228" s="352"/>
      <c r="E228" s="352"/>
      <c r="F228" s="295"/>
      <c r="G228" s="295"/>
      <c r="H228" s="295"/>
      <c r="I228" s="296"/>
      <c r="J228" s="296"/>
      <c r="K228" s="296"/>
      <c r="L228" s="296"/>
      <c r="M228" s="296"/>
      <c r="N228" s="252"/>
      <c r="O228" s="252"/>
      <c r="P228" s="252"/>
      <c r="Q228" s="253"/>
    </row>
    <row r="229" spans="1:17" s="3" customFormat="1" ht="25" customHeight="1" x14ac:dyDescent="0.25">
      <c r="A229" s="359" t="s">
        <v>148</v>
      </c>
      <c r="B229" s="360" t="s">
        <v>168</v>
      </c>
      <c r="C229" s="352"/>
      <c r="D229" s="352"/>
      <c r="E229" s="352"/>
      <c r="F229" s="295">
        <f>F224+F227+F228</f>
        <v>0</v>
      </c>
      <c r="G229" s="291">
        <f>G224+G227+G228</f>
        <v>0</v>
      </c>
      <c r="H229" s="291">
        <f>H224+H227+H228</f>
        <v>0</v>
      </c>
      <c r="I229" s="291">
        <f>I224+I227+I228</f>
        <v>0</v>
      </c>
      <c r="J229" s="296"/>
      <c r="K229" s="296"/>
      <c r="L229" s="296"/>
      <c r="M229" s="296"/>
      <c r="N229" s="252"/>
      <c r="O229" s="252"/>
      <c r="P229" s="252"/>
      <c r="Q229" s="253"/>
    </row>
    <row r="230" spans="1:17" s="3" customFormat="1" ht="25" customHeight="1" x14ac:dyDescent="0.25">
      <c r="A230" s="359" t="s">
        <v>169</v>
      </c>
      <c r="B230" s="360" t="s">
        <v>170</v>
      </c>
      <c r="C230" s="352"/>
      <c r="D230" s="352"/>
      <c r="E230" s="352"/>
      <c r="F230" s="295"/>
      <c r="G230" s="295"/>
      <c r="H230" s="295"/>
      <c r="I230" s="296"/>
      <c r="J230" s="296"/>
      <c r="K230" s="296"/>
      <c r="L230" s="296"/>
      <c r="M230" s="296"/>
      <c r="N230" s="252"/>
      <c r="O230" s="252"/>
      <c r="P230" s="252"/>
      <c r="Q230" s="253"/>
    </row>
    <row r="231" spans="1:17" s="3" customFormat="1" ht="25" customHeight="1" x14ac:dyDescent="0.25">
      <c r="A231" s="354"/>
      <c r="B231" s="361" t="s">
        <v>438</v>
      </c>
      <c r="C231" s="364">
        <f>C229+C230</f>
        <v>0</v>
      </c>
      <c r="D231" s="364">
        <f>D226+D229+D230</f>
        <v>0</v>
      </c>
      <c r="E231" s="364">
        <f>E226+E229+E230</f>
        <v>0</v>
      </c>
      <c r="F231" s="295"/>
      <c r="G231" s="295"/>
      <c r="H231" s="295"/>
      <c r="I231" s="296"/>
      <c r="J231" s="296"/>
      <c r="K231" s="296"/>
      <c r="L231" s="296"/>
      <c r="M231" s="296"/>
      <c r="N231" s="252"/>
      <c r="O231" s="252"/>
      <c r="P231" s="252"/>
      <c r="Q231" s="253"/>
    </row>
    <row r="232" spans="1:17" s="3" customFormat="1" ht="25" customHeight="1" x14ac:dyDescent="0.25">
      <c r="A232" s="423" t="s">
        <v>8</v>
      </c>
      <c r="B232" s="423" t="s">
        <v>224</v>
      </c>
      <c r="C232" s="352"/>
      <c r="D232" s="352"/>
      <c r="E232" s="352"/>
      <c r="F232" s="295"/>
      <c r="G232" s="295"/>
      <c r="H232" s="295"/>
      <c r="I232" s="296"/>
      <c r="J232" s="296"/>
      <c r="K232" s="296"/>
      <c r="L232" s="296"/>
      <c r="M232" s="296"/>
      <c r="N232" s="252"/>
      <c r="O232" s="252"/>
      <c r="P232" s="252"/>
      <c r="Q232" s="253"/>
    </row>
    <row r="233" spans="1:17" s="3" customFormat="1" ht="25" customHeight="1" x14ac:dyDescent="0.25">
      <c r="A233" s="423">
        <v>1</v>
      </c>
      <c r="B233" s="357" t="s">
        <v>225</v>
      </c>
      <c r="C233" s="352"/>
      <c r="D233" s="352"/>
      <c r="E233" s="352"/>
      <c r="F233" s="254">
        <f t="shared" ref="F233:F238" si="31">I233+J233+K233</f>
        <v>0</v>
      </c>
      <c r="G233" s="295">
        <v>60</v>
      </c>
      <c r="H233" s="249">
        <f t="shared" ref="H233:H238" si="32">C233*D233*E233*G233</f>
        <v>0</v>
      </c>
      <c r="I233" s="251">
        <f t="shared" ref="I233:I238" si="33">IF(G233&lt;70, C233*E233*16.5*1, C233*E233*16.5*1.3)</f>
        <v>0</v>
      </c>
      <c r="J233" s="296"/>
      <c r="K233" s="296"/>
      <c r="L233" s="296"/>
      <c r="M233" s="296"/>
      <c r="N233" s="252"/>
      <c r="O233" s="252"/>
      <c r="P233" s="252"/>
      <c r="Q233" s="253"/>
    </row>
    <row r="234" spans="1:17" s="3" customFormat="1" ht="25" customHeight="1" x14ac:dyDescent="0.25">
      <c r="A234" s="423" t="s">
        <v>147</v>
      </c>
      <c r="B234" s="357" t="s">
        <v>163</v>
      </c>
      <c r="C234" s="352"/>
      <c r="D234" s="352"/>
      <c r="E234" s="352"/>
      <c r="F234" s="254">
        <f t="shared" si="31"/>
        <v>0</v>
      </c>
      <c r="G234" s="295">
        <v>60</v>
      </c>
      <c r="H234" s="249">
        <f t="shared" si="32"/>
        <v>0</v>
      </c>
      <c r="I234" s="251">
        <f t="shared" si="33"/>
        <v>0</v>
      </c>
      <c r="J234" s="296"/>
      <c r="K234" s="296"/>
      <c r="L234" s="296"/>
      <c r="M234" s="296"/>
      <c r="N234" s="252"/>
      <c r="O234" s="252"/>
      <c r="P234" s="252"/>
      <c r="Q234" s="253"/>
    </row>
    <row r="235" spans="1:17" s="3" customFormat="1" ht="25" customHeight="1" x14ac:dyDescent="0.25">
      <c r="A235" s="354" t="s">
        <v>226</v>
      </c>
      <c r="B235" s="350" t="s">
        <v>697</v>
      </c>
      <c r="C235" s="352">
        <v>5</v>
      </c>
      <c r="D235" s="352">
        <v>1</v>
      </c>
      <c r="E235" s="352">
        <v>16</v>
      </c>
      <c r="F235" s="254">
        <f t="shared" si="31"/>
        <v>1320</v>
      </c>
      <c r="G235" s="295">
        <v>60</v>
      </c>
      <c r="H235" s="249">
        <f t="shared" si="32"/>
        <v>4800</v>
      </c>
      <c r="I235" s="251">
        <f t="shared" si="33"/>
        <v>1320</v>
      </c>
      <c r="J235" s="296"/>
      <c r="K235" s="296"/>
      <c r="L235" s="296"/>
      <c r="M235" s="296"/>
      <c r="N235" s="252"/>
      <c r="O235" s="252"/>
      <c r="P235" s="252"/>
      <c r="Q235" s="253"/>
    </row>
    <row r="236" spans="1:17" s="3" customFormat="1" ht="25" customHeight="1" x14ac:dyDescent="0.25">
      <c r="A236" s="354" t="s">
        <v>227</v>
      </c>
      <c r="B236" s="350" t="s">
        <v>436</v>
      </c>
      <c r="C236" s="352">
        <v>5</v>
      </c>
      <c r="D236" s="352">
        <v>1</v>
      </c>
      <c r="E236" s="352">
        <v>7</v>
      </c>
      <c r="F236" s="254">
        <f t="shared" si="31"/>
        <v>577.5</v>
      </c>
      <c r="G236" s="295">
        <v>60</v>
      </c>
      <c r="H236" s="249">
        <f t="shared" si="32"/>
        <v>2100</v>
      </c>
      <c r="I236" s="251">
        <f t="shared" si="33"/>
        <v>577.5</v>
      </c>
      <c r="J236" s="296"/>
      <c r="K236" s="296"/>
      <c r="L236" s="296"/>
      <c r="M236" s="296"/>
      <c r="N236" s="252"/>
      <c r="O236" s="252"/>
      <c r="P236" s="252"/>
      <c r="Q236" s="253"/>
    </row>
    <row r="237" spans="1:17" s="3" customFormat="1" ht="25" customHeight="1" x14ac:dyDescent="0.25">
      <c r="A237" s="354" t="s">
        <v>228</v>
      </c>
      <c r="B237" s="350" t="s">
        <v>425</v>
      </c>
      <c r="C237" s="352">
        <v>3</v>
      </c>
      <c r="D237" s="352">
        <v>1</v>
      </c>
      <c r="E237" s="352">
        <v>16</v>
      </c>
      <c r="F237" s="254">
        <f t="shared" si="31"/>
        <v>792</v>
      </c>
      <c r="G237" s="259">
        <v>50</v>
      </c>
      <c r="H237" s="249">
        <f t="shared" si="32"/>
        <v>2400</v>
      </c>
      <c r="I237" s="251">
        <f t="shared" si="33"/>
        <v>792</v>
      </c>
      <c r="J237" s="296"/>
      <c r="K237" s="296"/>
      <c r="L237" s="296"/>
      <c r="M237" s="296"/>
      <c r="N237" s="252"/>
      <c r="O237" s="252"/>
      <c r="P237" s="252"/>
      <c r="Q237" s="253"/>
    </row>
    <row r="238" spans="1:17" s="3" customFormat="1" ht="25" customHeight="1" x14ac:dyDescent="0.25">
      <c r="A238" s="354" t="s">
        <v>229</v>
      </c>
      <c r="B238" s="350" t="s">
        <v>437</v>
      </c>
      <c r="C238" s="352">
        <v>3</v>
      </c>
      <c r="D238" s="352">
        <v>1</v>
      </c>
      <c r="E238" s="352">
        <v>7</v>
      </c>
      <c r="F238" s="254">
        <f t="shared" si="31"/>
        <v>346.5</v>
      </c>
      <c r="G238" s="259">
        <v>50</v>
      </c>
      <c r="H238" s="249">
        <f t="shared" si="32"/>
        <v>1050</v>
      </c>
      <c r="I238" s="251">
        <f t="shared" si="33"/>
        <v>346.5</v>
      </c>
      <c r="J238" s="296"/>
      <c r="K238" s="296"/>
      <c r="L238" s="296"/>
      <c r="M238" s="296"/>
      <c r="N238" s="252"/>
      <c r="O238" s="252"/>
      <c r="P238" s="252"/>
      <c r="Q238" s="253"/>
    </row>
    <row r="239" spans="1:17" s="3" customFormat="1" ht="25" customHeight="1" x14ac:dyDescent="0.25">
      <c r="A239" s="354" t="s">
        <v>230</v>
      </c>
      <c r="B239" s="350" t="s">
        <v>505</v>
      </c>
      <c r="C239" s="352">
        <v>5</v>
      </c>
      <c r="D239" s="352">
        <v>1</v>
      </c>
      <c r="E239" s="352">
        <v>7</v>
      </c>
      <c r="F239" s="271">
        <f>SUM(F233:F238)</f>
        <v>3036</v>
      </c>
      <c r="G239" s="279">
        <f>SUM(G233:G238)</f>
        <v>340</v>
      </c>
      <c r="H239" s="279">
        <f>SUM(H233:H238)</f>
        <v>10350</v>
      </c>
      <c r="I239" s="279">
        <f>SUM(I233:I238)</f>
        <v>3036</v>
      </c>
      <c r="J239" s="252"/>
      <c r="K239" s="252"/>
      <c r="L239" s="252"/>
      <c r="M239" s="252"/>
      <c r="N239" s="252"/>
      <c r="O239" s="252"/>
      <c r="P239" s="252"/>
      <c r="Q239" s="253"/>
    </row>
    <row r="240" spans="1:17" s="3" customFormat="1" ht="25" customHeight="1" x14ac:dyDescent="0.25">
      <c r="A240" s="354" t="s">
        <v>231</v>
      </c>
      <c r="B240" s="350" t="s">
        <v>506</v>
      </c>
      <c r="C240" s="352">
        <v>5</v>
      </c>
      <c r="D240" s="352">
        <v>1</v>
      </c>
      <c r="E240" s="352">
        <v>16</v>
      </c>
      <c r="F240" s="317">
        <f>F211+F223+F229+F239</f>
        <v>5070.45</v>
      </c>
      <c r="G240" s="282">
        <f>G211+G223+G229+G239</f>
        <v>895</v>
      </c>
      <c r="H240" s="282">
        <f>H211+H223+H229+H239</f>
        <v>16230</v>
      </c>
      <c r="I240" s="282">
        <f>I211+I223+I229+I239</f>
        <v>5070.45</v>
      </c>
      <c r="J240" s="300">
        <v>0</v>
      </c>
      <c r="K240" s="301">
        <v>0</v>
      </c>
      <c r="L240" s="264">
        <f>'Bieu3 GDH'!F20</f>
        <v>1080</v>
      </c>
      <c r="M240" s="264">
        <f>'Bieu3 GDH'!N20</f>
        <v>1039.5</v>
      </c>
      <c r="N240" s="260">
        <f>I240-M240</f>
        <v>4030.95</v>
      </c>
      <c r="O240" s="264">
        <f>'Bieu3 GDH'!O20</f>
        <v>805.25</v>
      </c>
      <c r="P240" s="264">
        <f>'Bieu3 GDH'!P20</f>
        <v>370</v>
      </c>
      <c r="Q240" s="265"/>
    </row>
    <row r="241" spans="1:17" s="3" customFormat="1" ht="25" customHeight="1" x14ac:dyDescent="0.25">
      <c r="A241" s="354"/>
      <c r="B241" s="361" t="s">
        <v>380</v>
      </c>
      <c r="C241" s="364">
        <f>SUM(C235:C240)</f>
        <v>26</v>
      </c>
      <c r="D241" s="364">
        <f>SUM(D235:D240)</f>
        <v>6</v>
      </c>
      <c r="E241" s="364">
        <f>SUM(E235:E240)</f>
        <v>69</v>
      </c>
      <c r="F241" s="439"/>
      <c r="G241" s="438"/>
      <c r="H241" s="438"/>
      <c r="I241" s="438"/>
      <c r="J241" s="440"/>
      <c r="K241" s="441"/>
      <c r="L241" s="370"/>
      <c r="M241" s="370"/>
      <c r="N241" s="365"/>
      <c r="O241" s="370"/>
      <c r="P241" s="370"/>
      <c r="Q241" s="371"/>
    </row>
    <row r="242" spans="1:17" s="3" customFormat="1" ht="25" customHeight="1" x14ac:dyDescent="0.25">
      <c r="A242" s="393"/>
      <c r="B242" s="442" t="s">
        <v>439</v>
      </c>
      <c r="C242" s="388">
        <f>C4+C212+C225+C231+C241</f>
        <v>67</v>
      </c>
      <c r="D242" s="388">
        <f>D212+D225+D231+D241</f>
        <v>19</v>
      </c>
      <c r="E242" s="388">
        <f>E212+E225+E231+E241</f>
        <v>120</v>
      </c>
      <c r="F242" s="439"/>
      <c r="G242" s="438"/>
      <c r="H242" s="438"/>
      <c r="I242" s="438"/>
      <c r="J242" s="440"/>
      <c r="K242" s="441"/>
      <c r="L242" s="370"/>
      <c r="M242" s="370"/>
      <c r="N242" s="365"/>
      <c r="O242" s="370"/>
      <c r="P242" s="370"/>
      <c r="Q242" s="371"/>
    </row>
    <row r="243" spans="1:17" s="3" customFormat="1" ht="25" customHeight="1" x14ac:dyDescent="0.25">
      <c r="A243" s="242" t="s">
        <v>6</v>
      </c>
      <c r="B243" s="242" t="s">
        <v>483</v>
      </c>
      <c r="C243" s="243"/>
      <c r="D243" s="243"/>
      <c r="E243" s="243"/>
      <c r="F243" s="315"/>
      <c r="G243" s="243"/>
      <c r="H243" s="243"/>
      <c r="I243" s="243"/>
      <c r="J243" s="243"/>
      <c r="K243" s="283"/>
      <c r="L243" s="284"/>
      <c r="M243" s="257"/>
      <c r="N243" s="257"/>
      <c r="O243" s="257"/>
      <c r="P243" s="257"/>
      <c r="Q243" s="257"/>
    </row>
    <row r="244" spans="1:17" s="3" customFormat="1" ht="25" customHeight="1" x14ac:dyDescent="0.25">
      <c r="A244" s="242" t="s">
        <v>7</v>
      </c>
      <c r="B244" s="242" t="s">
        <v>223</v>
      </c>
      <c r="C244" s="243"/>
      <c r="D244" s="243"/>
      <c r="E244" s="243"/>
      <c r="F244" s="315"/>
      <c r="G244" s="243"/>
      <c r="H244" s="243"/>
      <c r="I244" s="243"/>
      <c r="J244" s="243"/>
      <c r="K244" s="283"/>
      <c r="L244" s="284"/>
      <c r="M244" s="257"/>
      <c r="N244" s="257"/>
      <c r="O244" s="257"/>
      <c r="P244" s="257"/>
      <c r="Q244" s="257"/>
    </row>
    <row r="245" spans="1:17" s="3" customFormat="1" ht="25" customHeight="1" x14ac:dyDescent="0.25">
      <c r="A245" s="242">
        <v>1</v>
      </c>
      <c r="B245" s="242" t="s">
        <v>4</v>
      </c>
      <c r="C245" s="243"/>
      <c r="D245" s="243"/>
      <c r="E245" s="243"/>
      <c r="F245" s="315"/>
      <c r="G245" s="243"/>
      <c r="H245" s="243"/>
      <c r="I245" s="243"/>
      <c r="J245" s="243"/>
      <c r="K245" s="283"/>
      <c r="L245" s="284"/>
      <c r="M245" s="257"/>
      <c r="N245" s="257"/>
      <c r="O245" s="257"/>
      <c r="P245" s="257"/>
      <c r="Q245" s="257"/>
    </row>
    <row r="246" spans="1:17" s="3" customFormat="1" ht="25" customHeight="1" x14ac:dyDescent="0.25">
      <c r="A246" s="244" t="s">
        <v>147</v>
      </c>
      <c r="B246" s="245" t="s">
        <v>161</v>
      </c>
      <c r="C246" s="246"/>
      <c r="D246" s="246"/>
      <c r="E246" s="246"/>
      <c r="F246" s="249"/>
      <c r="G246" s="246"/>
      <c r="H246" s="246"/>
      <c r="I246" s="247"/>
      <c r="J246" s="247"/>
      <c r="K246" s="283"/>
      <c r="L246" s="284"/>
      <c r="M246" s="257"/>
      <c r="N246" s="257"/>
      <c r="O246" s="257"/>
      <c r="P246" s="257"/>
      <c r="Q246" s="257"/>
    </row>
    <row r="247" spans="1:17" s="3" customFormat="1" ht="25" customHeight="1" x14ac:dyDescent="0.25">
      <c r="A247" s="358" t="s">
        <v>226</v>
      </c>
      <c r="B247" s="372" t="s">
        <v>440</v>
      </c>
      <c r="C247" s="352">
        <v>2</v>
      </c>
      <c r="D247" s="351">
        <v>1</v>
      </c>
      <c r="E247" s="352">
        <v>1</v>
      </c>
      <c r="F247" s="254">
        <f t="shared" ref="F247:F272" si="34">I247+J247+K247</f>
        <v>33</v>
      </c>
      <c r="G247" s="249">
        <v>40</v>
      </c>
      <c r="H247" s="249">
        <f t="shared" ref="H247:H271" si="35">C247*D247*E247*G247</f>
        <v>80</v>
      </c>
      <c r="I247" s="251">
        <f t="shared" ref="I247:I272" si="36">IF(G247&lt;70, C247*E247*16.5*1, C247*E247*16.5*1.3)</f>
        <v>33</v>
      </c>
      <c r="J247" s="247"/>
      <c r="K247" s="283"/>
      <c r="L247" s="284"/>
      <c r="M247" s="257"/>
      <c r="N247" s="257"/>
      <c r="O247" s="257"/>
      <c r="P247" s="257"/>
      <c r="Q247" s="257"/>
    </row>
    <row r="248" spans="1:17" s="3" customFormat="1" ht="25" customHeight="1" x14ac:dyDescent="0.25">
      <c r="A248" s="358" t="s">
        <v>227</v>
      </c>
      <c r="B248" s="390" t="s">
        <v>441</v>
      </c>
      <c r="C248" s="352">
        <v>3</v>
      </c>
      <c r="D248" s="352">
        <v>1</v>
      </c>
      <c r="E248" s="352">
        <v>1</v>
      </c>
      <c r="F248" s="254">
        <f t="shared" si="34"/>
        <v>49.5</v>
      </c>
      <c r="G248" s="249">
        <v>20</v>
      </c>
      <c r="H248" s="249">
        <f t="shared" si="35"/>
        <v>60</v>
      </c>
      <c r="I248" s="251">
        <f t="shared" si="36"/>
        <v>49.5</v>
      </c>
      <c r="J248" s="247"/>
      <c r="K248" s="283"/>
      <c r="L248" s="284"/>
      <c r="M248" s="257"/>
      <c r="N248" s="257"/>
      <c r="O248" s="257"/>
      <c r="P248" s="257"/>
      <c r="Q248" s="257"/>
    </row>
    <row r="249" spans="1:17" s="3" customFormat="1" ht="25" customHeight="1" x14ac:dyDescent="0.25">
      <c r="A249" s="358" t="s">
        <v>228</v>
      </c>
      <c r="B249" s="350" t="s">
        <v>442</v>
      </c>
      <c r="C249" s="352">
        <v>2</v>
      </c>
      <c r="D249" s="352">
        <v>1</v>
      </c>
      <c r="E249" s="352">
        <v>3</v>
      </c>
      <c r="F249" s="254">
        <f t="shared" si="34"/>
        <v>128.70000000000002</v>
      </c>
      <c r="G249" s="249">
        <v>80</v>
      </c>
      <c r="H249" s="249">
        <f t="shared" si="35"/>
        <v>480</v>
      </c>
      <c r="I249" s="251">
        <f t="shared" si="36"/>
        <v>128.70000000000002</v>
      </c>
      <c r="J249" s="252"/>
      <c r="K249" s="283"/>
      <c r="L249" s="284"/>
      <c r="M249" s="257"/>
      <c r="N249" s="257"/>
      <c r="O249" s="257"/>
      <c r="P249" s="257"/>
      <c r="Q249" s="257"/>
    </row>
    <row r="250" spans="1:17" s="3" customFormat="1" ht="25" customHeight="1" x14ac:dyDescent="0.25">
      <c r="A250" s="358" t="s">
        <v>229</v>
      </c>
      <c r="B250" s="372" t="s">
        <v>443</v>
      </c>
      <c r="C250" s="352">
        <v>3</v>
      </c>
      <c r="D250" s="352">
        <v>1</v>
      </c>
      <c r="E250" s="352">
        <v>1</v>
      </c>
      <c r="F250" s="254">
        <f t="shared" si="34"/>
        <v>64.350000000000009</v>
      </c>
      <c r="G250" s="249">
        <v>80</v>
      </c>
      <c r="H250" s="249">
        <f t="shared" si="35"/>
        <v>240</v>
      </c>
      <c r="I250" s="251">
        <f t="shared" si="36"/>
        <v>64.350000000000009</v>
      </c>
      <c r="J250" s="247"/>
      <c r="K250" s="283"/>
      <c r="L250" s="284"/>
      <c r="M250" s="257"/>
      <c r="N250" s="257"/>
      <c r="O250" s="257"/>
      <c r="P250" s="257"/>
      <c r="Q250" s="257"/>
    </row>
    <row r="251" spans="1:17" s="3" customFormat="1" ht="25" customHeight="1" x14ac:dyDescent="0.25">
      <c r="A251" s="358" t="s">
        <v>230</v>
      </c>
      <c r="B251" s="350" t="s">
        <v>442</v>
      </c>
      <c r="C251" s="352">
        <v>2</v>
      </c>
      <c r="D251" s="352">
        <v>1</v>
      </c>
      <c r="E251" s="352">
        <v>2</v>
      </c>
      <c r="F251" s="254">
        <f t="shared" si="34"/>
        <v>85.8</v>
      </c>
      <c r="G251" s="249">
        <v>80</v>
      </c>
      <c r="H251" s="249">
        <f t="shared" si="35"/>
        <v>320</v>
      </c>
      <c r="I251" s="251">
        <f t="shared" si="36"/>
        <v>85.8</v>
      </c>
      <c r="J251" s="247"/>
      <c r="K251" s="283"/>
      <c r="L251" s="284"/>
      <c r="M251" s="257"/>
      <c r="N251" s="257"/>
      <c r="O251" s="257"/>
      <c r="P251" s="257"/>
      <c r="Q251" s="257"/>
    </row>
    <row r="252" spans="1:17" s="3" customFormat="1" ht="25" customHeight="1" x14ac:dyDescent="0.25">
      <c r="A252" s="358" t="s">
        <v>231</v>
      </c>
      <c r="B252" s="372" t="s">
        <v>440</v>
      </c>
      <c r="C252" s="352">
        <v>2</v>
      </c>
      <c r="D252" s="352">
        <v>1</v>
      </c>
      <c r="E252" s="352">
        <v>1</v>
      </c>
      <c r="F252" s="254">
        <f t="shared" si="34"/>
        <v>42.9</v>
      </c>
      <c r="G252" s="249">
        <v>80</v>
      </c>
      <c r="H252" s="249">
        <f t="shared" si="35"/>
        <v>160</v>
      </c>
      <c r="I252" s="251">
        <f t="shared" si="36"/>
        <v>42.9</v>
      </c>
      <c r="J252" s="247"/>
      <c r="K252" s="283"/>
      <c r="L252" s="284"/>
      <c r="M252" s="257"/>
      <c r="N252" s="257"/>
      <c r="O252" s="257"/>
      <c r="P252" s="257"/>
      <c r="Q252" s="257"/>
    </row>
    <row r="253" spans="1:17" s="3" customFormat="1" ht="25" customHeight="1" x14ac:dyDescent="0.25">
      <c r="A253" s="358" t="s">
        <v>282</v>
      </c>
      <c r="B253" s="350" t="s">
        <v>444</v>
      </c>
      <c r="C253" s="351">
        <v>3</v>
      </c>
      <c r="D253" s="351">
        <v>1</v>
      </c>
      <c r="E253" s="351">
        <v>1</v>
      </c>
      <c r="F253" s="254">
        <f t="shared" si="34"/>
        <v>49.5</v>
      </c>
      <c r="G253" s="251">
        <v>40</v>
      </c>
      <c r="H253" s="249">
        <f t="shared" si="35"/>
        <v>120</v>
      </c>
      <c r="I253" s="251">
        <f t="shared" si="36"/>
        <v>49.5</v>
      </c>
      <c r="J253" s="247"/>
      <c r="K253" s="283"/>
      <c r="L253" s="284"/>
      <c r="M253" s="257"/>
      <c r="N253" s="257"/>
      <c r="O253" s="257"/>
      <c r="P253" s="257"/>
      <c r="Q253" s="257"/>
    </row>
    <row r="254" spans="1:17" s="3" customFormat="1" ht="25" customHeight="1" x14ac:dyDescent="0.25">
      <c r="A254" s="358" t="s">
        <v>283</v>
      </c>
      <c r="B254" s="350" t="s">
        <v>445</v>
      </c>
      <c r="C254" s="351">
        <v>2</v>
      </c>
      <c r="D254" s="351">
        <v>1</v>
      </c>
      <c r="E254" s="351">
        <v>1</v>
      </c>
      <c r="F254" s="254">
        <f t="shared" si="34"/>
        <v>33</v>
      </c>
      <c r="G254" s="251">
        <v>40</v>
      </c>
      <c r="H254" s="249">
        <f t="shared" si="35"/>
        <v>80</v>
      </c>
      <c r="I254" s="251">
        <f t="shared" si="36"/>
        <v>33</v>
      </c>
      <c r="J254" s="247"/>
      <c r="K254" s="283"/>
      <c r="L254" s="284"/>
      <c r="M254" s="257"/>
      <c r="N254" s="257"/>
      <c r="O254" s="257"/>
      <c r="P254" s="257"/>
      <c r="Q254" s="257"/>
    </row>
    <row r="255" spans="1:17" s="3" customFormat="1" ht="25" customHeight="1" x14ac:dyDescent="0.25">
      <c r="A255" s="358" t="s">
        <v>284</v>
      </c>
      <c r="B255" s="350" t="s">
        <v>446</v>
      </c>
      <c r="C255" s="351">
        <v>3</v>
      </c>
      <c r="D255" s="351">
        <v>1</v>
      </c>
      <c r="E255" s="351">
        <v>1</v>
      </c>
      <c r="F255" s="254">
        <f t="shared" si="34"/>
        <v>49.5</v>
      </c>
      <c r="G255" s="251">
        <v>30</v>
      </c>
      <c r="H255" s="249">
        <f t="shared" si="35"/>
        <v>90</v>
      </c>
      <c r="I255" s="251">
        <f t="shared" si="36"/>
        <v>49.5</v>
      </c>
      <c r="J255" s="247"/>
      <c r="K255" s="283"/>
      <c r="L255" s="284"/>
      <c r="M255" s="257"/>
      <c r="N255" s="257"/>
      <c r="O255" s="257"/>
      <c r="P255" s="257"/>
      <c r="Q255" s="257"/>
    </row>
    <row r="256" spans="1:17" s="3" customFormat="1" ht="25" customHeight="1" x14ac:dyDescent="0.25">
      <c r="A256" s="358" t="s">
        <v>285</v>
      </c>
      <c r="B256" s="350" t="s">
        <v>447</v>
      </c>
      <c r="C256" s="351">
        <v>4</v>
      </c>
      <c r="D256" s="351">
        <v>1</v>
      </c>
      <c r="E256" s="351">
        <v>1</v>
      </c>
      <c r="F256" s="254">
        <f t="shared" si="34"/>
        <v>66</v>
      </c>
      <c r="G256" s="251">
        <v>30</v>
      </c>
      <c r="H256" s="249">
        <f t="shared" si="35"/>
        <v>120</v>
      </c>
      <c r="I256" s="251">
        <f t="shared" si="36"/>
        <v>66</v>
      </c>
      <c r="J256" s="247"/>
      <c r="K256" s="283"/>
      <c r="L256" s="284"/>
      <c r="M256" s="257"/>
      <c r="N256" s="257"/>
      <c r="O256" s="257"/>
      <c r="P256" s="257"/>
      <c r="Q256" s="257"/>
    </row>
    <row r="257" spans="1:17" s="3" customFormat="1" ht="25" customHeight="1" x14ac:dyDescent="0.25">
      <c r="A257" s="358" t="s">
        <v>286</v>
      </c>
      <c r="B257" s="372" t="s">
        <v>440</v>
      </c>
      <c r="C257" s="351">
        <v>2</v>
      </c>
      <c r="D257" s="351">
        <v>1</v>
      </c>
      <c r="E257" s="351">
        <v>1</v>
      </c>
      <c r="F257" s="254">
        <f t="shared" si="34"/>
        <v>42.9</v>
      </c>
      <c r="G257" s="251">
        <v>80</v>
      </c>
      <c r="H257" s="249">
        <f t="shared" si="35"/>
        <v>160</v>
      </c>
      <c r="I257" s="251">
        <f t="shared" si="36"/>
        <v>42.9</v>
      </c>
      <c r="J257" s="247"/>
      <c r="K257" s="283"/>
      <c r="L257" s="284"/>
      <c r="M257" s="257"/>
      <c r="N257" s="257"/>
      <c r="O257" s="257"/>
      <c r="P257" s="257"/>
      <c r="Q257" s="257"/>
    </row>
    <row r="258" spans="1:17" s="3" customFormat="1" ht="25" customHeight="1" x14ac:dyDescent="0.25">
      <c r="A258" s="358" t="s">
        <v>289</v>
      </c>
      <c r="B258" s="350" t="s">
        <v>442</v>
      </c>
      <c r="C258" s="352">
        <v>2</v>
      </c>
      <c r="D258" s="352">
        <v>1</v>
      </c>
      <c r="E258" s="351">
        <v>1</v>
      </c>
      <c r="F258" s="254">
        <f t="shared" si="34"/>
        <v>42.9</v>
      </c>
      <c r="G258" s="249">
        <v>80</v>
      </c>
      <c r="H258" s="249">
        <f t="shared" si="35"/>
        <v>160</v>
      </c>
      <c r="I258" s="251">
        <f t="shared" si="36"/>
        <v>42.9</v>
      </c>
      <c r="J258" s="247"/>
      <c r="K258" s="283"/>
      <c r="L258" s="284"/>
      <c r="M258" s="257"/>
      <c r="N258" s="257"/>
      <c r="O258" s="257"/>
      <c r="P258" s="257"/>
      <c r="Q258" s="257"/>
    </row>
    <row r="259" spans="1:17" s="3" customFormat="1" ht="25" customHeight="1" x14ac:dyDescent="0.25">
      <c r="A259" s="358" t="s">
        <v>290</v>
      </c>
      <c r="B259" s="350" t="s">
        <v>448</v>
      </c>
      <c r="C259" s="352">
        <v>4</v>
      </c>
      <c r="D259" s="352">
        <v>1</v>
      </c>
      <c r="E259" s="352">
        <v>1</v>
      </c>
      <c r="F259" s="254">
        <f t="shared" si="34"/>
        <v>66</v>
      </c>
      <c r="G259" s="249">
        <v>30</v>
      </c>
      <c r="H259" s="249">
        <f t="shared" si="35"/>
        <v>120</v>
      </c>
      <c r="I259" s="251">
        <f t="shared" si="36"/>
        <v>66</v>
      </c>
      <c r="J259" s="247"/>
      <c r="K259" s="283"/>
      <c r="L259" s="284"/>
      <c r="M259" s="257"/>
      <c r="N259" s="257"/>
      <c r="O259" s="257"/>
      <c r="P259" s="257"/>
      <c r="Q259" s="257"/>
    </row>
    <row r="260" spans="1:17" s="3" customFormat="1" ht="25" customHeight="1" x14ac:dyDescent="0.25">
      <c r="A260" s="358" t="s">
        <v>291</v>
      </c>
      <c r="B260" s="350" t="s">
        <v>449</v>
      </c>
      <c r="C260" s="391">
        <v>4</v>
      </c>
      <c r="D260" s="376">
        <v>1</v>
      </c>
      <c r="E260" s="376">
        <v>1</v>
      </c>
      <c r="F260" s="254">
        <f t="shared" si="34"/>
        <v>66</v>
      </c>
      <c r="G260" s="322">
        <v>40</v>
      </c>
      <c r="H260" s="249">
        <f t="shared" si="35"/>
        <v>160</v>
      </c>
      <c r="I260" s="251">
        <f t="shared" si="36"/>
        <v>66</v>
      </c>
      <c r="J260" s="247"/>
      <c r="K260" s="283"/>
      <c r="L260" s="284"/>
      <c r="M260" s="257"/>
      <c r="N260" s="257"/>
      <c r="O260" s="257"/>
      <c r="P260" s="257"/>
      <c r="Q260" s="257"/>
    </row>
    <row r="261" spans="1:17" s="3" customFormat="1" ht="25" customHeight="1" x14ac:dyDescent="0.25">
      <c r="A261" s="358" t="s">
        <v>292</v>
      </c>
      <c r="B261" s="372" t="s">
        <v>440</v>
      </c>
      <c r="C261" s="391">
        <v>2</v>
      </c>
      <c r="D261" s="376">
        <v>1</v>
      </c>
      <c r="E261" s="376">
        <v>1</v>
      </c>
      <c r="F261" s="254">
        <f t="shared" si="34"/>
        <v>42.9</v>
      </c>
      <c r="G261" s="322">
        <v>89</v>
      </c>
      <c r="H261" s="249">
        <f t="shared" si="35"/>
        <v>178</v>
      </c>
      <c r="I261" s="251">
        <f t="shared" si="36"/>
        <v>42.9</v>
      </c>
      <c r="J261" s="247"/>
      <c r="K261" s="283"/>
      <c r="L261" s="284"/>
      <c r="M261" s="257"/>
      <c r="N261" s="257"/>
      <c r="O261" s="257"/>
      <c r="P261" s="257"/>
      <c r="Q261" s="257"/>
    </row>
    <row r="262" spans="1:17" s="3" customFormat="1" ht="25" customHeight="1" x14ac:dyDescent="0.25">
      <c r="A262" s="358" t="s">
        <v>394</v>
      </c>
      <c r="B262" s="350" t="s">
        <v>450</v>
      </c>
      <c r="C262" s="391">
        <v>3</v>
      </c>
      <c r="D262" s="376">
        <v>1</v>
      </c>
      <c r="E262" s="376">
        <v>1</v>
      </c>
      <c r="F262" s="254">
        <f t="shared" si="34"/>
        <v>49.5</v>
      </c>
      <c r="G262" s="322">
        <v>40</v>
      </c>
      <c r="H262" s="249">
        <f t="shared" si="35"/>
        <v>120</v>
      </c>
      <c r="I262" s="251">
        <f t="shared" si="36"/>
        <v>49.5</v>
      </c>
      <c r="J262" s="252"/>
      <c r="K262" s="283"/>
      <c r="L262" s="284"/>
      <c r="M262" s="257"/>
      <c r="N262" s="257"/>
      <c r="O262" s="257"/>
      <c r="P262" s="257"/>
      <c r="Q262" s="257"/>
    </row>
    <row r="263" spans="1:17" s="3" customFormat="1" ht="25" customHeight="1" x14ac:dyDescent="0.25">
      <c r="A263" s="358" t="s">
        <v>395</v>
      </c>
      <c r="B263" s="350" t="s">
        <v>442</v>
      </c>
      <c r="C263" s="352">
        <v>2</v>
      </c>
      <c r="D263" s="352">
        <v>1</v>
      </c>
      <c r="E263" s="352">
        <v>1</v>
      </c>
      <c r="F263" s="254">
        <f t="shared" si="34"/>
        <v>42.9</v>
      </c>
      <c r="G263" s="249">
        <v>80</v>
      </c>
      <c r="H263" s="249">
        <f t="shared" si="35"/>
        <v>160</v>
      </c>
      <c r="I263" s="251">
        <f t="shared" si="36"/>
        <v>42.9</v>
      </c>
      <c r="J263" s="252"/>
      <c r="K263" s="283"/>
      <c r="L263" s="284"/>
      <c r="M263" s="257"/>
      <c r="N263" s="257"/>
      <c r="O263" s="257"/>
      <c r="P263" s="257"/>
      <c r="Q263" s="257"/>
    </row>
    <row r="264" spans="1:17" s="3" customFormat="1" ht="25" customHeight="1" x14ac:dyDescent="0.25">
      <c r="A264" s="358" t="s">
        <v>396</v>
      </c>
      <c r="B264" s="375" t="s">
        <v>451</v>
      </c>
      <c r="C264" s="352">
        <v>2</v>
      </c>
      <c r="D264" s="352">
        <v>1</v>
      </c>
      <c r="E264" s="352">
        <v>1</v>
      </c>
      <c r="F264" s="254">
        <f t="shared" si="34"/>
        <v>33</v>
      </c>
      <c r="G264" s="249">
        <v>40</v>
      </c>
      <c r="H264" s="249">
        <f t="shared" si="35"/>
        <v>80</v>
      </c>
      <c r="I264" s="251">
        <f t="shared" si="36"/>
        <v>33</v>
      </c>
      <c r="J264" s="252"/>
      <c r="K264" s="283"/>
      <c r="L264" s="284"/>
      <c r="M264" s="257"/>
      <c r="N264" s="257"/>
      <c r="O264" s="257"/>
      <c r="P264" s="257"/>
      <c r="Q264" s="257"/>
    </row>
    <row r="265" spans="1:17" s="3" customFormat="1" ht="25" customHeight="1" x14ac:dyDescent="0.25">
      <c r="A265" s="358" t="s">
        <v>397</v>
      </c>
      <c r="B265" s="350" t="s">
        <v>452</v>
      </c>
      <c r="C265" s="352">
        <v>3</v>
      </c>
      <c r="D265" s="352">
        <v>1</v>
      </c>
      <c r="E265" s="352">
        <v>1</v>
      </c>
      <c r="F265" s="254">
        <f t="shared" si="34"/>
        <v>49.5</v>
      </c>
      <c r="G265" s="249">
        <v>40</v>
      </c>
      <c r="H265" s="249">
        <f t="shared" si="35"/>
        <v>120</v>
      </c>
      <c r="I265" s="251">
        <f t="shared" si="36"/>
        <v>49.5</v>
      </c>
      <c r="J265" s="252"/>
      <c r="K265" s="283"/>
      <c r="L265" s="284"/>
      <c r="M265" s="257"/>
      <c r="N265" s="257"/>
      <c r="O265" s="257"/>
      <c r="P265" s="257"/>
      <c r="Q265" s="257"/>
    </row>
    <row r="266" spans="1:17" s="3" customFormat="1" ht="25" customHeight="1" x14ac:dyDescent="0.25">
      <c r="A266" s="358" t="s">
        <v>398</v>
      </c>
      <c r="B266" s="350" t="s">
        <v>453</v>
      </c>
      <c r="C266" s="352">
        <v>2</v>
      </c>
      <c r="D266" s="352">
        <v>1</v>
      </c>
      <c r="E266" s="352">
        <v>1</v>
      </c>
      <c r="F266" s="254">
        <f t="shared" si="34"/>
        <v>42.9</v>
      </c>
      <c r="G266" s="249">
        <v>80</v>
      </c>
      <c r="H266" s="249">
        <f t="shared" si="35"/>
        <v>160</v>
      </c>
      <c r="I266" s="251">
        <f t="shared" si="36"/>
        <v>42.9</v>
      </c>
      <c r="J266" s="252"/>
      <c r="K266" s="283"/>
      <c r="L266" s="284"/>
      <c r="M266" s="257"/>
      <c r="N266" s="257"/>
      <c r="O266" s="257"/>
      <c r="P266" s="257"/>
      <c r="Q266" s="257"/>
    </row>
    <row r="267" spans="1:17" s="3" customFormat="1" ht="25" customHeight="1" x14ac:dyDescent="0.25">
      <c r="A267" s="358" t="s">
        <v>399</v>
      </c>
      <c r="B267" s="350" t="s">
        <v>445</v>
      </c>
      <c r="C267" s="351">
        <v>2</v>
      </c>
      <c r="D267" s="377">
        <v>1</v>
      </c>
      <c r="E267" s="377">
        <v>1</v>
      </c>
      <c r="F267" s="254">
        <f t="shared" si="34"/>
        <v>33</v>
      </c>
      <c r="G267" s="255">
        <v>40</v>
      </c>
      <c r="H267" s="249">
        <f t="shared" si="35"/>
        <v>80</v>
      </c>
      <c r="I267" s="251">
        <f t="shared" si="36"/>
        <v>33</v>
      </c>
      <c r="J267" s="252"/>
      <c r="K267" s="283"/>
      <c r="L267" s="284"/>
      <c r="M267" s="257"/>
      <c r="N267" s="257"/>
      <c r="O267" s="257"/>
      <c r="P267" s="257"/>
      <c r="Q267" s="257"/>
    </row>
    <row r="268" spans="1:17" s="3" customFormat="1" ht="25" customHeight="1" x14ac:dyDescent="0.25">
      <c r="A268" s="358" t="s">
        <v>400</v>
      </c>
      <c r="B268" s="350" t="s">
        <v>453</v>
      </c>
      <c r="C268" s="352">
        <v>2</v>
      </c>
      <c r="D268" s="352">
        <v>1.3</v>
      </c>
      <c r="E268" s="352">
        <v>1</v>
      </c>
      <c r="F268" s="254">
        <f t="shared" si="34"/>
        <v>33</v>
      </c>
      <c r="G268" s="249">
        <v>40</v>
      </c>
      <c r="H268" s="249">
        <f t="shared" si="35"/>
        <v>104</v>
      </c>
      <c r="I268" s="251">
        <f t="shared" si="36"/>
        <v>33</v>
      </c>
      <c r="J268" s="252"/>
      <c r="K268" s="283"/>
      <c r="L268" s="284"/>
      <c r="M268" s="257"/>
      <c r="N268" s="257"/>
      <c r="O268" s="257"/>
      <c r="P268" s="257"/>
      <c r="Q268" s="257"/>
    </row>
    <row r="269" spans="1:17" s="3" customFormat="1" ht="25" customHeight="1" x14ac:dyDescent="0.25">
      <c r="A269" s="358" t="s">
        <v>401</v>
      </c>
      <c r="B269" s="350" t="s">
        <v>454</v>
      </c>
      <c r="C269" s="352">
        <v>4</v>
      </c>
      <c r="D269" s="352">
        <v>1</v>
      </c>
      <c r="E269" s="352">
        <v>1</v>
      </c>
      <c r="F269" s="254">
        <f t="shared" si="34"/>
        <v>66</v>
      </c>
      <c r="G269" s="249">
        <v>40</v>
      </c>
      <c r="H269" s="249">
        <f t="shared" si="35"/>
        <v>160</v>
      </c>
      <c r="I269" s="251">
        <f t="shared" si="36"/>
        <v>66</v>
      </c>
      <c r="J269" s="252"/>
      <c r="K269" s="283"/>
      <c r="L269" s="284"/>
      <c r="M269" s="257"/>
      <c r="N269" s="257"/>
      <c r="O269" s="257"/>
      <c r="P269" s="257"/>
      <c r="Q269" s="257"/>
    </row>
    <row r="270" spans="1:17" s="3" customFormat="1" ht="25" customHeight="1" x14ac:dyDescent="0.25">
      <c r="A270" s="358" t="s">
        <v>402</v>
      </c>
      <c r="B270" s="350" t="s">
        <v>455</v>
      </c>
      <c r="C270" s="352">
        <v>4</v>
      </c>
      <c r="D270" s="352">
        <v>1</v>
      </c>
      <c r="E270" s="352">
        <v>1</v>
      </c>
      <c r="F270" s="254">
        <f t="shared" si="34"/>
        <v>66</v>
      </c>
      <c r="G270" s="249">
        <v>40</v>
      </c>
      <c r="H270" s="249">
        <f t="shared" si="35"/>
        <v>160</v>
      </c>
      <c r="I270" s="251">
        <f t="shared" si="36"/>
        <v>66</v>
      </c>
      <c r="J270" s="252"/>
      <c r="K270" s="283"/>
      <c r="L270" s="284"/>
      <c r="M270" s="257"/>
      <c r="N270" s="257"/>
      <c r="O270" s="257"/>
      <c r="P270" s="257"/>
      <c r="Q270" s="257"/>
    </row>
    <row r="271" spans="1:17" s="3" customFormat="1" ht="25" customHeight="1" x14ac:dyDescent="0.25">
      <c r="A271" s="358" t="s">
        <v>403</v>
      </c>
      <c r="B271" s="350" t="s">
        <v>456</v>
      </c>
      <c r="C271" s="352">
        <v>3</v>
      </c>
      <c r="D271" s="352">
        <v>1</v>
      </c>
      <c r="E271" s="352">
        <v>1</v>
      </c>
      <c r="F271" s="254">
        <f t="shared" si="34"/>
        <v>49.5</v>
      </c>
      <c r="G271" s="249">
        <v>40</v>
      </c>
      <c r="H271" s="249">
        <f t="shared" si="35"/>
        <v>120</v>
      </c>
      <c r="I271" s="251">
        <f t="shared" si="36"/>
        <v>49.5</v>
      </c>
      <c r="J271" s="252"/>
      <c r="K271" s="283"/>
      <c r="L271" s="284"/>
      <c r="M271" s="257"/>
      <c r="N271" s="257"/>
      <c r="O271" s="257"/>
      <c r="P271" s="257"/>
      <c r="Q271" s="257"/>
    </row>
    <row r="272" spans="1:17" s="3" customFormat="1" ht="25" customHeight="1" x14ac:dyDescent="0.25">
      <c r="A272" s="358" t="s">
        <v>404</v>
      </c>
      <c r="B272" s="350" t="s">
        <v>457</v>
      </c>
      <c r="C272" s="352">
        <v>1</v>
      </c>
      <c r="D272" s="352">
        <v>1.3</v>
      </c>
      <c r="E272" s="352">
        <v>1</v>
      </c>
      <c r="F272" s="254">
        <f t="shared" si="34"/>
        <v>16.5</v>
      </c>
      <c r="G272" s="249">
        <v>40</v>
      </c>
      <c r="H272" s="249">
        <f>C272*D272*E272*G272</f>
        <v>52</v>
      </c>
      <c r="I272" s="251">
        <f t="shared" si="36"/>
        <v>16.5</v>
      </c>
      <c r="J272" s="252"/>
      <c r="K272" s="283"/>
      <c r="L272" s="284"/>
      <c r="M272" s="257"/>
      <c r="N272" s="257"/>
      <c r="O272" s="257"/>
      <c r="P272" s="257"/>
      <c r="Q272" s="257"/>
    </row>
    <row r="273" spans="1:17" s="3" customFormat="1" ht="25" customHeight="1" x14ac:dyDescent="0.25">
      <c r="A273" s="349"/>
      <c r="B273" s="392" t="s">
        <v>380</v>
      </c>
      <c r="C273" s="351">
        <f>SUM(C247:C272)</f>
        <v>68</v>
      </c>
      <c r="D273" s="351">
        <f t="shared" ref="D273:I273" si="37">SUM(D247:D272)</f>
        <v>26.6</v>
      </c>
      <c r="E273" s="351">
        <f t="shared" si="37"/>
        <v>29</v>
      </c>
      <c r="F273" s="269">
        <f t="shared" si="37"/>
        <v>1344.75</v>
      </c>
      <c r="G273" s="269">
        <f t="shared" si="37"/>
        <v>1359</v>
      </c>
      <c r="H273" s="269">
        <f t="shared" si="37"/>
        <v>3844</v>
      </c>
      <c r="I273" s="269">
        <f t="shared" si="37"/>
        <v>1344.75</v>
      </c>
      <c r="J273" s="252"/>
      <c r="K273" s="283"/>
      <c r="L273" s="284"/>
      <c r="M273" s="257"/>
      <c r="N273" s="257"/>
      <c r="O273" s="257"/>
      <c r="P273" s="257"/>
      <c r="Q273" s="257"/>
    </row>
    <row r="274" spans="1:17" s="3" customFormat="1" ht="25" customHeight="1" x14ac:dyDescent="0.25">
      <c r="A274" s="359" t="s">
        <v>148</v>
      </c>
      <c r="B274" s="360" t="s">
        <v>151</v>
      </c>
      <c r="C274" s="352"/>
      <c r="D274" s="352"/>
      <c r="E274" s="352"/>
      <c r="F274" s="249"/>
      <c r="G274" s="249"/>
      <c r="H274" s="249"/>
      <c r="I274" s="252"/>
      <c r="J274" s="252"/>
      <c r="K274" s="283"/>
      <c r="L274" s="284"/>
      <c r="M274" s="257"/>
      <c r="N274" s="257"/>
      <c r="O274" s="257"/>
      <c r="P274" s="257"/>
      <c r="Q274" s="257"/>
    </row>
    <row r="275" spans="1:17" s="3" customFormat="1" ht="25" customHeight="1" x14ac:dyDescent="0.25">
      <c r="A275" s="354" t="s">
        <v>232</v>
      </c>
      <c r="B275" s="349" t="s">
        <v>154</v>
      </c>
      <c r="C275" s="352"/>
      <c r="D275" s="352"/>
      <c r="E275" s="352"/>
      <c r="F275" s="249"/>
      <c r="G275" s="249"/>
      <c r="H275" s="249"/>
      <c r="I275" s="252"/>
      <c r="J275" s="252"/>
      <c r="K275" s="283"/>
      <c r="L275" s="284"/>
      <c r="M275" s="257"/>
      <c r="N275" s="257"/>
      <c r="O275" s="257"/>
      <c r="P275" s="257"/>
      <c r="Q275" s="257"/>
    </row>
    <row r="276" spans="1:17" s="3" customFormat="1" ht="25" customHeight="1" x14ac:dyDescent="0.25">
      <c r="A276" s="354" t="s">
        <v>233</v>
      </c>
      <c r="B276" s="349" t="s">
        <v>153</v>
      </c>
      <c r="C276" s="352"/>
      <c r="D276" s="352"/>
      <c r="E276" s="352"/>
      <c r="F276" s="249"/>
      <c r="G276" s="249"/>
      <c r="H276" s="249"/>
      <c r="I276" s="252"/>
      <c r="J276" s="252"/>
      <c r="K276" s="283"/>
      <c r="L276" s="284"/>
      <c r="M276" s="257"/>
      <c r="N276" s="257"/>
      <c r="O276" s="257"/>
      <c r="P276" s="257"/>
      <c r="Q276" s="257"/>
    </row>
    <row r="277" spans="1:17" s="3" customFormat="1" ht="25" customHeight="1" x14ac:dyDescent="0.25">
      <c r="A277" s="393" t="s">
        <v>234</v>
      </c>
      <c r="B277" s="394" t="s">
        <v>155</v>
      </c>
      <c r="C277" s="395">
        <v>5</v>
      </c>
      <c r="D277" s="395" t="s">
        <v>665</v>
      </c>
      <c r="E277" s="395">
        <v>21</v>
      </c>
      <c r="F277" s="249"/>
      <c r="G277" s="249"/>
      <c r="H277" s="249"/>
      <c r="I277" s="252"/>
      <c r="J277" s="252"/>
      <c r="K277" s="283"/>
      <c r="L277" s="284"/>
      <c r="M277" s="257"/>
      <c r="N277" s="257"/>
      <c r="O277" s="257"/>
      <c r="P277" s="257"/>
      <c r="Q277" s="257"/>
    </row>
    <row r="278" spans="1:17" s="3" customFormat="1" ht="25" customHeight="1" x14ac:dyDescent="0.25">
      <c r="A278" s="393" t="s">
        <v>235</v>
      </c>
      <c r="B278" s="394" t="s">
        <v>156</v>
      </c>
      <c r="C278" s="395">
        <v>5</v>
      </c>
      <c r="D278" s="395" t="s">
        <v>665</v>
      </c>
      <c r="E278" s="395">
        <v>21</v>
      </c>
      <c r="F278" s="249"/>
      <c r="G278" s="249"/>
      <c r="H278" s="249"/>
      <c r="I278" s="252"/>
      <c r="J278" s="252"/>
      <c r="K278" s="283"/>
      <c r="L278" s="284"/>
      <c r="M278" s="257"/>
      <c r="N278" s="257"/>
      <c r="O278" s="257"/>
      <c r="P278" s="257"/>
      <c r="Q278" s="257"/>
    </row>
    <row r="279" spans="1:17" s="3" customFormat="1" ht="25" customHeight="1" x14ac:dyDescent="0.25">
      <c r="A279" s="354" t="s">
        <v>236</v>
      </c>
      <c r="B279" s="349" t="s">
        <v>157</v>
      </c>
      <c r="C279" s="352"/>
      <c r="D279" s="352"/>
      <c r="E279" s="352"/>
      <c r="F279" s="249"/>
      <c r="G279" s="249"/>
      <c r="H279" s="249"/>
      <c r="I279" s="252"/>
      <c r="J279" s="252"/>
      <c r="K279" s="283"/>
      <c r="L279" s="284"/>
      <c r="M279" s="257"/>
      <c r="N279" s="257"/>
      <c r="O279" s="257"/>
      <c r="P279" s="257"/>
      <c r="Q279" s="257"/>
    </row>
    <row r="280" spans="1:17" s="3" customFormat="1" ht="25" customHeight="1" x14ac:dyDescent="0.25">
      <c r="A280" s="385">
        <v>2</v>
      </c>
      <c r="B280" s="385" t="s">
        <v>164</v>
      </c>
      <c r="C280" s="352"/>
      <c r="D280" s="352"/>
      <c r="E280" s="352"/>
      <c r="F280" s="249"/>
      <c r="G280" s="249"/>
      <c r="H280" s="249"/>
      <c r="I280" s="252"/>
      <c r="J280" s="252"/>
      <c r="K280" s="283"/>
      <c r="L280" s="284"/>
      <c r="M280" s="257"/>
      <c r="N280" s="257"/>
      <c r="O280" s="257"/>
      <c r="P280" s="257"/>
      <c r="Q280" s="257"/>
    </row>
    <row r="281" spans="1:17" s="3" customFormat="1" ht="25" customHeight="1" x14ac:dyDescent="0.25">
      <c r="A281" s="356" t="s">
        <v>147</v>
      </c>
      <c r="B281" s="357" t="s">
        <v>165</v>
      </c>
      <c r="C281" s="352"/>
      <c r="D281" s="352"/>
      <c r="E281" s="352"/>
      <c r="F281" s="249"/>
      <c r="G281" s="249"/>
      <c r="H281" s="249"/>
      <c r="I281" s="252"/>
      <c r="J281" s="252"/>
      <c r="K281" s="283"/>
      <c r="L281" s="284"/>
      <c r="M281" s="257"/>
      <c r="N281" s="257"/>
      <c r="O281" s="257"/>
      <c r="P281" s="257"/>
      <c r="Q281" s="257"/>
    </row>
    <row r="282" spans="1:17" s="3" customFormat="1" ht="25" customHeight="1" x14ac:dyDescent="0.25">
      <c r="A282" s="349" t="s">
        <v>226</v>
      </c>
      <c r="B282" s="350" t="s">
        <v>458</v>
      </c>
      <c r="C282" s="352">
        <v>3</v>
      </c>
      <c r="D282" s="352">
        <v>1</v>
      </c>
      <c r="E282" s="352">
        <v>6</v>
      </c>
      <c r="F282" s="254">
        <f t="shared" ref="F282:F294" si="38">I282+J282+K282</f>
        <v>445.5</v>
      </c>
      <c r="G282" s="249">
        <v>30</v>
      </c>
      <c r="H282" s="249">
        <f t="shared" ref="H282:H294" si="39">C282*D282*E282*G282</f>
        <v>540</v>
      </c>
      <c r="I282" s="251">
        <f>IF(G282&lt;70, C282*E282*16.5*1.5, C282*E282*16.5*1.5)</f>
        <v>445.5</v>
      </c>
      <c r="J282" s="252"/>
      <c r="K282" s="283"/>
      <c r="L282" s="284"/>
      <c r="M282" s="257"/>
      <c r="N282" s="257"/>
      <c r="O282" s="257"/>
      <c r="P282" s="257"/>
      <c r="Q282" s="257"/>
    </row>
    <row r="283" spans="1:17" s="3" customFormat="1" ht="25" customHeight="1" x14ac:dyDescent="0.25">
      <c r="A283" s="349" t="s">
        <v>227</v>
      </c>
      <c r="B283" s="350" t="s">
        <v>459</v>
      </c>
      <c r="C283" s="352">
        <v>3</v>
      </c>
      <c r="D283" s="352">
        <v>1</v>
      </c>
      <c r="E283" s="352">
        <v>6</v>
      </c>
      <c r="F283" s="254">
        <f t="shared" si="38"/>
        <v>445.5</v>
      </c>
      <c r="G283" s="249">
        <v>30</v>
      </c>
      <c r="H283" s="249">
        <f t="shared" si="39"/>
        <v>540</v>
      </c>
      <c r="I283" s="251">
        <f t="shared" ref="I283:I289" si="40">IF(G283&lt;70, C283*E283*16.5*1.5, C283*E283*16.5*1.5)</f>
        <v>445.5</v>
      </c>
      <c r="J283" s="252"/>
      <c r="K283" s="283"/>
      <c r="L283" s="284"/>
      <c r="M283" s="257"/>
      <c r="N283" s="257"/>
      <c r="O283" s="257"/>
      <c r="P283" s="257"/>
      <c r="Q283" s="257"/>
    </row>
    <row r="284" spans="1:17" s="3" customFormat="1" ht="25" customHeight="1" x14ac:dyDescent="0.25">
      <c r="A284" s="349" t="s">
        <v>228</v>
      </c>
      <c r="B284" s="350" t="s">
        <v>460</v>
      </c>
      <c r="C284" s="352">
        <v>3</v>
      </c>
      <c r="D284" s="352">
        <v>1</v>
      </c>
      <c r="E284" s="352">
        <v>1</v>
      </c>
      <c r="F284" s="254">
        <f t="shared" si="38"/>
        <v>74.25</v>
      </c>
      <c r="G284" s="249">
        <v>30</v>
      </c>
      <c r="H284" s="249">
        <f t="shared" si="39"/>
        <v>90</v>
      </c>
      <c r="I284" s="251">
        <f t="shared" si="40"/>
        <v>74.25</v>
      </c>
      <c r="J284" s="252"/>
      <c r="K284" s="283"/>
      <c r="L284" s="284"/>
      <c r="M284" s="257"/>
      <c r="N284" s="257"/>
      <c r="O284" s="257"/>
      <c r="P284" s="257"/>
      <c r="Q284" s="257"/>
    </row>
    <row r="285" spans="1:17" s="3" customFormat="1" ht="25" customHeight="1" x14ac:dyDescent="0.25">
      <c r="A285" s="349" t="s">
        <v>229</v>
      </c>
      <c r="B285" s="350" t="s">
        <v>461</v>
      </c>
      <c r="C285" s="352">
        <v>3</v>
      </c>
      <c r="D285" s="352">
        <v>1</v>
      </c>
      <c r="E285" s="352">
        <v>1</v>
      </c>
      <c r="F285" s="254">
        <f t="shared" si="38"/>
        <v>74.25</v>
      </c>
      <c r="G285" s="249">
        <v>30</v>
      </c>
      <c r="H285" s="249">
        <f t="shared" si="39"/>
        <v>90</v>
      </c>
      <c r="I285" s="251">
        <f t="shared" si="40"/>
        <v>74.25</v>
      </c>
      <c r="J285" s="252"/>
      <c r="K285" s="283"/>
      <c r="L285" s="284"/>
      <c r="M285" s="257"/>
      <c r="N285" s="257"/>
      <c r="O285" s="257"/>
      <c r="P285" s="257"/>
      <c r="Q285" s="257"/>
    </row>
    <row r="286" spans="1:17" s="3" customFormat="1" ht="25" customHeight="1" x14ac:dyDescent="0.25">
      <c r="A286" s="349" t="s">
        <v>230</v>
      </c>
      <c r="B286" s="353" t="s">
        <v>462</v>
      </c>
      <c r="C286" s="352">
        <v>3</v>
      </c>
      <c r="D286" s="352">
        <v>1</v>
      </c>
      <c r="E286" s="352">
        <v>6</v>
      </c>
      <c r="F286" s="254">
        <f t="shared" si="38"/>
        <v>445.5</v>
      </c>
      <c r="G286" s="249">
        <v>30</v>
      </c>
      <c r="H286" s="249">
        <f t="shared" si="39"/>
        <v>540</v>
      </c>
      <c r="I286" s="251">
        <f t="shared" si="40"/>
        <v>445.5</v>
      </c>
      <c r="J286" s="252"/>
      <c r="K286" s="283"/>
      <c r="L286" s="284"/>
      <c r="M286" s="257"/>
      <c r="N286" s="257"/>
      <c r="O286" s="257"/>
      <c r="P286" s="257"/>
      <c r="Q286" s="257"/>
    </row>
    <row r="287" spans="1:17" s="3" customFormat="1" ht="25" customHeight="1" x14ac:dyDescent="0.25">
      <c r="A287" s="349" t="s">
        <v>231</v>
      </c>
      <c r="B287" s="353" t="s">
        <v>463</v>
      </c>
      <c r="C287" s="352">
        <v>3</v>
      </c>
      <c r="D287" s="352">
        <v>1</v>
      </c>
      <c r="E287" s="352">
        <v>6</v>
      </c>
      <c r="F287" s="254">
        <f t="shared" si="38"/>
        <v>445.5</v>
      </c>
      <c r="G287" s="249">
        <v>30</v>
      </c>
      <c r="H287" s="249">
        <f t="shared" si="39"/>
        <v>540</v>
      </c>
      <c r="I287" s="251">
        <f t="shared" si="40"/>
        <v>445.5</v>
      </c>
      <c r="J287" s="252"/>
      <c r="K287" s="256"/>
      <c r="L287" s="245"/>
      <c r="M287" s="302"/>
      <c r="N287" s="302"/>
      <c r="O287" s="302"/>
      <c r="P287" s="302"/>
      <c r="Q287" s="302"/>
    </row>
    <row r="288" spans="1:17" s="3" customFormat="1" ht="25" customHeight="1" x14ac:dyDescent="0.25">
      <c r="A288" s="349" t="s">
        <v>282</v>
      </c>
      <c r="B288" s="353" t="s">
        <v>464</v>
      </c>
      <c r="C288" s="352">
        <v>3</v>
      </c>
      <c r="D288" s="352">
        <v>1</v>
      </c>
      <c r="E288" s="352">
        <v>1</v>
      </c>
      <c r="F288" s="254">
        <f t="shared" si="38"/>
        <v>74.25</v>
      </c>
      <c r="G288" s="249">
        <v>30</v>
      </c>
      <c r="H288" s="249">
        <f t="shared" si="39"/>
        <v>90</v>
      </c>
      <c r="I288" s="251">
        <f t="shared" si="40"/>
        <v>74.25</v>
      </c>
      <c r="J288" s="252"/>
      <c r="K288" s="242"/>
      <c r="L288" s="242"/>
      <c r="M288" s="302"/>
      <c r="N288" s="302"/>
      <c r="O288" s="302"/>
      <c r="P288" s="302"/>
      <c r="Q288" s="302"/>
    </row>
    <row r="289" spans="1:17" s="3" customFormat="1" ht="25" customHeight="1" x14ac:dyDescent="0.25">
      <c r="A289" s="349" t="s">
        <v>283</v>
      </c>
      <c r="B289" s="353" t="s">
        <v>465</v>
      </c>
      <c r="C289" s="352">
        <v>3</v>
      </c>
      <c r="D289" s="352">
        <v>1</v>
      </c>
      <c r="E289" s="352">
        <v>1</v>
      </c>
      <c r="F289" s="254">
        <f t="shared" si="38"/>
        <v>74.25</v>
      </c>
      <c r="G289" s="249">
        <v>30</v>
      </c>
      <c r="H289" s="249">
        <f t="shared" si="39"/>
        <v>90</v>
      </c>
      <c r="I289" s="251">
        <f t="shared" si="40"/>
        <v>74.25</v>
      </c>
      <c r="J289" s="252"/>
      <c r="K289" s="256"/>
      <c r="L289" s="242"/>
      <c r="M289" s="302"/>
      <c r="N289" s="302"/>
      <c r="O289" s="302"/>
      <c r="P289" s="302"/>
      <c r="Q289" s="302"/>
    </row>
    <row r="290" spans="1:17" s="3" customFormat="1" ht="25" customHeight="1" x14ac:dyDescent="0.25">
      <c r="A290" s="349" t="s">
        <v>284</v>
      </c>
      <c r="B290" s="353" t="s">
        <v>466</v>
      </c>
      <c r="C290" s="352">
        <v>3</v>
      </c>
      <c r="D290" s="352">
        <v>1</v>
      </c>
      <c r="E290" s="352">
        <v>6</v>
      </c>
      <c r="F290" s="254">
        <f t="shared" si="38"/>
        <v>445.5</v>
      </c>
      <c r="G290" s="249">
        <v>30</v>
      </c>
      <c r="H290" s="249">
        <f t="shared" si="39"/>
        <v>540</v>
      </c>
      <c r="I290" s="300"/>
      <c r="J290" s="251">
        <f>IF(G290&lt;70, C290*E290*16.5*1.5, C290*E290*16.5*1.5)</f>
        <v>445.5</v>
      </c>
      <c r="K290" s="242"/>
      <c r="L290" s="242"/>
      <c r="M290" s="302"/>
      <c r="N290" s="302"/>
      <c r="O290" s="302"/>
      <c r="P290" s="302"/>
      <c r="Q290" s="302"/>
    </row>
    <row r="291" spans="1:17" s="3" customFormat="1" ht="25" customHeight="1" x14ac:dyDescent="0.25">
      <c r="A291" s="349" t="s">
        <v>285</v>
      </c>
      <c r="B291" s="353" t="s">
        <v>467</v>
      </c>
      <c r="C291" s="352">
        <v>3</v>
      </c>
      <c r="D291" s="352">
        <v>1</v>
      </c>
      <c r="E291" s="352">
        <v>6</v>
      </c>
      <c r="F291" s="254">
        <f t="shared" si="38"/>
        <v>445.5</v>
      </c>
      <c r="G291" s="249">
        <v>30</v>
      </c>
      <c r="H291" s="249">
        <f t="shared" si="39"/>
        <v>540</v>
      </c>
      <c r="I291" s="300"/>
      <c r="J291" s="251">
        <f>IF(G291&lt;70, C291*E291*16.5*1.5, C291*E291*16.5*1.5)</f>
        <v>445.5</v>
      </c>
      <c r="K291" s="242"/>
      <c r="L291" s="242"/>
      <c r="M291" s="302"/>
      <c r="N291" s="302"/>
      <c r="O291" s="302"/>
      <c r="P291" s="302"/>
      <c r="Q291" s="302"/>
    </row>
    <row r="292" spans="1:17" s="324" customFormat="1" ht="25" customHeight="1" x14ac:dyDescent="0.25">
      <c r="A292" s="349" t="s">
        <v>286</v>
      </c>
      <c r="B292" s="353" t="s">
        <v>468</v>
      </c>
      <c r="C292" s="352">
        <v>3</v>
      </c>
      <c r="D292" s="352">
        <v>1</v>
      </c>
      <c r="E292" s="352">
        <v>1</v>
      </c>
      <c r="F292" s="254">
        <f t="shared" si="38"/>
        <v>74.25</v>
      </c>
      <c r="G292" s="249">
        <v>30</v>
      </c>
      <c r="H292" s="249">
        <f t="shared" si="39"/>
        <v>90</v>
      </c>
      <c r="I292" s="322"/>
      <c r="J292" s="251">
        <f>IF(G292&lt;70, C292*E292*16.5*1.5, C292*E292*16.5*1.5)</f>
        <v>74.25</v>
      </c>
      <c r="K292" s="238"/>
      <c r="L292" s="258"/>
      <c r="M292" s="302"/>
      <c r="N292" s="302"/>
      <c r="O292" s="302"/>
      <c r="P292" s="302"/>
      <c r="Q292" s="302"/>
    </row>
    <row r="293" spans="1:17" s="324" customFormat="1" ht="25" customHeight="1" x14ac:dyDescent="0.25">
      <c r="A293" s="349" t="s">
        <v>289</v>
      </c>
      <c r="B293" s="353" t="s">
        <v>469</v>
      </c>
      <c r="C293" s="352">
        <v>3</v>
      </c>
      <c r="D293" s="352">
        <v>1</v>
      </c>
      <c r="E293" s="352">
        <v>1</v>
      </c>
      <c r="F293" s="254">
        <f t="shared" si="38"/>
        <v>74.25</v>
      </c>
      <c r="G293" s="249">
        <v>30</v>
      </c>
      <c r="H293" s="249">
        <f t="shared" si="39"/>
        <v>90</v>
      </c>
      <c r="I293" s="322"/>
      <c r="J293" s="251">
        <f>IF(G293&lt;70, C293*E293*16.5*1.5, C293*E293*16.5*1.5)</f>
        <v>74.25</v>
      </c>
      <c r="K293" s="238"/>
      <c r="L293" s="258"/>
      <c r="M293" s="302"/>
      <c r="N293" s="302"/>
      <c r="O293" s="302"/>
      <c r="P293" s="302"/>
      <c r="Q293" s="302"/>
    </row>
    <row r="294" spans="1:17" s="324" customFormat="1" ht="25" customHeight="1" x14ac:dyDescent="0.3">
      <c r="A294" s="349" t="s">
        <v>290</v>
      </c>
      <c r="B294" s="353" t="s">
        <v>463</v>
      </c>
      <c r="C294" s="352">
        <v>3</v>
      </c>
      <c r="D294" s="352">
        <v>1</v>
      </c>
      <c r="E294" s="352">
        <v>1</v>
      </c>
      <c r="F294" s="254">
        <f t="shared" si="38"/>
        <v>74.25</v>
      </c>
      <c r="G294" s="249">
        <v>30</v>
      </c>
      <c r="H294" s="249">
        <f t="shared" si="39"/>
        <v>90</v>
      </c>
      <c r="I294" s="252"/>
      <c r="J294" s="251">
        <f>IF(G294&lt;70, C294*E294*16.5*1.5, C294*E294*16.5*1.5)</f>
        <v>74.25</v>
      </c>
      <c r="K294" s="303"/>
      <c r="L294" s="303"/>
      <c r="M294" s="304"/>
      <c r="N294" s="304"/>
      <c r="O294" s="304"/>
      <c r="P294" s="304"/>
      <c r="Q294" s="304"/>
    </row>
    <row r="295" spans="1:17" s="324" customFormat="1" ht="25" customHeight="1" x14ac:dyDescent="0.3">
      <c r="A295" s="396"/>
      <c r="B295" s="361" t="s">
        <v>380</v>
      </c>
      <c r="C295" s="364">
        <f>SUM(C282:C294)</f>
        <v>39</v>
      </c>
      <c r="D295" s="364">
        <f t="shared" ref="D295:J295" si="41">SUM(D282:D294)</f>
        <v>13</v>
      </c>
      <c r="E295" s="364">
        <f t="shared" si="41"/>
        <v>43</v>
      </c>
      <c r="F295" s="246">
        <f t="shared" si="41"/>
        <v>3192.75</v>
      </c>
      <c r="G295" s="246">
        <f t="shared" si="41"/>
        <v>390</v>
      </c>
      <c r="H295" s="246">
        <f t="shared" si="41"/>
        <v>3870</v>
      </c>
      <c r="I295" s="246">
        <f t="shared" si="41"/>
        <v>2079</v>
      </c>
      <c r="J295" s="246">
        <f t="shared" si="41"/>
        <v>1113.75</v>
      </c>
      <c r="K295" s="303"/>
      <c r="L295" s="303"/>
      <c r="M295" s="304"/>
      <c r="N295" s="304"/>
      <c r="O295" s="304"/>
      <c r="P295" s="304"/>
      <c r="Q295" s="304"/>
    </row>
    <row r="296" spans="1:17" s="324" customFormat="1" ht="25" customHeight="1" x14ac:dyDescent="0.3">
      <c r="A296" s="359" t="s">
        <v>148</v>
      </c>
      <c r="B296" s="360" t="s">
        <v>507</v>
      </c>
      <c r="C296" s="352"/>
      <c r="D296" s="352"/>
      <c r="E296" s="352"/>
      <c r="F296" s="249"/>
      <c r="G296" s="249"/>
      <c r="H296" s="249"/>
      <c r="I296" s="252"/>
      <c r="J296" s="252"/>
      <c r="K296" s="303"/>
      <c r="L296" s="303"/>
      <c r="M296" s="304"/>
      <c r="N296" s="304"/>
      <c r="O296" s="304"/>
      <c r="P296" s="304"/>
      <c r="Q296" s="304"/>
    </row>
    <row r="297" spans="1:17" s="324" customFormat="1" ht="25" customHeight="1" x14ac:dyDescent="0.3">
      <c r="A297" s="354" t="s">
        <v>512</v>
      </c>
      <c r="B297" s="349" t="s">
        <v>471</v>
      </c>
      <c r="C297" s="352">
        <v>15</v>
      </c>
      <c r="D297" s="352">
        <v>1</v>
      </c>
      <c r="E297" s="352">
        <v>1</v>
      </c>
      <c r="F297" s="254">
        <f>I297+J297+K297</f>
        <v>175</v>
      </c>
      <c r="G297" s="249">
        <v>5</v>
      </c>
      <c r="H297" s="249">
        <f>C297*G297</f>
        <v>75</v>
      </c>
      <c r="I297" s="251">
        <f>G297*35</f>
        <v>175</v>
      </c>
      <c r="J297" s="252"/>
      <c r="K297" s="303"/>
      <c r="L297" s="305"/>
      <c r="M297" s="305"/>
      <c r="N297" s="305"/>
      <c r="O297" s="305"/>
      <c r="P297" s="305"/>
      <c r="Q297" s="305"/>
    </row>
    <row r="298" spans="1:17" s="324" customFormat="1" ht="25" customHeight="1" x14ac:dyDescent="0.3">
      <c r="A298" s="354" t="s">
        <v>513</v>
      </c>
      <c r="B298" s="349" t="s">
        <v>666</v>
      </c>
      <c r="C298" s="352">
        <v>15</v>
      </c>
      <c r="D298" s="352">
        <v>1</v>
      </c>
      <c r="E298" s="352">
        <v>1</v>
      </c>
      <c r="F298" s="254">
        <f t="shared" ref="F298:F307" si="42">I298+J298+K298</f>
        <v>175</v>
      </c>
      <c r="G298" s="249">
        <v>5</v>
      </c>
      <c r="H298" s="249">
        <f>C298*G298</f>
        <v>75</v>
      </c>
      <c r="I298" s="251"/>
      <c r="J298" s="251">
        <f>G298*35</f>
        <v>175</v>
      </c>
      <c r="K298" s="303"/>
      <c r="L298" s="306"/>
      <c r="M298" s="306"/>
      <c r="N298" s="306"/>
      <c r="O298" s="306"/>
      <c r="P298" s="306"/>
      <c r="Q298" s="306"/>
    </row>
    <row r="299" spans="1:17" s="324" customFormat="1" ht="25" customHeight="1" x14ac:dyDescent="0.3">
      <c r="A299" s="354" t="s">
        <v>514</v>
      </c>
      <c r="B299" s="349" t="s">
        <v>472</v>
      </c>
      <c r="C299" s="352">
        <v>15</v>
      </c>
      <c r="D299" s="352">
        <v>1</v>
      </c>
      <c r="E299" s="352">
        <v>1</v>
      </c>
      <c r="F299" s="254">
        <f t="shared" si="42"/>
        <v>175</v>
      </c>
      <c r="G299" s="249">
        <v>5</v>
      </c>
      <c r="H299" s="249">
        <f>C299*G299*E299*D299</f>
        <v>75</v>
      </c>
      <c r="I299" s="251">
        <f>G299*35</f>
        <v>175</v>
      </c>
      <c r="J299" s="251"/>
      <c r="K299" s="303"/>
      <c r="L299" s="307"/>
      <c r="M299" s="307"/>
      <c r="N299" s="307"/>
      <c r="O299" s="307"/>
      <c r="P299" s="307"/>
      <c r="Q299" s="307"/>
    </row>
    <row r="300" spans="1:17" s="324" customFormat="1" ht="25" customHeight="1" x14ac:dyDescent="0.3">
      <c r="A300" s="354" t="s">
        <v>515</v>
      </c>
      <c r="B300" s="349" t="s">
        <v>473</v>
      </c>
      <c r="C300" s="352">
        <v>15</v>
      </c>
      <c r="D300" s="352">
        <v>1</v>
      </c>
      <c r="E300" s="352">
        <v>1</v>
      </c>
      <c r="F300" s="254">
        <f t="shared" si="42"/>
        <v>175</v>
      </c>
      <c r="G300" s="249">
        <v>5</v>
      </c>
      <c r="H300" s="249">
        <f t="shared" ref="H300:H307" si="43">C300*G300*E300*D300</f>
        <v>75</v>
      </c>
      <c r="I300" s="252"/>
      <c r="J300" s="251">
        <f>G300*35</f>
        <v>175</v>
      </c>
      <c r="K300" s="303"/>
      <c r="L300" s="303"/>
      <c r="M300" s="1449"/>
      <c r="N300" s="1449"/>
      <c r="O300" s="1449"/>
      <c r="P300" s="1449"/>
      <c r="Q300" s="1449"/>
    </row>
    <row r="301" spans="1:17" s="324" customFormat="1" ht="25" customHeight="1" x14ac:dyDescent="0.3">
      <c r="A301" s="354" t="s">
        <v>516</v>
      </c>
      <c r="B301" s="349" t="s">
        <v>474</v>
      </c>
      <c r="C301" s="352">
        <v>15</v>
      </c>
      <c r="D301" s="352">
        <v>1</v>
      </c>
      <c r="E301" s="352">
        <v>1</v>
      </c>
      <c r="F301" s="254">
        <f t="shared" si="42"/>
        <v>175</v>
      </c>
      <c r="G301" s="249">
        <v>5</v>
      </c>
      <c r="H301" s="249">
        <f t="shared" si="43"/>
        <v>75</v>
      </c>
      <c r="I301" s="252"/>
      <c r="J301" s="251">
        <f>G301*35</f>
        <v>175</v>
      </c>
      <c r="K301" s="303"/>
      <c r="L301" s="303"/>
      <c r="M301" s="304"/>
      <c r="N301" s="304"/>
      <c r="O301" s="304"/>
      <c r="P301" s="304"/>
      <c r="Q301" s="304"/>
    </row>
    <row r="302" spans="1:17" ht="25" customHeight="1" x14ac:dyDescent="0.3">
      <c r="A302" s="354" t="s">
        <v>517</v>
      </c>
      <c r="B302" s="349" t="s">
        <v>508</v>
      </c>
      <c r="C302" s="352">
        <v>15</v>
      </c>
      <c r="D302" s="352">
        <v>1</v>
      </c>
      <c r="E302" s="352">
        <v>1</v>
      </c>
      <c r="F302" s="254">
        <f t="shared" si="42"/>
        <v>175</v>
      </c>
      <c r="G302" s="249">
        <v>5</v>
      </c>
      <c r="H302" s="249">
        <f t="shared" si="43"/>
        <v>75</v>
      </c>
      <c r="I302" s="251">
        <f>G302*35</f>
        <v>175</v>
      </c>
      <c r="J302" s="325"/>
      <c r="K302" s="303"/>
      <c r="L302" s="303"/>
      <c r="M302" s="304"/>
      <c r="N302" s="304"/>
      <c r="O302" s="304"/>
      <c r="P302" s="304"/>
      <c r="Q302" s="304"/>
    </row>
    <row r="303" spans="1:17" ht="25" customHeight="1" x14ac:dyDescent="0.3">
      <c r="A303" s="354" t="s">
        <v>518</v>
      </c>
      <c r="B303" s="349" t="s">
        <v>509</v>
      </c>
      <c r="C303" s="352">
        <v>15</v>
      </c>
      <c r="D303" s="352">
        <v>1</v>
      </c>
      <c r="E303" s="352">
        <v>1</v>
      </c>
      <c r="F303" s="254">
        <f t="shared" si="42"/>
        <v>175</v>
      </c>
      <c r="G303" s="249">
        <v>5</v>
      </c>
      <c r="H303" s="249">
        <f t="shared" si="43"/>
        <v>75</v>
      </c>
      <c r="I303" s="251">
        <f>G303*35</f>
        <v>175</v>
      </c>
      <c r="J303" s="325"/>
      <c r="K303" s="303"/>
      <c r="L303" s="303"/>
      <c r="M303" s="308"/>
      <c r="N303" s="308"/>
      <c r="O303" s="308"/>
      <c r="P303" s="308"/>
      <c r="Q303" s="308"/>
    </row>
    <row r="304" spans="1:17" ht="25" customHeight="1" x14ac:dyDescent="0.3">
      <c r="A304" s="354" t="s">
        <v>519</v>
      </c>
      <c r="B304" s="349" t="s">
        <v>510</v>
      </c>
      <c r="C304" s="352">
        <v>15</v>
      </c>
      <c r="D304" s="352">
        <v>1</v>
      </c>
      <c r="E304" s="352">
        <v>1</v>
      </c>
      <c r="F304" s="254">
        <f t="shared" si="42"/>
        <v>175</v>
      </c>
      <c r="G304" s="249">
        <v>5</v>
      </c>
      <c r="H304" s="249">
        <f t="shared" si="43"/>
        <v>75</v>
      </c>
      <c r="I304" s="251">
        <f>G304*35</f>
        <v>175</v>
      </c>
      <c r="J304" s="326"/>
      <c r="K304" s="303"/>
      <c r="L304" s="303"/>
      <c r="M304" s="308"/>
      <c r="N304" s="308"/>
      <c r="O304" s="308"/>
      <c r="P304" s="308"/>
      <c r="Q304" s="308"/>
    </row>
    <row r="305" spans="1:17" ht="25" customHeight="1" x14ac:dyDescent="0.3">
      <c r="A305" s="354" t="s">
        <v>520</v>
      </c>
      <c r="B305" s="349" t="s">
        <v>511</v>
      </c>
      <c r="C305" s="352">
        <v>15</v>
      </c>
      <c r="D305" s="352">
        <v>1</v>
      </c>
      <c r="E305" s="352">
        <v>1</v>
      </c>
      <c r="F305" s="254">
        <f t="shared" si="42"/>
        <v>175</v>
      </c>
      <c r="G305" s="249">
        <v>5</v>
      </c>
      <c r="H305" s="249">
        <f t="shared" si="43"/>
        <v>75</v>
      </c>
      <c r="I305" s="251">
        <f>G305*35</f>
        <v>175</v>
      </c>
      <c r="J305" s="251"/>
      <c r="K305" s="303"/>
      <c r="L305" s="303"/>
      <c r="M305" s="308"/>
      <c r="N305" s="308"/>
      <c r="O305" s="308"/>
      <c r="P305" s="308"/>
      <c r="Q305" s="308"/>
    </row>
    <row r="306" spans="1:17" ht="25" customHeight="1" x14ac:dyDescent="0.3">
      <c r="A306" s="354" t="s">
        <v>521</v>
      </c>
      <c r="B306" s="349" t="s">
        <v>566</v>
      </c>
      <c r="C306" s="352">
        <v>15</v>
      </c>
      <c r="D306" s="352">
        <v>1</v>
      </c>
      <c r="E306" s="352">
        <v>1</v>
      </c>
      <c r="F306" s="254">
        <f t="shared" si="42"/>
        <v>175</v>
      </c>
      <c r="G306" s="249">
        <v>5</v>
      </c>
      <c r="H306" s="249">
        <f t="shared" si="43"/>
        <v>75</v>
      </c>
      <c r="I306" s="251">
        <f>G306*35</f>
        <v>175</v>
      </c>
      <c r="J306" s="251"/>
      <c r="K306" s="303"/>
      <c r="L306" s="303"/>
      <c r="M306" s="308"/>
      <c r="N306" s="308"/>
      <c r="O306" s="308"/>
      <c r="P306" s="308"/>
      <c r="Q306" s="308"/>
    </row>
    <row r="307" spans="1:17" ht="25" customHeight="1" x14ac:dyDescent="0.3">
      <c r="A307" s="354" t="s">
        <v>667</v>
      </c>
      <c r="B307" s="349" t="s">
        <v>668</v>
      </c>
      <c r="C307" s="352">
        <v>15</v>
      </c>
      <c r="D307" s="352">
        <v>1</v>
      </c>
      <c r="E307" s="352">
        <v>1</v>
      </c>
      <c r="F307" s="254">
        <f t="shared" si="42"/>
        <v>4515</v>
      </c>
      <c r="G307" s="249">
        <v>129</v>
      </c>
      <c r="H307" s="249">
        <f t="shared" si="43"/>
        <v>1935</v>
      </c>
      <c r="I307" s="326"/>
      <c r="J307" s="251"/>
      <c r="K307" s="251">
        <f>G307*35</f>
        <v>4515</v>
      </c>
      <c r="L307" s="303"/>
      <c r="M307" s="308"/>
      <c r="N307" s="308"/>
      <c r="O307" s="308"/>
      <c r="P307" s="308"/>
      <c r="Q307" s="308"/>
    </row>
    <row r="308" spans="1:17" ht="25" customHeight="1" x14ac:dyDescent="0.3">
      <c r="A308" s="354" t="s">
        <v>669</v>
      </c>
      <c r="B308" s="349" t="s">
        <v>670</v>
      </c>
      <c r="C308" s="352">
        <v>15</v>
      </c>
      <c r="D308" s="352">
        <v>1</v>
      </c>
      <c r="E308" s="352">
        <v>1</v>
      </c>
      <c r="F308" s="246">
        <f t="shared" ref="F308:K308" si="44">SUM(F297:F307)</f>
        <v>6265</v>
      </c>
      <c r="G308" s="246">
        <f t="shared" si="44"/>
        <v>179</v>
      </c>
      <c r="H308" s="246">
        <f t="shared" si="44"/>
        <v>2685</v>
      </c>
      <c r="I308" s="246">
        <f t="shared" si="44"/>
        <v>1225</v>
      </c>
      <c r="J308" s="246">
        <f t="shared" si="44"/>
        <v>525</v>
      </c>
      <c r="K308" s="246">
        <f t="shared" si="44"/>
        <v>4515</v>
      </c>
      <c r="L308" s="303"/>
      <c r="M308" s="308"/>
      <c r="N308" s="308"/>
      <c r="O308" s="308"/>
      <c r="P308" s="308"/>
      <c r="Q308" s="308"/>
    </row>
    <row r="309" spans="1:17" ht="25" customHeight="1" x14ac:dyDescent="0.3">
      <c r="A309" s="354" t="s">
        <v>671</v>
      </c>
      <c r="B309" s="349" t="s">
        <v>672</v>
      </c>
      <c r="C309" s="352">
        <v>15</v>
      </c>
      <c r="D309" s="352">
        <v>1</v>
      </c>
      <c r="E309" s="352">
        <v>1</v>
      </c>
      <c r="F309" s="249"/>
      <c r="G309" s="249"/>
      <c r="H309" s="249"/>
      <c r="I309" s="252"/>
      <c r="J309" s="252"/>
      <c r="K309" s="303"/>
      <c r="L309" s="303"/>
      <c r="M309" s="309"/>
      <c r="N309" s="309"/>
      <c r="O309" s="309"/>
      <c r="P309" s="309"/>
      <c r="Q309" s="309"/>
    </row>
    <row r="310" spans="1:17" ht="25" customHeight="1" x14ac:dyDescent="0.3">
      <c r="A310" s="393"/>
      <c r="B310" s="394" t="s">
        <v>673</v>
      </c>
      <c r="C310" s="352">
        <v>15</v>
      </c>
      <c r="D310" s="352">
        <v>1</v>
      </c>
      <c r="E310" s="352">
        <v>1</v>
      </c>
      <c r="F310" s="249"/>
      <c r="G310" s="249"/>
      <c r="H310" s="249"/>
      <c r="I310" s="252"/>
      <c r="J310" s="252"/>
      <c r="K310" s="303"/>
      <c r="L310" s="303"/>
      <c r="M310" s="304"/>
      <c r="N310" s="304"/>
      <c r="O310" s="304"/>
      <c r="P310" s="304"/>
      <c r="Q310" s="304"/>
    </row>
    <row r="311" spans="1:17" ht="25" customHeight="1" x14ac:dyDescent="0.3">
      <c r="A311" s="354"/>
      <c r="B311" s="361" t="s">
        <v>380</v>
      </c>
      <c r="C311" s="364">
        <f>SUM(C297:C310)</f>
        <v>210</v>
      </c>
      <c r="D311" s="364">
        <f>SUM(D297:D310)</f>
        <v>14</v>
      </c>
      <c r="E311" s="364">
        <f>SUM(E297:E310)</f>
        <v>14</v>
      </c>
      <c r="F311" s="254">
        <f>I311+J311+K311</f>
        <v>97020</v>
      </c>
      <c r="G311" s="249">
        <v>11</v>
      </c>
      <c r="H311" s="249">
        <f>C311*D311*E311*G311</f>
        <v>452760</v>
      </c>
      <c r="I311" s="251">
        <f>IF(G311&lt;70, C311*E311*16.5*1*2, C311*E311*16.5*1.3*2)</f>
        <v>97020</v>
      </c>
      <c r="J311" s="252"/>
      <c r="K311" s="303"/>
      <c r="L311" s="303"/>
      <c r="M311" s="304"/>
      <c r="N311" s="304"/>
      <c r="O311" s="304"/>
      <c r="P311" s="304"/>
      <c r="Q311" s="304"/>
    </row>
    <row r="312" spans="1:17" ht="25" customHeight="1" x14ac:dyDescent="0.3">
      <c r="A312" s="385">
        <v>3</v>
      </c>
      <c r="B312" s="385" t="s">
        <v>166</v>
      </c>
      <c r="C312" s="352"/>
      <c r="D312" s="352"/>
      <c r="E312" s="352"/>
      <c r="F312" s="254">
        <f>I312+J312+K312</f>
        <v>0</v>
      </c>
      <c r="G312" s="249">
        <v>11</v>
      </c>
      <c r="H312" s="249">
        <f>C312*D312*E312*G312</f>
        <v>0</v>
      </c>
      <c r="I312" s="251">
        <f>IF(G312&lt;70, C312*E312*16.5*1*2, C312*E312*16.5*1.3*2)</f>
        <v>0</v>
      </c>
      <c r="J312" s="252"/>
      <c r="K312" s="303"/>
      <c r="L312" s="303"/>
      <c r="M312" s="304"/>
      <c r="N312" s="304"/>
      <c r="O312" s="304"/>
      <c r="P312" s="304"/>
      <c r="Q312" s="304"/>
    </row>
    <row r="313" spans="1:17" ht="25" customHeight="1" x14ac:dyDescent="0.3">
      <c r="A313" s="356" t="s">
        <v>147</v>
      </c>
      <c r="B313" s="357" t="s">
        <v>167</v>
      </c>
      <c r="C313" s="352"/>
      <c r="D313" s="352"/>
      <c r="E313" s="352"/>
      <c r="F313" s="254">
        <f>I313+J313+K313</f>
        <v>0</v>
      </c>
      <c r="G313" s="249">
        <v>11</v>
      </c>
      <c r="H313" s="249">
        <f>C313*D313*E313*G313</f>
        <v>0</v>
      </c>
      <c r="I313" s="251">
        <f>IF(G313&lt;70, C313*E313*16.5*1*2, C313*E313*16.5*1.3*2)</f>
        <v>0</v>
      </c>
      <c r="J313" s="252"/>
      <c r="K313" s="303"/>
      <c r="L313" s="303"/>
      <c r="M313" s="304"/>
      <c r="N313" s="304"/>
      <c r="O313" s="304"/>
      <c r="P313" s="304"/>
      <c r="Q313" s="304"/>
    </row>
    <row r="314" spans="1:17" ht="25" customHeight="1" x14ac:dyDescent="0.3">
      <c r="A314" s="349" t="s">
        <v>226</v>
      </c>
      <c r="B314" s="350" t="s">
        <v>475</v>
      </c>
      <c r="C314" s="352">
        <v>3</v>
      </c>
      <c r="D314" s="352">
        <v>1</v>
      </c>
      <c r="E314" s="352">
        <v>1</v>
      </c>
      <c r="F314" s="249"/>
      <c r="G314" s="249"/>
      <c r="H314" s="249"/>
      <c r="I314" s="252"/>
      <c r="J314" s="252"/>
      <c r="K314" s="303"/>
      <c r="L314" s="303"/>
      <c r="M314" s="304"/>
      <c r="N314" s="304"/>
      <c r="O314" s="304"/>
      <c r="P314" s="304"/>
      <c r="Q314" s="304"/>
    </row>
    <row r="315" spans="1:17" ht="25" customHeight="1" x14ac:dyDescent="0.3">
      <c r="A315" s="349" t="s">
        <v>227</v>
      </c>
      <c r="B315" s="350" t="s">
        <v>476</v>
      </c>
      <c r="C315" s="352">
        <v>3</v>
      </c>
      <c r="D315" s="352">
        <v>1</v>
      </c>
      <c r="E315" s="352">
        <v>1</v>
      </c>
      <c r="F315" s="249"/>
      <c r="G315" s="249"/>
      <c r="H315" s="249"/>
      <c r="I315" s="252"/>
      <c r="J315" s="252"/>
      <c r="K315" s="303"/>
      <c r="L315" s="303"/>
      <c r="M315" s="304"/>
      <c r="N315" s="304"/>
      <c r="O315" s="304"/>
      <c r="P315" s="304"/>
      <c r="Q315" s="304"/>
    </row>
    <row r="316" spans="1:17" ht="25" customHeight="1" x14ac:dyDescent="0.3">
      <c r="A316" s="354" t="s">
        <v>477</v>
      </c>
      <c r="B316" s="349" t="s">
        <v>478</v>
      </c>
      <c r="C316" s="352">
        <v>3</v>
      </c>
      <c r="D316" s="352">
        <v>1</v>
      </c>
      <c r="E316" s="352">
        <v>1</v>
      </c>
      <c r="F316" s="249"/>
      <c r="G316" s="249"/>
      <c r="H316" s="249"/>
      <c r="I316" s="252"/>
      <c r="J316" s="252"/>
      <c r="K316" s="303"/>
      <c r="L316" s="303"/>
      <c r="M316" s="304"/>
      <c r="N316" s="304"/>
      <c r="O316" s="304"/>
      <c r="P316" s="304"/>
      <c r="Q316" s="304"/>
    </row>
    <row r="317" spans="1:17" ht="25" customHeight="1" x14ac:dyDescent="0.3">
      <c r="A317" s="359" t="s">
        <v>148</v>
      </c>
      <c r="B317" s="360" t="s">
        <v>168</v>
      </c>
      <c r="C317" s="352"/>
      <c r="D317" s="352"/>
      <c r="E317" s="352"/>
      <c r="F317" s="254">
        <f>I317+J317+K317</f>
        <v>600</v>
      </c>
      <c r="G317" s="249"/>
      <c r="H317" s="249"/>
      <c r="I317" s="252">
        <v>600</v>
      </c>
      <c r="J317" s="252"/>
      <c r="K317" s="303"/>
      <c r="L317" s="303"/>
      <c r="M317" s="304"/>
      <c r="N317" s="304"/>
      <c r="O317" s="304"/>
      <c r="P317" s="304"/>
      <c r="Q317" s="304"/>
    </row>
    <row r="318" spans="1:17" ht="25" customHeight="1" x14ac:dyDescent="0.3">
      <c r="A318" s="359"/>
      <c r="B318" s="360" t="s">
        <v>674</v>
      </c>
      <c r="C318" s="352"/>
      <c r="D318" s="352"/>
      <c r="E318" s="352"/>
      <c r="F318" s="254">
        <f>I318+J318+K318</f>
        <v>300</v>
      </c>
      <c r="G318" s="249"/>
      <c r="H318" s="249"/>
      <c r="I318" s="252"/>
      <c r="J318" s="252">
        <v>300</v>
      </c>
      <c r="K318" s="303"/>
      <c r="L318" s="303"/>
      <c r="M318" s="304"/>
      <c r="N318" s="304"/>
      <c r="O318" s="304"/>
      <c r="P318" s="304"/>
      <c r="Q318" s="304"/>
    </row>
    <row r="319" spans="1:17" ht="25" customHeight="1" x14ac:dyDescent="0.3">
      <c r="A319" s="359"/>
      <c r="B319" s="360" t="s">
        <v>675</v>
      </c>
      <c r="C319" s="352"/>
      <c r="D319" s="352"/>
      <c r="E319" s="352"/>
      <c r="F319" s="249"/>
      <c r="G319" s="249"/>
      <c r="H319" s="249"/>
      <c r="I319" s="252"/>
      <c r="J319" s="252"/>
      <c r="K319" s="303"/>
      <c r="L319" s="303"/>
      <c r="M319" s="304"/>
      <c r="N319" s="304"/>
      <c r="O319" s="304"/>
      <c r="P319" s="304"/>
      <c r="Q319" s="304"/>
    </row>
    <row r="320" spans="1:17" ht="25" customHeight="1" x14ac:dyDescent="0.3">
      <c r="A320" s="359"/>
      <c r="B320" s="360" t="s">
        <v>479</v>
      </c>
      <c r="C320" s="352"/>
      <c r="D320" s="352"/>
      <c r="E320" s="352"/>
      <c r="F320" s="249"/>
      <c r="G320" s="249"/>
      <c r="H320" s="249"/>
      <c r="I320" s="252"/>
      <c r="J320" s="252"/>
      <c r="K320" s="303"/>
      <c r="L320" s="303"/>
      <c r="M320" s="304"/>
      <c r="N320" s="304"/>
      <c r="O320" s="304"/>
      <c r="P320" s="304"/>
      <c r="Q320" s="304"/>
    </row>
    <row r="321" spans="1:17" ht="25" customHeight="1" x14ac:dyDescent="0.3">
      <c r="A321" s="354"/>
      <c r="B321" s="349" t="s">
        <v>480</v>
      </c>
      <c r="C321" s="352"/>
      <c r="D321" s="352"/>
      <c r="E321" s="352"/>
      <c r="F321" s="254">
        <f>I321+J321+K321</f>
        <v>1120</v>
      </c>
      <c r="G321" s="249"/>
      <c r="H321" s="249"/>
      <c r="I321" s="252">
        <v>1120</v>
      </c>
      <c r="J321" s="252"/>
      <c r="K321" s="303"/>
      <c r="L321" s="303"/>
      <c r="M321" s="304"/>
      <c r="N321" s="304"/>
      <c r="O321" s="304"/>
      <c r="P321" s="304"/>
      <c r="Q321" s="304"/>
    </row>
    <row r="322" spans="1:17" ht="25" customHeight="1" x14ac:dyDescent="0.3">
      <c r="A322" s="359" t="s">
        <v>169</v>
      </c>
      <c r="B322" s="360" t="s">
        <v>170</v>
      </c>
      <c r="C322" s="352"/>
      <c r="D322" s="352"/>
      <c r="E322" s="352"/>
      <c r="F322" s="254">
        <f>I322+J322+K322</f>
        <v>680</v>
      </c>
      <c r="G322" s="249"/>
      <c r="H322" s="249"/>
      <c r="I322" s="252"/>
      <c r="J322" s="252">
        <v>680</v>
      </c>
      <c r="K322" s="303"/>
      <c r="L322" s="303"/>
      <c r="M322" s="304"/>
      <c r="N322" s="304"/>
      <c r="O322" s="304"/>
      <c r="P322" s="304"/>
      <c r="Q322" s="304"/>
    </row>
    <row r="323" spans="1:17" ht="25" customHeight="1" x14ac:dyDescent="0.3">
      <c r="A323" s="354"/>
      <c r="B323" s="349" t="s">
        <v>676</v>
      </c>
      <c r="C323" s="352"/>
      <c r="D323" s="352"/>
      <c r="E323" s="352"/>
      <c r="F323" s="249">
        <f>SUM(F311:F322)</f>
        <v>99720</v>
      </c>
      <c r="G323" s="246">
        <f>SUM(G311:G322)</f>
        <v>33</v>
      </c>
      <c r="H323" s="246">
        <f>SUM(H311:H322)</f>
        <v>452760</v>
      </c>
      <c r="I323" s="246">
        <f>SUM(I311:I322)</f>
        <v>98740</v>
      </c>
      <c r="J323" s="246">
        <f>SUM(J311:J322)</f>
        <v>980</v>
      </c>
      <c r="K323" s="303"/>
      <c r="L323" s="303"/>
      <c r="M323" s="304"/>
      <c r="N323" s="304"/>
      <c r="O323" s="304"/>
      <c r="P323" s="304"/>
      <c r="Q323" s="304"/>
    </row>
    <row r="324" spans="1:17" ht="25" customHeight="1" x14ac:dyDescent="0.3">
      <c r="A324" s="354"/>
      <c r="B324" s="349" t="s">
        <v>481</v>
      </c>
      <c r="C324" s="352"/>
      <c r="D324" s="352"/>
      <c r="E324" s="352"/>
      <c r="F324" s="249"/>
      <c r="G324" s="249"/>
      <c r="H324" s="249"/>
      <c r="I324" s="252"/>
      <c r="J324" s="252"/>
      <c r="K324" s="303"/>
      <c r="L324" s="303"/>
      <c r="M324" s="304"/>
      <c r="N324" s="304"/>
      <c r="O324" s="304"/>
      <c r="P324" s="304"/>
      <c r="Q324" s="304"/>
    </row>
    <row r="325" spans="1:17" ht="25" customHeight="1" x14ac:dyDescent="0.3">
      <c r="A325" s="354"/>
      <c r="B325" s="349" t="s">
        <v>480</v>
      </c>
      <c r="C325" s="352"/>
      <c r="D325" s="352"/>
      <c r="E325" s="352"/>
      <c r="F325" s="249"/>
      <c r="G325" s="249"/>
      <c r="H325" s="249"/>
      <c r="I325" s="252"/>
      <c r="J325" s="252"/>
      <c r="K325" s="303"/>
      <c r="L325" s="303"/>
      <c r="M325" s="304"/>
      <c r="N325" s="304"/>
      <c r="O325" s="304"/>
      <c r="P325" s="304"/>
      <c r="Q325" s="304"/>
    </row>
    <row r="326" spans="1:17" ht="25" customHeight="1" x14ac:dyDescent="0.3">
      <c r="A326" s="354"/>
      <c r="B326" s="361" t="s">
        <v>380</v>
      </c>
      <c r="C326" s="364">
        <f>SUM(C314:C325)</f>
        <v>9</v>
      </c>
      <c r="D326" s="364">
        <f>SUM(D314:D325)</f>
        <v>3</v>
      </c>
      <c r="E326" s="364">
        <f>SUM(E314:E325)</f>
        <v>3</v>
      </c>
      <c r="F326" s="249"/>
      <c r="G326" s="249"/>
      <c r="H326" s="249"/>
      <c r="I326" s="252"/>
      <c r="J326" s="252"/>
      <c r="K326" s="303"/>
      <c r="L326" s="303"/>
      <c r="M326" s="304"/>
      <c r="N326" s="304"/>
      <c r="O326" s="304"/>
      <c r="P326" s="304"/>
      <c r="Q326" s="304"/>
    </row>
    <row r="327" spans="1:17" ht="25" customHeight="1" x14ac:dyDescent="0.3">
      <c r="A327" s="355" t="s">
        <v>502</v>
      </c>
      <c r="B327" s="355" t="s">
        <v>503</v>
      </c>
      <c r="C327" s="352"/>
      <c r="D327" s="352"/>
      <c r="E327" s="352"/>
      <c r="F327" s="254">
        <f>I327+J327+K327</f>
        <v>0</v>
      </c>
      <c r="G327" s="259">
        <v>40</v>
      </c>
      <c r="H327" s="249">
        <f>C327*D327*E327*G327</f>
        <v>0</v>
      </c>
      <c r="I327" s="251">
        <f>IF(G327&lt;70, C327*E327*16.5*1, C327*E327*16.5*1.3)</f>
        <v>0</v>
      </c>
      <c r="J327" s="252"/>
      <c r="K327" s="303"/>
      <c r="L327" s="303"/>
      <c r="M327" s="304"/>
      <c r="N327" s="304"/>
      <c r="O327" s="304"/>
      <c r="P327" s="304"/>
      <c r="Q327" s="304"/>
    </row>
    <row r="328" spans="1:17" ht="25" customHeight="1" x14ac:dyDescent="0.3">
      <c r="A328" s="355">
        <v>1</v>
      </c>
      <c r="B328" s="357" t="s">
        <v>225</v>
      </c>
      <c r="C328" s="352"/>
      <c r="D328" s="352"/>
      <c r="E328" s="352"/>
      <c r="F328" s="254">
        <f>I328+J328+K328</f>
        <v>0</v>
      </c>
      <c r="G328" s="259">
        <v>40</v>
      </c>
      <c r="H328" s="249">
        <f>C328*D328*E328*G328</f>
        <v>0</v>
      </c>
      <c r="I328" s="251">
        <f>IF(G328&lt;70, C328*E328*16.5*1, C328*E328*16.5*1.3)</f>
        <v>0</v>
      </c>
      <c r="J328" s="252"/>
      <c r="K328" s="303"/>
      <c r="L328" s="303"/>
      <c r="M328" s="304"/>
      <c r="N328" s="304"/>
      <c r="O328" s="304"/>
      <c r="P328" s="304"/>
      <c r="Q328" s="304"/>
    </row>
    <row r="329" spans="1:17" ht="25" customHeight="1" x14ac:dyDescent="0.3">
      <c r="A329" s="355" t="s">
        <v>381</v>
      </c>
      <c r="B329" s="357" t="s">
        <v>163</v>
      </c>
      <c r="C329" s="352"/>
      <c r="D329" s="352"/>
      <c r="E329" s="352"/>
      <c r="F329" s="249">
        <f>SUM(F327:F328)</f>
        <v>0</v>
      </c>
      <c r="G329" s="246">
        <f>SUM(G327:G328)</f>
        <v>80</v>
      </c>
      <c r="H329" s="246">
        <f>SUM(H327:H328)</f>
        <v>0</v>
      </c>
      <c r="I329" s="246">
        <f>SUM(I327:I328)</f>
        <v>0</v>
      </c>
      <c r="J329" s="246">
        <f>SUM(J327:J328)</f>
        <v>0</v>
      </c>
      <c r="K329" s="303"/>
      <c r="L329" s="303"/>
      <c r="M329" s="304"/>
      <c r="N329" s="304"/>
      <c r="O329" s="304"/>
      <c r="P329" s="304"/>
      <c r="Q329" s="304"/>
    </row>
    <row r="330" spans="1:17" s="405" customFormat="1" ht="25" customHeight="1" x14ac:dyDescent="0.3">
      <c r="A330" s="399" t="s">
        <v>226</v>
      </c>
      <c r="B330" s="397" t="s">
        <v>677</v>
      </c>
      <c r="C330" s="400">
        <v>2</v>
      </c>
      <c r="D330" s="400">
        <v>1</v>
      </c>
      <c r="E330" s="400">
        <v>5</v>
      </c>
      <c r="F330" s="414">
        <f t="shared" ref="F330:K330" si="45">F273+F295+F308+F329+F323</f>
        <v>110522.5</v>
      </c>
      <c r="G330" s="415">
        <f t="shared" si="45"/>
        <v>2041</v>
      </c>
      <c r="H330" s="415">
        <f t="shared" si="45"/>
        <v>463159</v>
      </c>
      <c r="I330" s="415">
        <f t="shared" si="45"/>
        <v>103388.75</v>
      </c>
      <c r="J330" s="415">
        <f t="shared" si="45"/>
        <v>2618.75</v>
      </c>
      <c r="K330" s="415">
        <f t="shared" si="45"/>
        <v>4515</v>
      </c>
      <c r="L330" s="416">
        <f>'Bieu3 QLGD'!F25</f>
        <v>1890</v>
      </c>
      <c r="M330" s="417">
        <f>'Bieu3 QLGD'!N25</f>
        <v>1606.5</v>
      </c>
      <c r="N330" s="417">
        <f>I330-M330</f>
        <v>101782.25</v>
      </c>
      <c r="O330" s="417">
        <f>'Bieu3 QLGD'!O25</f>
        <v>1266.75</v>
      </c>
      <c r="P330" s="417">
        <f>'Bieu3 QLGD'!P25</f>
        <v>650</v>
      </c>
      <c r="Q330" s="417"/>
    </row>
    <row r="331" spans="1:17" s="405" customFormat="1" ht="25" customHeight="1" x14ac:dyDescent="0.3">
      <c r="A331" s="399" t="s">
        <v>226</v>
      </c>
      <c r="B331" s="397" t="s">
        <v>678</v>
      </c>
      <c r="C331" s="400">
        <v>2</v>
      </c>
      <c r="D331" s="400">
        <v>1</v>
      </c>
      <c r="E331" s="400">
        <v>4</v>
      </c>
      <c r="F331" s="418"/>
      <c r="G331" s="419"/>
      <c r="H331" s="419"/>
      <c r="I331" s="419"/>
      <c r="J331" s="419"/>
      <c r="K331" s="419"/>
      <c r="L331" s="420"/>
      <c r="M331" s="404"/>
      <c r="N331" s="404"/>
      <c r="O331" s="404"/>
      <c r="P331" s="404"/>
      <c r="Q331" s="404"/>
    </row>
    <row r="332" spans="1:17" s="405" customFormat="1" ht="25" customHeight="1" x14ac:dyDescent="0.3">
      <c r="A332" s="399" t="s">
        <v>227</v>
      </c>
      <c r="B332" s="397" t="s">
        <v>679</v>
      </c>
      <c r="C332" s="400">
        <v>2</v>
      </c>
      <c r="D332" s="400">
        <v>1</v>
      </c>
      <c r="E332" s="400">
        <v>4</v>
      </c>
      <c r="F332" s="401"/>
      <c r="G332" s="401"/>
      <c r="H332" s="401"/>
      <c r="I332" s="401"/>
      <c r="J332" s="401"/>
      <c r="K332" s="402"/>
      <c r="L332" s="403"/>
      <c r="M332" s="403"/>
      <c r="N332" s="403"/>
      <c r="O332" s="403"/>
      <c r="P332" s="403"/>
      <c r="Q332" s="404"/>
    </row>
    <row r="333" spans="1:17" s="405" customFormat="1" ht="25" customHeight="1" x14ac:dyDescent="0.3">
      <c r="A333" s="399"/>
      <c r="B333" s="406" t="s">
        <v>380</v>
      </c>
      <c r="C333" s="407">
        <f>SUM(C331:C332)</f>
        <v>4</v>
      </c>
      <c r="D333" s="407">
        <f>SUM(D331:D332)</f>
        <v>2</v>
      </c>
      <c r="E333" s="407">
        <f>SUM(E331:E332)</f>
        <v>8</v>
      </c>
      <c r="F333" s="408"/>
      <c r="G333" s="408"/>
      <c r="H333" s="408"/>
      <c r="I333" s="408"/>
      <c r="J333" s="408"/>
      <c r="K333" s="409"/>
      <c r="L333" s="410"/>
      <c r="M333" s="410"/>
      <c r="N333" s="410"/>
      <c r="O333" s="410"/>
      <c r="P333" s="410"/>
      <c r="Q333" s="404"/>
    </row>
    <row r="334" spans="1:17" s="405" customFormat="1" ht="25" customHeight="1" x14ac:dyDescent="0.3">
      <c r="A334" s="399"/>
      <c r="B334" s="406" t="s">
        <v>482</v>
      </c>
      <c r="C334" s="407">
        <f>C273+C295+C311+C333+C326</f>
        <v>330</v>
      </c>
      <c r="D334" s="407">
        <f>D273+D295+D311+D333+D326</f>
        <v>58.6</v>
      </c>
      <c r="E334" s="407">
        <f>E273+E295+E311+E333+E326</f>
        <v>97</v>
      </c>
      <c r="F334" s="408"/>
      <c r="G334" s="408"/>
      <c r="H334" s="408"/>
      <c r="I334" s="408"/>
      <c r="J334" s="408"/>
      <c r="K334" s="409"/>
      <c r="L334" s="410"/>
      <c r="M334" s="410"/>
      <c r="N334" s="410"/>
      <c r="O334" s="410"/>
      <c r="P334" s="410"/>
      <c r="Q334" s="404"/>
    </row>
    <row r="335" spans="1:17" s="405" customFormat="1" ht="25" customHeight="1" x14ac:dyDescent="0.3">
      <c r="A335" s="411"/>
      <c r="B335" s="412"/>
      <c r="C335" s="408"/>
      <c r="D335" s="408"/>
      <c r="E335" s="413"/>
      <c r="F335" s="408"/>
      <c r="G335" s="408"/>
      <c r="H335" s="408"/>
      <c r="I335" s="408"/>
      <c r="J335" s="408"/>
      <c r="K335" s="409"/>
      <c r="L335" s="410"/>
      <c r="M335" s="410"/>
      <c r="N335" s="410"/>
      <c r="O335" s="410"/>
      <c r="P335" s="410"/>
      <c r="Q335" s="404"/>
    </row>
    <row r="336" spans="1:17" ht="25" customHeight="1" x14ac:dyDescent="0.25">
      <c r="A336" s="242" t="s">
        <v>7</v>
      </c>
      <c r="B336" s="242" t="s">
        <v>162</v>
      </c>
      <c r="C336" s="246">
        <f t="shared" ref="C336:K336" si="46">C48+C185+C211+C273+C126</f>
        <v>76</v>
      </c>
      <c r="D336" s="246">
        <f t="shared" si="46"/>
        <v>29.6</v>
      </c>
      <c r="E336" s="246">
        <f t="shared" si="46"/>
        <v>38</v>
      </c>
      <c r="F336" s="246">
        <f t="shared" si="46"/>
        <v>45451.149999999994</v>
      </c>
      <c r="G336" s="246">
        <f t="shared" si="46"/>
        <v>5620</v>
      </c>
      <c r="H336" s="246">
        <f t="shared" si="46"/>
        <v>1371917.36</v>
      </c>
      <c r="I336" s="246">
        <f t="shared" si="46"/>
        <v>45253.149999999994</v>
      </c>
      <c r="J336" s="246">
        <f t="shared" si="46"/>
        <v>198</v>
      </c>
      <c r="K336" s="246">
        <f t="shared" si="46"/>
        <v>0</v>
      </c>
      <c r="L336" s="310" t="e">
        <f>L330+L240+#REF!+L165+L85</f>
        <v>#REF!</v>
      </c>
      <c r="M336" s="310" t="e">
        <f>M330+M240+#REF!+M165+M85</f>
        <v>#REF!</v>
      </c>
      <c r="N336" s="310" t="e">
        <f>N330+N240+#REF!+N165+N85</f>
        <v>#REF!</v>
      </c>
      <c r="O336" s="310" t="e">
        <f>O330+O240+#REF!+O165+O85</f>
        <v>#REF!</v>
      </c>
      <c r="P336" s="310" t="e">
        <f>P330+P240+#REF!+P165+P85</f>
        <v>#REF!</v>
      </c>
      <c r="Q336" s="253"/>
    </row>
    <row r="337" spans="1:17" ht="25" customHeight="1" x14ac:dyDescent="0.25">
      <c r="A337" s="256" t="s">
        <v>8</v>
      </c>
      <c r="B337" s="242" t="s">
        <v>172</v>
      </c>
      <c r="C337" s="246">
        <f t="shared" ref="C337:K337" si="47">C308+C295+C223+C195+C63+C146</f>
        <v>63</v>
      </c>
      <c r="D337" s="246">
        <f t="shared" si="47"/>
        <v>17</v>
      </c>
      <c r="E337" s="246">
        <f t="shared" si="47"/>
        <v>62</v>
      </c>
      <c r="F337" s="246">
        <f t="shared" si="47"/>
        <v>58648.25</v>
      </c>
      <c r="G337" s="246">
        <f t="shared" si="47"/>
        <v>928</v>
      </c>
      <c r="H337" s="246">
        <f t="shared" si="47"/>
        <v>217128</v>
      </c>
      <c r="I337" s="246">
        <f t="shared" si="47"/>
        <v>52494.5</v>
      </c>
      <c r="J337" s="246">
        <f t="shared" si="47"/>
        <v>1638.75</v>
      </c>
      <c r="K337" s="246">
        <f t="shared" si="47"/>
        <v>4515</v>
      </c>
      <c r="L337" s="246">
        <f>L308+L295+L223+L195+L146</f>
        <v>0</v>
      </c>
      <c r="M337" s="246">
        <f>M308+M295+M223+M195+M146</f>
        <v>0</v>
      </c>
      <c r="N337" s="246">
        <f>N308+N295+N223+N195+N146</f>
        <v>0</v>
      </c>
      <c r="O337" s="246">
        <f>O308+O295+O223+O195+O146</f>
        <v>0</v>
      </c>
      <c r="P337" s="246">
        <f>P308+P295+P223+P195+P146</f>
        <v>0</v>
      </c>
      <c r="Q337" s="253"/>
    </row>
    <row r="338" spans="1:17" ht="25" customHeight="1" x14ac:dyDescent="0.25">
      <c r="A338" s="256" t="s">
        <v>25</v>
      </c>
      <c r="B338" s="245" t="s">
        <v>166</v>
      </c>
      <c r="C338" s="246">
        <f t="shared" ref="C338:J338" si="48">C323+C229</f>
        <v>0</v>
      </c>
      <c r="D338" s="246">
        <f t="shared" si="48"/>
        <v>0</v>
      </c>
      <c r="E338" s="246">
        <f t="shared" si="48"/>
        <v>0</v>
      </c>
      <c r="F338" s="246">
        <f t="shared" si="48"/>
        <v>99720</v>
      </c>
      <c r="G338" s="246">
        <f t="shared" si="48"/>
        <v>33</v>
      </c>
      <c r="H338" s="246">
        <f t="shared" si="48"/>
        <v>452760</v>
      </c>
      <c r="I338" s="246">
        <f t="shared" si="48"/>
        <v>98740</v>
      </c>
      <c r="J338" s="246">
        <f t="shared" si="48"/>
        <v>980</v>
      </c>
      <c r="K338" s="246">
        <f t="shared" ref="K338:P338" si="49">K329+K229</f>
        <v>0</v>
      </c>
      <c r="L338" s="246">
        <f t="shared" si="49"/>
        <v>0</v>
      </c>
      <c r="M338" s="246">
        <f t="shared" si="49"/>
        <v>0</v>
      </c>
      <c r="N338" s="246">
        <f t="shared" si="49"/>
        <v>0</v>
      </c>
      <c r="O338" s="246">
        <f t="shared" si="49"/>
        <v>0</v>
      </c>
      <c r="P338" s="246">
        <f t="shared" si="49"/>
        <v>0</v>
      </c>
      <c r="Q338" s="253"/>
    </row>
    <row r="339" spans="1:17" ht="25" customHeight="1" x14ac:dyDescent="0.25">
      <c r="A339" s="256"/>
      <c r="B339" s="245" t="s">
        <v>542</v>
      </c>
      <c r="C339" s="246" t="e">
        <f>C329+C239+#REF!+C164+C83</f>
        <v>#REF!</v>
      </c>
      <c r="D339" s="246" t="e">
        <f>D329+D239+#REF!+D164+D83</f>
        <v>#REF!</v>
      </c>
      <c r="E339" s="246" t="e">
        <f>E329+E239+#REF!+E164+E83</f>
        <v>#REF!</v>
      </c>
      <c r="F339" s="246" t="e">
        <f>F329+F239+#REF!+F164+F83</f>
        <v>#REF!</v>
      </c>
      <c r="G339" s="246" t="e">
        <f>G329+G239+#REF!+G164+G83</f>
        <v>#REF!</v>
      </c>
      <c r="H339" s="246" t="e">
        <f>H329+H239+#REF!+H164+H83</f>
        <v>#REF!</v>
      </c>
      <c r="I339" s="246" t="e">
        <f>I329+I239+#REF!+I164+I83</f>
        <v>#REF!</v>
      </c>
      <c r="J339" s="246" t="e">
        <f>J329+J239+#REF!+J164+J83</f>
        <v>#REF!</v>
      </c>
      <c r="K339" s="246" t="e">
        <f>K329+K239+#REF!+K164+K83</f>
        <v>#REF!</v>
      </c>
      <c r="L339" s="246" t="e">
        <f>L329+L239+#REF!+L164+L83</f>
        <v>#REF!</v>
      </c>
      <c r="M339" s="246" t="e">
        <f>M329+M239+#REF!+M164+M83</f>
        <v>#REF!</v>
      </c>
      <c r="N339" s="246" t="e">
        <f>N329+N239+#REF!+N164+N83</f>
        <v>#REF!</v>
      </c>
      <c r="O339" s="246" t="e">
        <f>O329+O239+#REF!+O164+O83</f>
        <v>#REF!</v>
      </c>
      <c r="P339" s="246" t="e">
        <f>P329+P239+#REF!+P164+P83</f>
        <v>#REF!</v>
      </c>
      <c r="Q339" s="253"/>
    </row>
    <row r="340" spans="1:17" ht="25" customHeight="1" x14ac:dyDescent="0.25">
      <c r="A340" s="256"/>
      <c r="B340" s="245" t="s">
        <v>543</v>
      </c>
      <c r="C340" s="246"/>
      <c r="D340" s="246"/>
      <c r="E340" s="246"/>
      <c r="F340" s="246"/>
      <c r="G340" s="246"/>
      <c r="H340" s="246"/>
      <c r="I340" s="246"/>
      <c r="J340" s="246"/>
      <c r="K340" s="311"/>
      <c r="L340" s="311"/>
      <c r="M340" s="311"/>
      <c r="N340" s="311"/>
      <c r="O340" s="311"/>
      <c r="P340" s="311"/>
      <c r="Q340" s="253"/>
    </row>
    <row r="341" spans="1:17" ht="25" customHeight="1" x14ac:dyDescent="0.25">
      <c r="A341" s="238"/>
      <c r="B341" s="264" t="s">
        <v>484</v>
      </c>
      <c r="C341" s="260" t="e">
        <f>C330+C240+#REF!+C165+C85</f>
        <v>#REF!</v>
      </c>
      <c r="D341" s="260" t="e">
        <f>D330+D240+#REF!+D165+D85</f>
        <v>#REF!</v>
      </c>
      <c r="E341" s="260" t="e">
        <f>E330+E240+#REF!+E165+E85</f>
        <v>#REF!</v>
      </c>
      <c r="F341" s="260" t="e">
        <f>F330+F240+#REF!+F165+F85</f>
        <v>#REF!</v>
      </c>
      <c r="G341" s="260" t="e">
        <f>G330+G240+#REF!+G165+G85</f>
        <v>#REF!</v>
      </c>
      <c r="H341" s="260" t="e">
        <f>H330+H240+#REF!+H165+H85</f>
        <v>#REF!</v>
      </c>
      <c r="I341" s="260" t="e">
        <f>I330+I240+#REF!+I165+I85</f>
        <v>#REF!</v>
      </c>
      <c r="J341" s="260" t="e">
        <f>J330+J240+#REF!+J165+J85</f>
        <v>#REF!</v>
      </c>
      <c r="K341" s="260" t="e">
        <f>K330+K240+#REF!+K165+K85</f>
        <v>#REF!</v>
      </c>
      <c r="L341" s="312" t="e">
        <f>L330+L240+#REF!+L165+L85</f>
        <v>#REF!</v>
      </c>
      <c r="M341" s="313" t="e">
        <f>M330+M240+#REF!+M165+M85</f>
        <v>#REF!</v>
      </c>
      <c r="N341" s="313" t="e">
        <f>N330+N240+#REF!+N165+N85</f>
        <v>#REF!</v>
      </c>
      <c r="O341" s="312" t="e">
        <f>O330+O240+#REF!+O165+O85</f>
        <v>#REF!</v>
      </c>
      <c r="P341" s="312" t="e">
        <f>P330+P240+#REF!+P165+P85</f>
        <v>#REF!</v>
      </c>
      <c r="Q341" s="253"/>
    </row>
    <row r="342" spans="1:17" x14ac:dyDescent="0.3">
      <c r="C342" s="174"/>
      <c r="D342" s="1450" t="s">
        <v>570</v>
      </c>
      <c r="E342" s="1450"/>
      <c r="F342" s="1450"/>
      <c r="G342" s="1450"/>
      <c r="H342" s="1450"/>
      <c r="I342" s="1450"/>
      <c r="J342" s="241" t="e">
        <f>J341+K341</f>
        <v>#REF!</v>
      </c>
      <c r="K342" s="10"/>
      <c r="L342" s="10"/>
      <c r="M342" s="10"/>
      <c r="N342" s="1451" t="s">
        <v>589</v>
      </c>
      <c r="O342" s="1451"/>
      <c r="P342" s="1451"/>
      <c r="Q342" s="1451"/>
    </row>
    <row r="343" spans="1:17" ht="12.75" customHeight="1" x14ac:dyDescent="0.3">
      <c r="A343" s="14"/>
      <c r="B343" s="14"/>
      <c r="C343" s="174"/>
      <c r="D343" s="174"/>
      <c r="E343" s="174"/>
      <c r="F343" s="174"/>
      <c r="G343" s="174"/>
      <c r="H343" s="174"/>
      <c r="I343" s="174"/>
      <c r="J343" s="174"/>
      <c r="K343" s="10"/>
      <c r="L343" s="10"/>
      <c r="M343" s="10"/>
      <c r="N343" s="1442" t="s">
        <v>548</v>
      </c>
      <c r="O343" s="1442"/>
      <c r="P343" s="1442"/>
      <c r="Q343" s="1442"/>
    </row>
    <row r="344" spans="1:17" x14ac:dyDescent="0.3">
      <c r="A344" s="14"/>
      <c r="B344" s="1452" t="s">
        <v>150</v>
      </c>
      <c r="C344" s="1452"/>
      <c r="D344" s="1452"/>
      <c r="E344" s="1452"/>
      <c r="F344" s="1452"/>
      <c r="G344" s="1452"/>
      <c r="H344" s="1452"/>
      <c r="I344" s="1452"/>
      <c r="J344" s="1452"/>
      <c r="K344" s="1452"/>
      <c r="L344" s="10"/>
      <c r="M344" s="10"/>
      <c r="N344" s="10"/>
      <c r="O344" s="10"/>
      <c r="P344" s="10"/>
      <c r="Q344" s="153"/>
    </row>
    <row r="345" spans="1:17" ht="26.25" customHeight="1" x14ac:dyDescent="0.3">
      <c r="A345" s="14"/>
      <c r="B345" s="1463" t="s">
        <v>237</v>
      </c>
      <c r="C345" s="1463"/>
      <c r="D345" s="1463"/>
      <c r="E345" s="1463"/>
      <c r="F345" s="1463"/>
      <c r="G345" s="1463"/>
      <c r="H345" s="1463"/>
      <c r="I345" s="1463"/>
      <c r="J345" s="1463"/>
      <c r="K345" s="1463"/>
      <c r="L345" s="10"/>
      <c r="M345" s="10"/>
      <c r="N345" s="10"/>
      <c r="O345" s="10"/>
      <c r="P345" s="10"/>
      <c r="Q345" s="153"/>
    </row>
    <row r="346" spans="1:17" ht="30" customHeight="1" x14ac:dyDescent="0.3">
      <c r="A346" s="14"/>
      <c r="B346" s="1448" t="s">
        <v>74</v>
      </c>
      <c r="C346" s="1448"/>
      <c r="D346" s="1448"/>
      <c r="E346" s="1448"/>
      <c r="F346" s="1448"/>
      <c r="G346" s="1448"/>
      <c r="H346" s="1448"/>
      <c r="I346" s="1448"/>
      <c r="J346" s="1448"/>
      <c r="K346" s="1448"/>
      <c r="L346" s="10"/>
      <c r="M346" s="10"/>
      <c r="N346" s="1435" t="s">
        <v>549</v>
      </c>
      <c r="O346" s="1435"/>
      <c r="P346" s="1435"/>
      <c r="Q346" s="1435"/>
    </row>
  </sheetData>
  <mergeCells count="30">
    <mergeCell ref="A5:A6"/>
    <mergeCell ref="B5:B6"/>
    <mergeCell ref="C5:C6"/>
    <mergeCell ref="D5:D6"/>
    <mergeCell ref="E5:E6"/>
    <mergeCell ref="A1:C1"/>
    <mergeCell ref="I1:N1"/>
    <mergeCell ref="A2:C2"/>
    <mergeCell ref="I2:N2"/>
    <mergeCell ref="A3:Q3"/>
    <mergeCell ref="Q128:Q134"/>
    <mergeCell ref="F5:F6"/>
    <mergeCell ref="G5:G6"/>
    <mergeCell ref="H5:H6"/>
    <mergeCell ref="I5:K5"/>
    <mergeCell ref="L5:L6"/>
    <mergeCell ref="M5:M6"/>
    <mergeCell ref="N5:N6"/>
    <mergeCell ref="O5:O6"/>
    <mergeCell ref="P5:P6"/>
    <mergeCell ref="Q5:Q6"/>
    <mergeCell ref="Q50:Q52"/>
    <mergeCell ref="B346:K346"/>
    <mergeCell ref="N346:Q346"/>
    <mergeCell ref="M300:Q300"/>
    <mergeCell ref="D342:I342"/>
    <mergeCell ref="N342:Q342"/>
    <mergeCell ref="N343:Q343"/>
    <mergeCell ref="B344:K344"/>
    <mergeCell ref="B345:K345"/>
  </mergeCells>
  <pageMargins left="0.2" right="0.2" top="0.5" bottom="0.42" header="0.62" footer="0.6"/>
  <pageSetup paperSize="9" scale="8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defaultColWidth="9.1796875" defaultRowHeight="13" x14ac:dyDescent="0.3"/>
  <cols>
    <col min="1" max="1" width="5.453125" style="327" customWidth="1"/>
    <col min="2" max="2" width="41.1796875" style="327" customWidth="1"/>
    <col min="3" max="3" width="7" style="319" customWidth="1"/>
    <col min="4" max="4" width="7" style="319" hidden="1" customWidth="1"/>
    <col min="5" max="5" width="6" style="319" customWidth="1"/>
    <col min="6" max="6" width="7.453125" style="175" customWidth="1"/>
    <col min="7" max="7" width="6.81640625" style="319" customWidth="1"/>
    <col min="8" max="8" width="11.1796875" style="319" customWidth="1"/>
    <col min="9" max="10" width="8.36328125" style="319" customWidth="1"/>
    <col min="11" max="11" width="6.453125" style="328" customWidth="1"/>
    <col min="12" max="12" width="7.6328125" style="328" customWidth="1"/>
    <col min="13" max="13" width="9.453125" style="328" customWidth="1"/>
    <col min="14" max="14" width="11" style="328" customWidth="1"/>
    <col min="15" max="15" width="6.6328125" style="328" customWidth="1"/>
    <col min="16" max="16" width="9.6328125" style="328" customWidth="1"/>
    <col min="17" max="17" width="12.6328125" style="197" customWidth="1"/>
    <col min="18" max="16384" width="9.1796875" style="197"/>
  </cols>
  <sheetData>
    <row r="1" spans="1:17" ht="14.25" customHeight="1" x14ac:dyDescent="0.3">
      <c r="A1" s="1459" t="s">
        <v>3</v>
      </c>
      <c r="B1" s="1459"/>
      <c r="C1" s="1459"/>
      <c r="D1" s="14"/>
      <c r="E1" s="14"/>
      <c r="F1" s="14"/>
      <c r="G1" s="14"/>
      <c r="H1" s="174"/>
      <c r="I1" s="1435"/>
      <c r="J1" s="1435"/>
      <c r="K1" s="1435"/>
      <c r="L1" s="1435"/>
      <c r="M1" s="1435"/>
      <c r="N1" s="1435"/>
      <c r="O1" s="15"/>
      <c r="P1" s="15"/>
      <c r="Q1" s="320" t="s">
        <v>30</v>
      </c>
    </row>
    <row r="2" spans="1:17" x14ac:dyDescent="0.3">
      <c r="A2" s="1439" t="s">
        <v>530</v>
      </c>
      <c r="B2" s="1439"/>
      <c r="C2" s="1439"/>
      <c r="D2" s="153"/>
      <c r="E2" s="153"/>
      <c r="F2" s="14"/>
      <c r="G2" s="153"/>
      <c r="H2" s="174"/>
      <c r="I2" s="1435"/>
      <c r="J2" s="1435"/>
      <c r="K2" s="1435"/>
      <c r="L2" s="1435"/>
      <c r="M2" s="1435"/>
      <c r="N2" s="1435"/>
      <c r="O2" s="15"/>
      <c r="P2" s="15"/>
      <c r="Q2" s="15"/>
    </row>
    <row r="3" spans="1:17" ht="30" customHeight="1" x14ac:dyDescent="0.25">
      <c r="A3" s="1437" t="s">
        <v>590</v>
      </c>
      <c r="B3" s="1437"/>
      <c r="C3" s="1437"/>
      <c r="D3" s="1437"/>
      <c r="E3" s="1437"/>
      <c r="F3" s="1437"/>
      <c r="G3" s="1437"/>
      <c r="H3" s="1437"/>
      <c r="I3" s="1437"/>
      <c r="J3" s="1437"/>
      <c r="K3" s="1437"/>
      <c r="L3" s="1437"/>
      <c r="M3" s="1437"/>
      <c r="N3" s="1437"/>
      <c r="O3" s="1437"/>
      <c r="P3" s="1437"/>
      <c r="Q3" s="1437"/>
    </row>
    <row r="4" spans="1:17" x14ac:dyDescent="0.3">
      <c r="A4" s="51"/>
      <c r="B4" s="51"/>
      <c r="C4" s="61"/>
      <c r="D4" s="61"/>
      <c r="E4" s="61"/>
      <c r="F4" s="61"/>
      <c r="G4" s="61"/>
      <c r="H4" s="61"/>
      <c r="I4" s="61"/>
      <c r="J4" s="61"/>
      <c r="K4" s="51"/>
      <c r="L4" s="51"/>
      <c r="M4" s="51"/>
      <c r="N4" s="51" t="s">
        <v>20</v>
      </c>
      <c r="O4" s="51"/>
      <c r="P4" s="51"/>
      <c r="Q4" s="61"/>
    </row>
    <row r="5" spans="1:17" ht="133.5" customHeight="1" x14ac:dyDescent="0.25">
      <c r="A5" s="1469" t="s">
        <v>0</v>
      </c>
      <c r="B5" s="1464" t="s">
        <v>171</v>
      </c>
      <c r="C5" s="1464" t="s">
        <v>204</v>
      </c>
      <c r="D5" s="1464" t="s">
        <v>205</v>
      </c>
      <c r="E5" s="1464" t="s">
        <v>152</v>
      </c>
      <c r="F5" s="1464" t="s">
        <v>159</v>
      </c>
      <c r="G5" s="1464" t="s">
        <v>208</v>
      </c>
      <c r="H5" s="1464" t="s">
        <v>207</v>
      </c>
      <c r="I5" s="1466" t="s">
        <v>209</v>
      </c>
      <c r="J5" s="1467"/>
      <c r="K5" s="1468"/>
      <c r="L5" s="1464" t="s">
        <v>210</v>
      </c>
      <c r="M5" s="1464" t="s">
        <v>211</v>
      </c>
      <c r="N5" s="1464" t="s">
        <v>39</v>
      </c>
      <c r="O5" s="1464" t="s">
        <v>86</v>
      </c>
      <c r="P5" s="1464" t="s">
        <v>87</v>
      </c>
      <c r="Q5" s="1464" t="s">
        <v>2</v>
      </c>
    </row>
    <row r="6" spans="1:17" ht="50" customHeight="1" x14ac:dyDescent="0.25">
      <c r="A6" s="1470"/>
      <c r="B6" s="1465"/>
      <c r="C6" s="1465"/>
      <c r="D6" s="1465"/>
      <c r="E6" s="1465"/>
      <c r="F6" s="1465"/>
      <c r="G6" s="1465"/>
      <c r="H6" s="1465"/>
      <c r="I6" s="196" t="s">
        <v>160</v>
      </c>
      <c r="J6" s="196" t="s">
        <v>101</v>
      </c>
      <c r="K6" s="196" t="s">
        <v>158</v>
      </c>
      <c r="L6" s="1465"/>
      <c r="M6" s="1465"/>
      <c r="N6" s="1465"/>
      <c r="O6" s="1465"/>
      <c r="P6" s="1465"/>
      <c r="Q6" s="1465"/>
    </row>
    <row r="7" spans="1:17" s="321" customFormat="1" ht="30" customHeight="1" x14ac:dyDescent="0.25">
      <c r="A7" s="199" t="s">
        <v>115</v>
      </c>
      <c r="B7" s="200" t="s">
        <v>116</v>
      </c>
      <c r="C7" s="200" t="s">
        <v>117</v>
      </c>
      <c r="D7" s="201" t="s">
        <v>118</v>
      </c>
      <c r="E7" s="201" t="s">
        <v>118</v>
      </c>
      <c r="F7" s="201" t="s">
        <v>119</v>
      </c>
      <c r="G7" s="201" t="s">
        <v>120</v>
      </c>
      <c r="H7" s="201" t="s">
        <v>596</v>
      </c>
      <c r="I7" s="201" t="s">
        <v>123</v>
      </c>
      <c r="J7" s="201" t="s">
        <v>125</v>
      </c>
      <c r="K7" s="201" t="s">
        <v>134</v>
      </c>
      <c r="L7" s="201" t="s">
        <v>126</v>
      </c>
      <c r="M7" s="201" t="s">
        <v>127</v>
      </c>
      <c r="N7" s="201" t="s">
        <v>128</v>
      </c>
      <c r="O7" s="202" t="s">
        <v>129</v>
      </c>
      <c r="P7" s="202" t="s">
        <v>130</v>
      </c>
      <c r="Q7" s="201" t="s">
        <v>206</v>
      </c>
    </row>
    <row r="8" spans="1:17" ht="25" customHeight="1" x14ac:dyDescent="0.25">
      <c r="A8" s="209" t="s">
        <v>6</v>
      </c>
      <c r="B8" s="209" t="s">
        <v>294</v>
      </c>
      <c r="C8" s="210"/>
      <c r="D8" s="210"/>
      <c r="E8" s="210"/>
      <c r="F8" s="314"/>
      <c r="G8" s="210"/>
      <c r="H8" s="210"/>
      <c r="I8" s="210"/>
      <c r="J8" s="210"/>
      <c r="K8" s="209"/>
      <c r="L8" s="209"/>
      <c r="M8" s="209"/>
      <c r="N8" s="209"/>
      <c r="O8" s="209"/>
      <c r="P8" s="209"/>
      <c r="Q8" s="209"/>
    </row>
    <row r="9" spans="1:17" ht="25" customHeight="1" x14ac:dyDescent="0.25">
      <c r="A9" s="242" t="s">
        <v>7</v>
      </c>
      <c r="B9" s="242" t="s">
        <v>591</v>
      </c>
      <c r="C9" s="243"/>
      <c r="D9" s="243"/>
      <c r="E9" s="243"/>
      <c r="F9" s="315"/>
      <c r="G9" s="243"/>
      <c r="H9" s="243"/>
      <c r="I9" s="243"/>
      <c r="J9" s="243"/>
      <c r="K9" s="242"/>
      <c r="L9" s="242"/>
      <c r="M9" s="242"/>
      <c r="N9" s="242"/>
      <c r="O9" s="242"/>
      <c r="P9" s="242"/>
      <c r="Q9" s="242"/>
    </row>
    <row r="10" spans="1:17" ht="25" customHeight="1" x14ac:dyDescent="0.25">
      <c r="A10" s="242">
        <v>1</v>
      </c>
      <c r="B10" s="242" t="s">
        <v>4</v>
      </c>
      <c r="C10" s="243"/>
      <c r="D10" s="243"/>
      <c r="E10" s="243"/>
      <c r="F10" s="315"/>
      <c r="G10" s="243"/>
      <c r="H10" s="243"/>
      <c r="I10" s="243"/>
      <c r="J10" s="243"/>
      <c r="K10" s="242"/>
      <c r="L10" s="242"/>
      <c r="M10" s="242"/>
      <c r="N10" s="242"/>
      <c r="O10" s="242"/>
      <c r="P10" s="242"/>
      <c r="Q10" s="242"/>
    </row>
    <row r="11" spans="1:17" s="3" customFormat="1" ht="25" customHeight="1" x14ac:dyDescent="0.25">
      <c r="A11" s="244" t="s">
        <v>147</v>
      </c>
      <c r="B11" s="245" t="s">
        <v>161</v>
      </c>
      <c r="C11" s="246"/>
      <c r="D11" s="246"/>
      <c r="E11" s="246"/>
      <c r="F11" s="249"/>
      <c r="G11" s="246"/>
      <c r="H11" s="246"/>
      <c r="I11" s="247"/>
      <c r="J11" s="247"/>
      <c r="K11" s="247"/>
      <c r="L11" s="247"/>
      <c r="M11" s="247"/>
      <c r="N11" s="247"/>
      <c r="O11" s="247"/>
      <c r="P11" s="247"/>
      <c r="Q11" s="248"/>
    </row>
    <row r="12" spans="1:17" s="3" customFormat="1" ht="25" customHeight="1" x14ac:dyDescent="0.25">
      <c r="A12" s="349" t="s">
        <v>226</v>
      </c>
      <c r="B12" s="372" t="s">
        <v>250</v>
      </c>
      <c r="C12" s="352">
        <v>2</v>
      </c>
      <c r="D12" s="351">
        <v>1</v>
      </c>
      <c r="E12" s="352">
        <v>1</v>
      </c>
      <c r="F12" s="254">
        <f>I12+J12+K12</f>
        <v>33</v>
      </c>
      <c r="G12" s="249">
        <v>40</v>
      </c>
      <c r="H12" s="249">
        <f>C12*D12*E12*G12</f>
        <v>80</v>
      </c>
      <c r="I12" s="251">
        <f>IF(G12&lt;70, C12*E12*16.5*1, C12*E12*16.5*1.3)</f>
        <v>33</v>
      </c>
      <c r="J12" s="247"/>
      <c r="K12" s="247"/>
      <c r="L12" s="247"/>
      <c r="M12" s="247"/>
      <c r="N12" s="247"/>
      <c r="O12" s="247"/>
      <c r="P12" s="247"/>
      <c r="Q12" s="248"/>
    </row>
    <row r="13" spans="1:17" s="3" customFormat="1" ht="25" customHeight="1" x14ac:dyDescent="0.25">
      <c r="A13" s="349" t="s">
        <v>227</v>
      </c>
      <c r="B13" s="372" t="s">
        <v>635</v>
      </c>
      <c r="C13" s="352">
        <v>1</v>
      </c>
      <c r="D13" s="352">
        <v>1.4</v>
      </c>
      <c r="E13" s="352">
        <v>14</v>
      </c>
      <c r="F13" s="254">
        <f>I13+J13+K13</f>
        <v>231</v>
      </c>
      <c r="G13" s="249">
        <v>20</v>
      </c>
      <c r="H13" s="249">
        <f t="shared" ref="H13:H44" si="0">C13*D13*E13*G13</f>
        <v>391.99999999999994</v>
      </c>
      <c r="I13" s="251">
        <f t="shared" ref="I13:I45" si="1">IF(G13&lt;70, C13*E13*16.5*1, C13*E13*16.5*1.3)</f>
        <v>231</v>
      </c>
      <c r="J13" s="247"/>
      <c r="K13" s="247"/>
      <c r="L13" s="247"/>
      <c r="M13" s="247"/>
      <c r="N13" s="247"/>
      <c r="O13" s="247"/>
      <c r="P13" s="247"/>
      <c r="Q13" s="248"/>
    </row>
    <row r="14" spans="1:17" s="3" customFormat="1" ht="25" customHeight="1" x14ac:dyDescent="0.25">
      <c r="A14" s="349" t="s">
        <v>228</v>
      </c>
      <c r="B14" s="372" t="s">
        <v>251</v>
      </c>
      <c r="C14" s="352">
        <v>2</v>
      </c>
      <c r="D14" s="352">
        <v>1</v>
      </c>
      <c r="E14" s="352">
        <v>1</v>
      </c>
      <c r="F14" s="254">
        <f t="shared" ref="F14:F46" si="2">I14+J14+K14</f>
        <v>42.9</v>
      </c>
      <c r="G14" s="249">
        <v>80</v>
      </c>
      <c r="H14" s="249">
        <f t="shared" si="0"/>
        <v>160</v>
      </c>
      <c r="I14" s="251">
        <f t="shared" si="1"/>
        <v>42.9</v>
      </c>
      <c r="J14" s="247"/>
      <c r="K14" s="247"/>
      <c r="L14" s="247"/>
      <c r="M14" s="247"/>
      <c r="N14" s="247"/>
      <c r="O14" s="247"/>
      <c r="P14" s="247"/>
      <c r="Q14" s="248"/>
    </row>
    <row r="15" spans="1:17" s="3" customFormat="1" ht="25" customHeight="1" x14ac:dyDescent="0.25">
      <c r="A15" s="349" t="s">
        <v>229</v>
      </c>
      <c r="B15" s="372" t="s">
        <v>636</v>
      </c>
      <c r="C15" s="352">
        <v>2</v>
      </c>
      <c r="D15" s="352">
        <v>1</v>
      </c>
      <c r="E15" s="352">
        <v>3</v>
      </c>
      <c r="F15" s="254">
        <f t="shared" si="2"/>
        <v>128.70000000000002</v>
      </c>
      <c r="G15" s="249">
        <v>70</v>
      </c>
      <c r="H15" s="249">
        <f t="shared" si="0"/>
        <v>420</v>
      </c>
      <c r="I15" s="251">
        <f t="shared" si="1"/>
        <v>128.70000000000002</v>
      </c>
      <c r="J15" s="247"/>
      <c r="K15" s="247"/>
      <c r="L15" s="247"/>
      <c r="M15" s="247"/>
      <c r="N15" s="247"/>
      <c r="O15" s="247"/>
      <c r="P15" s="247"/>
      <c r="Q15" s="248"/>
    </row>
    <row r="16" spans="1:17" s="3" customFormat="1" ht="25" customHeight="1" x14ac:dyDescent="0.3">
      <c r="A16" s="349" t="s">
        <v>230</v>
      </c>
      <c r="B16" s="373" t="s">
        <v>637</v>
      </c>
      <c r="C16" s="352">
        <v>2</v>
      </c>
      <c r="D16" s="352">
        <v>1</v>
      </c>
      <c r="E16" s="352">
        <v>3</v>
      </c>
      <c r="F16" s="254">
        <f t="shared" si="2"/>
        <v>128.70000000000002</v>
      </c>
      <c r="G16" s="249">
        <v>70</v>
      </c>
      <c r="H16" s="249">
        <f t="shared" si="0"/>
        <v>420</v>
      </c>
      <c r="I16" s="251">
        <f t="shared" si="1"/>
        <v>128.70000000000002</v>
      </c>
      <c r="J16" s="247"/>
      <c r="K16" s="247"/>
      <c r="L16" s="247"/>
      <c r="M16" s="247"/>
      <c r="N16" s="247"/>
      <c r="O16" s="247"/>
      <c r="P16" s="247"/>
      <c r="Q16" s="248"/>
    </row>
    <row r="17" spans="1:17" s="3" customFormat="1" ht="25" customHeight="1" x14ac:dyDescent="0.25">
      <c r="A17" s="349" t="s">
        <v>231</v>
      </c>
      <c r="B17" s="372" t="s">
        <v>259</v>
      </c>
      <c r="C17" s="352">
        <v>5</v>
      </c>
      <c r="D17" s="352">
        <v>1</v>
      </c>
      <c r="E17" s="352">
        <v>4</v>
      </c>
      <c r="F17" s="254">
        <f t="shared" si="2"/>
        <v>429</v>
      </c>
      <c r="G17" s="249">
        <v>70</v>
      </c>
      <c r="H17" s="249">
        <f t="shared" si="0"/>
        <v>1400</v>
      </c>
      <c r="I17" s="251">
        <f t="shared" si="1"/>
        <v>429</v>
      </c>
      <c r="J17" s="247"/>
      <c r="K17" s="247"/>
      <c r="L17" s="247"/>
      <c r="M17" s="247"/>
      <c r="N17" s="247"/>
      <c r="O17" s="247"/>
      <c r="P17" s="247"/>
      <c r="Q17" s="248"/>
    </row>
    <row r="18" spans="1:17" s="3" customFormat="1" ht="25" customHeight="1" x14ac:dyDescent="0.25">
      <c r="A18" s="349" t="s">
        <v>282</v>
      </c>
      <c r="B18" s="372" t="s">
        <v>249</v>
      </c>
      <c r="C18" s="351">
        <v>2</v>
      </c>
      <c r="D18" s="351">
        <v>1</v>
      </c>
      <c r="E18" s="351">
        <v>1</v>
      </c>
      <c r="F18" s="254">
        <f t="shared" si="2"/>
        <v>33</v>
      </c>
      <c r="G18" s="251">
        <v>40</v>
      </c>
      <c r="H18" s="249">
        <f t="shared" si="0"/>
        <v>80</v>
      </c>
      <c r="I18" s="251">
        <f t="shared" si="1"/>
        <v>33</v>
      </c>
      <c r="J18" s="247"/>
      <c r="K18" s="247"/>
      <c r="L18" s="247"/>
      <c r="M18" s="247"/>
      <c r="N18" s="247"/>
      <c r="O18" s="247"/>
      <c r="P18" s="247"/>
      <c r="Q18" s="248"/>
    </row>
    <row r="19" spans="1:17" s="3" customFormat="1" ht="25" customHeight="1" x14ac:dyDescent="0.3">
      <c r="A19" s="349" t="s">
        <v>283</v>
      </c>
      <c r="B19" s="373" t="s">
        <v>638</v>
      </c>
      <c r="C19" s="352">
        <v>2</v>
      </c>
      <c r="D19" s="352">
        <v>1</v>
      </c>
      <c r="E19" s="352">
        <v>2</v>
      </c>
      <c r="F19" s="254">
        <f t="shared" si="2"/>
        <v>85.8</v>
      </c>
      <c r="G19" s="249">
        <v>80</v>
      </c>
      <c r="H19" s="249">
        <f t="shared" si="0"/>
        <v>320</v>
      </c>
      <c r="I19" s="251">
        <f t="shared" si="1"/>
        <v>85.8</v>
      </c>
      <c r="J19" s="247"/>
      <c r="K19" s="247"/>
      <c r="L19" s="247"/>
      <c r="M19" s="247"/>
      <c r="N19" s="247"/>
      <c r="O19" s="247"/>
      <c r="P19" s="247"/>
      <c r="Q19" s="248"/>
    </row>
    <row r="20" spans="1:17" s="3" customFormat="1" ht="25" customHeight="1" x14ac:dyDescent="0.25">
      <c r="A20" s="349" t="s">
        <v>284</v>
      </c>
      <c r="B20" s="372" t="s">
        <v>639</v>
      </c>
      <c r="C20" s="352">
        <v>1</v>
      </c>
      <c r="D20" s="352">
        <v>1.4</v>
      </c>
      <c r="E20" s="352">
        <v>6</v>
      </c>
      <c r="F20" s="254">
        <f t="shared" si="2"/>
        <v>99</v>
      </c>
      <c r="G20" s="249">
        <v>20</v>
      </c>
      <c r="H20" s="249">
        <f t="shared" si="0"/>
        <v>167.99999999999997</v>
      </c>
      <c r="I20" s="251">
        <f t="shared" si="1"/>
        <v>99</v>
      </c>
      <c r="J20" s="247"/>
      <c r="K20" s="247"/>
      <c r="L20" s="247"/>
      <c r="M20" s="247"/>
      <c r="N20" s="247"/>
      <c r="O20" s="247"/>
      <c r="P20" s="247"/>
      <c r="Q20" s="248"/>
    </row>
    <row r="21" spans="1:17" s="3" customFormat="1" ht="25" customHeight="1" x14ac:dyDescent="0.25">
      <c r="A21" s="349" t="s">
        <v>285</v>
      </c>
      <c r="B21" s="372" t="s">
        <v>640</v>
      </c>
      <c r="C21" s="352">
        <v>3</v>
      </c>
      <c r="D21" s="352">
        <v>1</v>
      </c>
      <c r="E21" s="352">
        <v>2</v>
      </c>
      <c r="F21" s="254">
        <f t="shared" si="2"/>
        <v>128.70000000000002</v>
      </c>
      <c r="G21" s="249">
        <v>80</v>
      </c>
      <c r="H21" s="249">
        <f t="shared" si="0"/>
        <v>480</v>
      </c>
      <c r="I21" s="251">
        <f t="shared" si="1"/>
        <v>128.70000000000002</v>
      </c>
      <c r="J21" s="252"/>
      <c r="K21" s="252"/>
      <c r="L21" s="252"/>
      <c r="M21" s="252"/>
      <c r="N21" s="252"/>
      <c r="O21" s="252"/>
      <c r="P21" s="252"/>
      <c r="Q21" s="253"/>
    </row>
    <row r="22" spans="1:17" s="3" customFormat="1" ht="25" customHeight="1" x14ac:dyDescent="0.25">
      <c r="A22" s="349" t="s">
        <v>286</v>
      </c>
      <c r="B22" s="372" t="s">
        <v>252</v>
      </c>
      <c r="C22" s="352">
        <v>2</v>
      </c>
      <c r="D22" s="352">
        <v>1</v>
      </c>
      <c r="E22" s="352">
        <v>1</v>
      </c>
      <c r="F22" s="254">
        <f t="shared" si="2"/>
        <v>33</v>
      </c>
      <c r="G22" s="249">
        <v>40</v>
      </c>
      <c r="H22" s="249">
        <f t="shared" si="0"/>
        <v>80</v>
      </c>
      <c r="I22" s="251">
        <f t="shared" si="1"/>
        <v>33</v>
      </c>
      <c r="J22" s="252"/>
      <c r="K22" s="252"/>
      <c r="L22" s="252"/>
      <c r="M22" s="252"/>
      <c r="N22" s="252"/>
      <c r="O22" s="252"/>
      <c r="P22" s="252"/>
      <c r="Q22" s="253"/>
    </row>
    <row r="23" spans="1:17" s="3" customFormat="1" ht="25" customHeight="1" x14ac:dyDescent="0.25">
      <c r="A23" s="349" t="s">
        <v>289</v>
      </c>
      <c r="B23" s="372" t="s">
        <v>253</v>
      </c>
      <c r="C23" s="352">
        <v>2</v>
      </c>
      <c r="D23" s="352">
        <v>1</v>
      </c>
      <c r="E23" s="352">
        <v>1</v>
      </c>
      <c r="F23" s="254">
        <f t="shared" si="2"/>
        <v>33</v>
      </c>
      <c r="G23" s="249">
        <v>40</v>
      </c>
      <c r="H23" s="249">
        <f t="shared" si="0"/>
        <v>80</v>
      </c>
      <c r="I23" s="251">
        <f t="shared" si="1"/>
        <v>33</v>
      </c>
      <c r="J23" s="252"/>
      <c r="K23" s="252"/>
      <c r="L23" s="252"/>
      <c r="M23" s="252"/>
      <c r="N23" s="252"/>
      <c r="O23" s="252"/>
      <c r="P23" s="252"/>
      <c r="Q23" s="253"/>
    </row>
    <row r="24" spans="1:17" s="3" customFormat="1" ht="25" customHeight="1" x14ac:dyDescent="0.25">
      <c r="A24" s="349" t="s">
        <v>290</v>
      </c>
      <c r="B24" s="372" t="s">
        <v>254</v>
      </c>
      <c r="C24" s="352">
        <v>4</v>
      </c>
      <c r="D24" s="352">
        <v>1.4</v>
      </c>
      <c r="E24" s="352">
        <v>6</v>
      </c>
      <c r="F24" s="254">
        <f t="shared" si="2"/>
        <v>240</v>
      </c>
      <c r="G24" s="249">
        <v>20</v>
      </c>
      <c r="H24" s="249">
        <f t="shared" si="0"/>
        <v>671.99999999999989</v>
      </c>
      <c r="I24" s="251">
        <f>E24*G24*2</f>
        <v>240</v>
      </c>
      <c r="J24" s="252"/>
      <c r="K24" s="252"/>
      <c r="L24" s="252"/>
      <c r="M24" s="252"/>
      <c r="N24" s="252"/>
      <c r="O24" s="252"/>
      <c r="P24" s="252"/>
      <c r="Q24" s="253"/>
    </row>
    <row r="25" spans="1:17" s="3" customFormat="1" ht="25" customHeight="1" x14ac:dyDescent="0.25">
      <c r="A25" s="349" t="s">
        <v>291</v>
      </c>
      <c r="B25" s="372" t="s">
        <v>255</v>
      </c>
      <c r="C25" s="352">
        <v>3</v>
      </c>
      <c r="D25" s="352">
        <v>1.3</v>
      </c>
      <c r="E25" s="352">
        <v>7</v>
      </c>
      <c r="F25" s="254">
        <f t="shared" si="2"/>
        <v>346.5</v>
      </c>
      <c r="G25" s="249">
        <v>20</v>
      </c>
      <c r="H25" s="249">
        <f t="shared" si="0"/>
        <v>546.00000000000011</v>
      </c>
      <c r="I25" s="251">
        <f t="shared" si="1"/>
        <v>346.5</v>
      </c>
      <c r="J25" s="252"/>
      <c r="K25" s="252"/>
      <c r="L25" s="252"/>
      <c r="M25" s="252"/>
      <c r="N25" s="252"/>
      <c r="O25" s="252"/>
      <c r="P25" s="252"/>
      <c r="Q25" s="253"/>
    </row>
    <row r="26" spans="1:17" s="3" customFormat="1" ht="25" customHeight="1" x14ac:dyDescent="0.25">
      <c r="A26" s="349" t="s">
        <v>292</v>
      </c>
      <c r="B26" s="372" t="s">
        <v>256</v>
      </c>
      <c r="C26" s="352">
        <v>3</v>
      </c>
      <c r="D26" s="352">
        <v>1</v>
      </c>
      <c r="E26" s="352">
        <v>2</v>
      </c>
      <c r="F26" s="254">
        <f t="shared" si="2"/>
        <v>128.70000000000002</v>
      </c>
      <c r="G26" s="249">
        <v>70</v>
      </c>
      <c r="H26" s="249">
        <f t="shared" si="0"/>
        <v>420</v>
      </c>
      <c r="I26" s="251">
        <f t="shared" si="1"/>
        <v>128.70000000000002</v>
      </c>
      <c r="J26" s="252"/>
      <c r="K26" s="252"/>
      <c r="L26" s="252"/>
      <c r="M26" s="252"/>
      <c r="N26" s="252"/>
      <c r="O26" s="252"/>
      <c r="P26" s="252"/>
      <c r="Q26" s="253"/>
    </row>
    <row r="27" spans="1:17" s="3" customFormat="1" ht="25" customHeight="1" x14ac:dyDescent="0.3">
      <c r="A27" s="349" t="s">
        <v>394</v>
      </c>
      <c r="B27" s="374" t="s">
        <v>641</v>
      </c>
      <c r="C27" s="352">
        <v>3</v>
      </c>
      <c r="D27" s="352">
        <v>1</v>
      </c>
      <c r="E27" s="352">
        <v>4</v>
      </c>
      <c r="F27" s="254">
        <f t="shared" si="2"/>
        <v>257.40000000000003</v>
      </c>
      <c r="G27" s="249">
        <v>70</v>
      </c>
      <c r="H27" s="249">
        <f t="shared" si="0"/>
        <v>840</v>
      </c>
      <c r="I27" s="251">
        <f t="shared" si="1"/>
        <v>257.40000000000003</v>
      </c>
      <c r="J27" s="252"/>
      <c r="K27" s="252"/>
      <c r="L27" s="252"/>
      <c r="M27" s="252"/>
      <c r="N27" s="252"/>
      <c r="O27" s="252"/>
      <c r="P27" s="252"/>
      <c r="Q27" s="253"/>
    </row>
    <row r="28" spans="1:17" s="3" customFormat="1" ht="25" customHeight="1" x14ac:dyDescent="0.25">
      <c r="A28" s="349" t="s">
        <v>395</v>
      </c>
      <c r="B28" s="372" t="s">
        <v>642</v>
      </c>
      <c r="C28" s="352">
        <v>5</v>
      </c>
      <c r="D28" s="352">
        <v>1.4</v>
      </c>
      <c r="E28" s="352">
        <v>6</v>
      </c>
      <c r="F28" s="254">
        <f t="shared" si="2"/>
        <v>495</v>
      </c>
      <c r="G28" s="249">
        <v>45</v>
      </c>
      <c r="H28" s="249">
        <f t="shared" si="0"/>
        <v>1890</v>
      </c>
      <c r="I28" s="251">
        <f t="shared" si="1"/>
        <v>495</v>
      </c>
      <c r="J28" s="252"/>
      <c r="K28" s="252"/>
      <c r="L28" s="252"/>
      <c r="M28" s="252"/>
      <c r="N28" s="252"/>
      <c r="O28" s="252"/>
      <c r="P28" s="252"/>
      <c r="Q28" s="253"/>
    </row>
    <row r="29" spans="1:17" s="3" customFormat="1" ht="25" customHeight="1" x14ac:dyDescent="0.25">
      <c r="A29" s="349" t="s">
        <v>396</v>
      </c>
      <c r="B29" s="372" t="s">
        <v>260</v>
      </c>
      <c r="C29" s="352">
        <v>2</v>
      </c>
      <c r="D29" s="352">
        <v>1</v>
      </c>
      <c r="E29" s="352">
        <v>4</v>
      </c>
      <c r="F29" s="254">
        <f t="shared" si="2"/>
        <v>132</v>
      </c>
      <c r="G29" s="249">
        <v>40</v>
      </c>
      <c r="H29" s="249">
        <f t="shared" si="0"/>
        <v>320</v>
      </c>
      <c r="I29" s="251">
        <f t="shared" si="1"/>
        <v>132</v>
      </c>
      <c r="J29" s="252"/>
      <c r="K29" s="252"/>
      <c r="L29" s="252"/>
      <c r="M29" s="252"/>
      <c r="N29" s="252"/>
      <c r="O29" s="252"/>
      <c r="P29" s="252"/>
      <c r="Q29" s="253"/>
    </row>
    <row r="30" spans="1:17" s="3" customFormat="1" ht="25" customHeight="1" x14ac:dyDescent="0.25">
      <c r="A30" s="349" t="s">
        <v>397</v>
      </c>
      <c r="B30" s="372" t="s">
        <v>643</v>
      </c>
      <c r="C30" s="352">
        <v>2</v>
      </c>
      <c r="D30" s="352">
        <v>1</v>
      </c>
      <c r="E30" s="352">
        <v>2</v>
      </c>
      <c r="F30" s="254">
        <f t="shared" si="2"/>
        <v>66</v>
      </c>
      <c r="G30" s="249">
        <v>65</v>
      </c>
      <c r="H30" s="249">
        <f t="shared" si="0"/>
        <v>260</v>
      </c>
      <c r="I30" s="251">
        <f t="shared" si="1"/>
        <v>66</v>
      </c>
      <c r="J30" s="252"/>
      <c r="K30" s="252"/>
      <c r="L30" s="252"/>
      <c r="M30" s="252"/>
      <c r="N30" s="252"/>
      <c r="O30" s="252"/>
      <c r="P30" s="252"/>
      <c r="Q30" s="253"/>
    </row>
    <row r="31" spans="1:17" s="3" customFormat="1" ht="25" customHeight="1" x14ac:dyDescent="0.25">
      <c r="A31" s="349" t="s">
        <v>398</v>
      </c>
      <c r="B31" s="372" t="s">
        <v>644</v>
      </c>
      <c r="C31" s="352">
        <v>4</v>
      </c>
      <c r="D31" s="352">
        <v>1</v>
      </c>
      <c r="E31" s="352">
        <v>2</v>
      </c>
      <c r="F31" s="254">
        <f t="shared" si="2"/>
        <v>171.6</v>
      </c>
      <c r="G31" s="249">
        <v>70</v>
      </c>
      <c r="H31" s="249">
        <f t="shared" si="0"/>
        <v>560</v>
      </c>
      <c r="I31" s="251">
        <f t="shared" si="1"/>
        <v>171.6</v>
      </c>
      <c r="J31" s="252"/>
      <c r="K31" s="252"/>
      <c r="L31" s="252"/>
      <c r="M31" s="252"/>
      <c r="N31" s="252"/>
      <c r="O31" s="252"/>
      <c r="P31" s="252"/>
      <c r="Q31" s="253"/>
    </row>
    <row r="32" spans="1:17" s="3" customFormat="1" ht="25" customHeight="1" x14ac:dyDescent="0.25">
      <c r="A32" s="349" t="s">
        <v>399</v>
      </c>
      <c r="B32" s="372" t="s">
        <v>645</v>
      </c>
      <c r="C32" s="352">
        <v>2</v>
      </c>
      <c r="D32" s="352">
        <v>1.08</v>
      </c>
      <c r="E32" s="352">
        <v>4</v>
      </c>
      <c r="F32" s="254">
        <f t="shared" si="2"/>
        <v>132</v>
      </c>
      <c r="G32" s="249">
        <v>50</v>
      </c>
      <c r="H32" s="249">
        <f t="shared" si="0"/>
        <v>432</v>
      </c>
      <c r="I32" s="251">
        <f t="shared" si="1"/>
        <v>132</v>
      </c>
      <c r="J32" s="252"/>
      <c r="K32" s="252"/>
      <c r="L32" s="252"/>
      <c r="M32" s="252"/>
      <c r="N32" s="252"/>
      <c r="O32" s="252"/>
      <c r="P32" s="252"/>
      <c r="Q32" s="253"/>
    </row>
    <row r="33" spans="1:17" s="3" customFormat="1" ht="25" customHeight="1" x14ac:dyDescent="0.25">
      <c r="A33" s="349" t="s">
        <v>400</v>
      </c>
      <c r="B33" s="375" t="s">
        <v>262</v>
      </c>
      <c r="C33" s="376">
        <v>4</v>
      </c>
      <c r="D33" s="352">
        <v>1.08</v>
      </c>
      <c r="E33" s="377">
        <v>2</v>
      </c>
      <c r="F33" s="254">
        <f t="shared" si="2"/>
        <v>171.6</v>
      </c>
      <c r="G33" s="255">
        <v>70</v>
      </c>
      <c r="H33" s="249">
        <f t="shared" si="0"/>
        <v>604.80000000000007</v>
      </c>
      <c r="I33" s="251">
        <f t="shared" si="1"/>
        <v>171.6</v>
      </c>
      <c r="J33" s="252"/>
      <c r="K33" s="252"/>
      <c r="L33" s="252"/>
      <c r="M33" s="252"/>
      <c r="N33" s="252"/>
      <c r="O33" s="252"/>
      <c r="P33" s="252"/>
      <c r="Q33" s="253"/>
    </row>
    <row r="34" spans="1:17" s="3" customFormat="1" ht="25" customHeight="1" x14ac:dyDescent="0.25">
      <c r="A34" s="349" t="s">
        <v>401</v>
      </c>
      <c r="B34" s="378" t="s">
        <v>646</v>
      </c>
      <c r="C34" s="352">
        <v>3</v>
      </c>
      <c r="D34" s="352">
        <v>1</v>
      </c>
      <c r="E34" s="352">
        <v>2</v>
      </c>
      <c r="F34" s="254">
        <f t="shared" si="2"/>
        <v>128.70000000000002</v>
      </c>
      <c r="G34" s="249">
        <v>80</v>
      </c>
      <c r="H34" s="249">
        <f t="shared" si="0"/>
        <v>480</v>
      </c>
      <c r="I34" s="251">
        <f t="shared" si="1"/>
        <v>128.70000000000002</v>
      </c>
      <c r="J34" s="252"/>
      <c r="K34" s="252"/>
      <c r="L34" s="252"/>
      <c r="M34" s="252"/>
      <c r="N34" s="252"/>
      <c r="O34" s="252"/>
      <c r="P34" s="252"/>
      <c r="Q34" s="253"/>
    </row>
    <row r="35" spans="1:17" s="3" customFormat="1" ht="25" customHeight="1" x14ac:dyDescent="0.25">
      <c r="A35" s="349" t="s">
        <v>402</v>
      </c>
      <c r="B35" s="372" t="s">
        <v>647</v>
      </c>
      <c r="C35" s="352">
        <v>3</v>
      </c>
      <c r="D35" s="352">
        <v>1</v>
      </c>
      <c r="E35" s="352">
        <v>2</v>
      </c>
      <c r="F35" s="254">
        <f t="shared" si="2"/>
        <v>128.70000000000002</v>
      </c>
      <c r="G35" s="249">
        <v>70</v>
      </c>
      <c r="H35" s="249">
        <f t="shared" si="0"/>
        <v>420</v>
      </c>
      <c r="I35" s="251">
        <f t="shared" si="1"/>
        <v>128.70000000000002</v>
      </c>
      <c r="J35" s="252"/>
      <c r="K35" s="252"/>
      <c r="L35" s="252"/>
      <c r="M35" s="252"/>
      <c r="N35" s="252"/>
      <c r="O35" s="252"/>
      <c r="P35" s="252"/>
      <c r="Q35" s="253"/>
    </row>
    <row r="36" spans="1:17" s="3" customFormat="1" ht="25" customHeight="1" x14ac:dyDescent="0.25">
      <c r="A36" s="349" t="s">
        <v>403</v>
      </c>
      <c r="B36" s="372" t="s">
        <v>264</v>
      </c>
      <c r="C36" s="352">
        <v>3</v>
      </c>
      <c r="D36" s="352">
        <v>1</v>
      </c>
      <c r="E36" s="352">
        <v>1</v>
      </c>
      <c r="F36" s="254">
        <f t="shared" si="2"/>
        <v>49.5</v>
      </c>
      <c r="G36" s="249">
        <v>21</v>
      </c>
      <c r="H36" s="249">
        <f t="shared" si="0"/>
        <v>63</v>
      </c>
      <c r="I36" s="251">
        <f t="shared" si="1"/>
        <v>49.5</v>
      </c>
      <c r="J36" s="252"/>
      <c r="K36" s="252"/>
      <c r="L36" s="252"/>
      <c r="M36" s="252"/>
      <c r="N36" s="252"/>
      <c r="O36" s="252"/>
      <c r="P36" s="252"/>
      <c r="Q36" s="253"/>
    </row>
    <row r="37" spans="1:17" s="3" customFormat="1" ht="25" customHeight="1" x14ac:dyDescent="0.25">
      <c r="A37" s="349" t="s">
        <v>404</v>
      </c>
      <c r="B37" s="372" t="s">
        <v>648</v>
      </c>
      <c r="C37" s="352">
        <v>4</v>
      </c>
      <c r="D37" s="352">
        <v>1</v>
      </c>
      <c r="E37" s="352">
        <v>5</v>
      </c>
      <c r="F37" s="254">
        <f t="shared" si="2"/>
        <v>429</v>
      </c>
      <c r="G37" s="249">
        <v>70</v>
      </c>
      <c r="H37" s="249">
        <f t="shared" si="0"/>
        <v>1400</v>
      </c>
      <c r="I37" s="251">
        <f t="shared" si="1"/>
        <v>429</v>
      </c>
      <c r="J37" s="252"/>
      <c r="K37" s="252"/>
      <c r="L37" s="252"/>
      <c r="M37" s="252"/>
      <c r="N37" s="252"/>
      <c r="O37" s="252"/>
      <c r="P37" s="252"/>
      <c r="Q37" s="253"/>
    </row>
    <row r="38" spans="1:17" s="3" customFormat="1" ht="25" customHeight="1" x14ac:dyDescent="0.25">
      <c r="A38" s="349" t="s">
        <v>405</v>
      </c>
      <c r="B38" s="372" t="s">
        <v>642</v>
      </c>
      <c r="C38" s="352">
        <v>2</v>
      </c>
      <c r="D38" s="352">
        <v>1.4</v>
      </c>
      <c r="E38" s="352">
        <v>6</v>
      </c>
      <c r="F38" s="254">
        <f t="shared" si="2"/>
        <v>90</v>
      </c>
      <c r="G38" s="249">
        <v>20</v>
      </c>
      <c r="H38" s="249">
        <f t="shared" si="0"/>
        <v>335.99999999999994</v>
      </c>
      <c r="I38" s="251">
        <f>E38*15</f>
        <v>90</v>
      </c>
      <c r="J38" s="252"/>
      <c r="K38" s="252"/>
      <c r="L38" s="252"/>
      <c r="M38" s="252"/>
      <c r="N38" s="252"/>
      <c r="O38" s="252"/>
      <c r="P38" s="252"/>
      <c r="Q38" s="253"/>
    </row>
    <row r="39" spans="1:17" s="3" customFormat="1" ht="25" customHeight="1" x14ac:dyDescent="0.25">
      <c r="A39" s="349" t="s">
        <v>406</v>
      </c>
      <c r="B39" s="372" t="s">
        <v>265</v>
      </c>
      <c r="C39" s="352">
        <v>3</v>
      </c>
      <c r="D39" s="352">
        <v>1</v>
      </c>
      <c r="E39" s="352">
        <v>6</v>
      </c>
      <c r="F39" s="254">
        <f t="shared" si="2"/>
        <v>297</v>
      </c>
      <c r="G39" s="249">
        <v>50</v>
      </c>
      <c r="H39" s="249">
        <f t="shared" si="0"/>
        <v>900</v>
      </c>
      <c r="I39" s="251">
        <f t="shared" si="1"/>
        <v>297</v>
      </c>
      <c r="J39" s="252"/>
      <c r="K39" s="252"/>
      <c r="L39" s="252"/>
      <c r="M39" s="252"/>
      <c r="N39" s="252"/>
      <c r="O39" s="252"/>
      <c r="P39" s="252"/>
      <c r="Q39" s="253"/>
    </row>
    <row r="40" spans="1:17" s="3" customFormat="1" ht="25" customHeight="1" x14ac:dyDescent="0.25">
      <c r="A40" s="349" t="s">
        <v>407</v>
      </c>
      <c r="B40" s="372" t="s">
        <v>266</v>
      </c>
      <c r="C40" s="352">
        <v>3</v>
      </c>
      <c r="D40" s="352">
        <v>1</v>
      </c>
      <c r="E40" s="352">
        <v>3</v>
      </c>
      <c r="F40" s="254">
        <f t="shared" si="2"/>
        <v>193.05</v>
      </c>
      <c r="G40" s="249">
        <v>70</v>
      </c>
      <c r="H40" s="249">
        <f t="shared" si="0"/>
        <v>630</v>
      </c>
      <c r="I40" s="251">
        <f t="shared" si="1"/>
        <v>193.05</v>
      </c>
      <c r="J40" s="252"/>
      <c r="K40" s="252"/>
      <c r="L40" s="252"/>
      <c r="M40" s="252"/>
      <c r="N40" s="252"/>
      <c r="O40" s="252"/>
      <c r="P40" s="252"/>
      <c r="Q40" s="253"/>
    </row>
    <row r="41" spans="1:17" s="3" customFormat="1" ht="25" customHeight="1" x14ac:dyDescent="0.25">
      <c r="A41" s="349" t="s">
        <v>408</v>
      </c>
      <c r="B41" s="372" t="s">
        <v>267</v>
      </c>
      <c r="C41" s="352">
        <v>2</v>
      </c>
      <c r="D41" s="352">
        <v>1</v>
      </c>
      <c r="E41" s="352">
        <v>1</v>
      </c>
      <c r="F41" s="254">
        <f t="shared" si="2"/>
        <v>33</v>
      </c>
      <c r="G41" s="249">
        <v>50</v>
      </c>
      <c r="H41" s="249">
        <f t="shared" si="0"/>
        <v>100</v>
      </c>
      <c r="I41" s="251">
        <f t="shared" si="1"/>
        <v>33</v>
      </c>
      <c r="J41" s="252"/>
      <c r="K41" s="252"/>
      <c r="L41" s="252"/>
      <c r="M41" s="252"/>
      <c r="N41" s="252"/>
      <c r="O41" s="252"/>
      <c r="P41" s="252"/>
      <c r="Q41" s="253"/>
    </row>
    <row r="42" spans="1:17" s="3" customFormat="1" ht="25" customHeight="1" x14ac:dyDescent="0.25">
      <c r="A42" s="349" t="s">
        <v>409</v>
      </c>
      <c r="B42" s="372" t="s">
        <v>268</v>
      </c>
      <c r="C42" s="352">
        <v>2</v>
      </c>
      <c r="D42" s="352">
        <v>1</v>
      </c>
      <c r="E42" s="352">
        <v>1</v>
      </c>
      <c r="F42" s="254">
        <f t="shared" si="2"/>
        <v>33</v>
      </c>
      <c r="G42" s="249">
        <v>50</v>
      </c>
      <c r="H42" s="249">
        <f t="shared" si="0"/>
        <v>100</v>
      </c>
      <c r="I42" s="251">
        <f t="shared" si="1"/>
        <v>33</v>
      </c>
      <c r="J42" s="252"/>
      <c r="K42" s="252"/>
      <c r="L42" s="252"/>
      <c r="M42" s="252"/>
      <c r="N42" s="252"/>
      <c r="O42" s="252"/>
      <c r="P42" s="252"/>
      <c r="Q42" s="253"/>
    </row>
    <row r="43" spans="1:17" s="3" customFormat="1" ht="25" customHeight="1" x14ac:dyDescent="0.25">
      <c r="A43" s="349" t="s">
        <v>410</v>
      </c>
      <c r="B43" s="375" t="s">
        <v>649</v>
      </c>
      <c r="C43" s="352">
        <v>2</v>
      </c>
      <c r="D43" s="352">
        <v>1</v>
      </c>
      <c r="E43" s="352">
        <v>5</v>
      </c>
      <c r="F43" s="254">
        <f t="shared" si="2"/>
        <v>165</v>
      </c>
      <c r="G43" s="249">
        <v>50</v>
      </c>
      <c r="H43" s="249">
        <f t="shared" si="0"/>
        <v>500</v>
      </c>
      <c r="I43" s="251">
        <f t="shared" si="1"/>
        <v>165</v>
      </c>
      <c r="J43" s="252"/>
      <c r="K43" s="252"/>
      <c r="L43" s="252"/>
      <c r="M43" s="252"/>
      <c r="N43" s="252"/>
      <c r="O43" s="252"/>
      <c r="P43" s="252"/>
      <c r="Q43" s="253"/>
    </row>
    <row r="44" spans="1:17" s="3" customFormat="1" ht="25" customHeight="1" x14ac:dyDescent="0.25">
      <c r="A44" s="349" t="s">
        <v>650</v>
      </c>
      <c r="B44" s="379" t="s">
        <v>651</v>
      </c>
      <c r="C44" s="380">
        <v>3</v>
      </c>
      <c r="D44" s="352">
        <v>1</v>
      </c>
      <c r="E44" s="352">
        <v>4</v>
      </c>
      <c r="F44" s="254">
        <f t="shared" si="2"/>
        <v>198</v>
      </c>
      <c r="G44" s="255">
        <v>40</v>
      </c>
      <c r="H44" s="249">
        <f t="shared" si="0"/>
        <v>480</v>
      </c>
      <c r="I44" s="251">
        <f t="shared" si="1"/>
        <v>198</v>
      </c>
      <c r="J44" s="252"/>
      <c r="K44" s="252"/>
      <c r="L44" s="252"/>
      <c r="M44" s="252"/>
      <c r="N44" s="252"/>
      <c r="O44" s="252"/>
      <c r="P44" s="252"/>
      <c r="Q44" s="253"/>
    </row>
    <row r="45" spans="1:17" s="3" customFormat="1" ht="25" customHeight="1" x14ac:dyDescent="0.25">
      <c r="A45" s="349" t="s">
        <v>652</v>
      </c>
      <c r="B45" s="381" t="s">
        <v>653</v>
      </c>
      <c r="C45" s="352">
        <v>5</v>
      </c>
      <c r="D45" s="352">
        <v>1</v>
      </c>
      <c r="E45" s="352">
        <v>4</v>
      </c>
      <c r="F45" s="254">
        <f t="shared" si="2"/>
        <v>330</v>
      </c>
      <c r="G45" s="249">
        <v>0</v>
      </c>
      <c r="H45" s="249">
        <v>0</v>
      </c>
      <c r="I45" s="251">
        <f t="shared" si="1"/>
        <v>330</v>
      </c>
      <c r="J45" s="252"/>
      <c r="K45" s="252"/>
      <c r="L45" s="252"/>
      <c r="M45" s="252"/>
      <c r="N45" s="252"/>
      <c r="O45" s="252"/>
      <c r="P45" s="252"/>
      <c r="Q45" s="253"/>
    </row>
    <row r="46" spans="1:17" s="3" customFormat="1" ht="25" customHeight="1" x14ac:dyDescent="0.25">
      <c r="A46" s="349" t="s">
        <v>654</v>
      </c>
      <c r="B46" s="381" t="s">
        <v>261</v>
      </c>
      <c r="C46" s="380">
        <v>4</v>
      </c>
      <c r="D46" s="352">
        <v>1</v>
      </c>
      <c r="E46" s="352">
        <v>4</v>
      </c>
      <c r="F46" s="254">
        <f t="shared" si="2"/>
        <v>160</v>
      </c>
      <c r="G46" s="257">
        <v>20</v>
      </c>
      <c r="H46" s="249">
        <f>C46*D46*E46*G46</f>
        <v>320</v>
      </c>
      <c r="I46" s="251">
        <f>E46*G46*2</f>
        <v>160</v>
      </c>
      <c r="J46" s="252"/>
      <c r="K46" s="252"/>
      <c r="L46" s="252"/>
      <c r="M46" s="252"/>
      <c r="N46" s="252"/>
      <c r="O46" s="252"/>
      <c r="P46" s="252"/>
      <c r="Q46" s="253"/>
    </row>
    <row r="47" spans="1:17" s="3" customFormat="1" ht="25" customHeight="1" x14ac:dyDescent="0.3">
      <c r="A47" s="349" t="s">
        <v>655</v>
      </c>
      <c r="B47" s="382" t="s">
        <v>258</v>
      </c>
      <c r="C47" s="380">
        <v>2</v>
      </c>
      <c r="D47" s="352">
        <v>1</v>
      </c>
      <c r="E47" s="352">
        <v>2</v>
      </c>
      <c r="F47" s="249"/>
      <c r="G47" s="249"/>
      <c r="H47" s="249"/>
      <c r="I47" s="252"/>
      <c r="J47" s="252"/>
      <c r="K47" s="252"/>
      <c r="L47" s="252"/>
      <c r="M47" s="252"/>
      <c r="N47" s="252"/>
      <c r="O47" s="252"/>
      <c r="P47" s="252"/>
      <c r="Q47" s="253"/>
    </row>
    <row r="48" spans="1:17" s="3" customFormat="1" ht="25" customHeight="1" x14ac:dyDescent="0.3">
      <c r="A48" s="349" t="s">
        <v>656</v>
      </c>
      <c r="B48" s="382" t="s">
        <v>257</v>
      </c>
      <c r="C48" s="380">
        <v>2</v>
      </c>
      <c r="D48" s="352">
        <v>1</v>
      </c>
      <c r="E48" s="352">
        <v>2</v>
      </c>
      <c r="F48" s="249">
        <f>SUM(F12:F47)</f>
        <v>5781.55</v>
      </c>
      <c r="G48" s="246">
        <f>SUM(G12:G47)</f>
        <v>1761</v>
      </c>
      <c r="H48" s="246">
        <f>SUM(H12:H47)</f>
        <v>16353.8</v>
      </c>
      <c r="I48" s="246">
        <f>SUM(I12:I47)</f>
        <v>5781.55</v>
      </c>
      <c r="J48" s="252">
        <v>0</v>
      </c>
      <c r="K48" s="252">
        <v>0</v>
      </c>
      <c r="L48" s="252"/>
      <c r="M48" s="252"/>
      <c r="N48" s="252"/>
      <c r="O48" s="252"/>
      <c r="P48" s="252"/>
      <c r="Q48" s="253"/>
    </row>
    <row r="49" spans="1:17" s="3" customFormat="1" ht="25" customHeight="1" x14ac:dyDescent="0.25">
      <c r="A49" s="349" t="s">
        <v>657</v>
      </c>
      <c r="B49" s="383" t="s">
        <v>658</v>
      </c>
      <c r="C49" s="380">
        <v>1</v>
      </c>
      <c r="D49" s="352">
        <v>1.4</v>
      </c>
      <c r="E49" s="352">
        <v>14</v>
      </c>
      <c r="F49" s="249"/>
      <c r="G49" s="249"/>
      <c r="H49" s="249"/>
      <c r="I49" s="249"/>
      <c r="J49" s="252"/>
      <c r="K49" s="252"/>
      <c r="L49" s="252"/>
      <c r="M49" s="252"/>
      <c r="N49" s="252"/>
      <c r="O49" s="252"/>
      <c r="P49" s="252"/>
      <c r="Q49" s="253"/>
    </row>
    <row r="50" spans="1:17" s="3" customFormat="1" ht="25" customHeight="1" x14ac:dyDescent="0.25">
      <c r="A50" s="349" t="s">
        <v>659</v>
      </c>
      <c r="B50" s="384" t="s">
        <v>413</v>
      </c>
      <c r="C50" s="377">
        <v>1</v>
      </c>
      <c r="D50" s="377">
        <v>1.4</v>
      </c>
      <c r="E50" s="377">
        <v>2</v>
      </c>
      <c r="F50" s="249"/>
      <c r="G50" s="249"/>
      <c r="H50" s="249"/>
      <c r="I50" s="249"/>
      <c r="J50" s="252">
        <v>10</v>
      </c>
      <c r="K50" s="252"/>
      <c r="L50" s="252"/>
      <c r="M50" s="252"/>
      <c r="N50" s="252"/>
      <c r="O50" s="252"/>
      <c r="P50" s="252"/>
      <c r="Q50" s="1447" t="s">
        <v>528</v>
      </c>
    </row>
    <row r="51" spans="1:17" s="3" customFormat="1" ht="25" customHeight="1" x14ac:dyDescent="0.25">
      <c r="A51" s="359" t="s">
        <v>148</v>
      </c>
      <c r="B51" s="360" t="s">
        <v>151</v>
      </c>
      <c r="C51" s="352">
        <v>0</v>
      </c>
      <c r="D51" s="352">
        <v>0</v>
      </c>
      <c r="E51" s="352">
        <v>0</v>
      </c>
      <c r="F51" s="249"/>
      <c r="G51" s="249"/>
      <c r="H51" s="249"/>
      <c r="I51" s="249"/>
      <c r="J51" s="252">
        <v>15</v>
      </c>
      <c r="K51" s="252"/>
      <c r="L51" s="252"/>
      <c r="M51" s="252"/>
      <c r="N51" s="252"/>
      <c r="O51" s="252"/>
      <c r="P51" s="252"/>
      <c r="Q51" s="1447"/>
    </row>
    <row r="52" spans="1:17" s="3" customFormat="1" ht="25" customHeight="1" x14ac:dyDescent="0.25">
      <c r="A52" s="354" t="s">
        <v>232</v>
      </c>
      <c r="B52" s="349" t="s">
        <v>156</v>
      </c>
      <c r="C52" s="352">
        <v>4</v>
      </c>
      <c r="D52" s="352">
        <v>1.4</v>
      </c>
      <c r="E52" s="352">
        <v>4</v>
      </c>
      <c r="F52" s="249"/>
      <c r="G52" s="249"/>
      <c r="H52" s="249"/>
      <c r="I52" s="249"/>
      <c r="J52" s="252">
        <v>5</v>
      </c>
      <c r="K52" s="252"/>
      <c r="L52" s="252"/>
      <c r="M52" s="252"/>
      <c r="N52" s="252"/>
      <c r="O52" s="252"/>
      <c r="P52" s="252"/>
      <c r="Q52" s="1447"/>
    </row>
    <row r="53" spans="1:17" s="3" customFormat="1" ht="25" customHeight="1" x14ac:dyDescent="0.25">
      <c r="A53" s="354" t="s">
        <v>233</v>
      </c>
      <c r="B53" s="349" t="s">
        <v>157</v>
      </c>
      <c r="C53" s="352"/>
      <c r="D53" s="352"/>
      <c r="E53" s="352"/>
      <c r="F53" s="249"/>
      <c r="G53" s="249"/>
      <c r="H53" s="249"/>
      <c r="I53" s="252"/>
      <c r="J53" s="252"/>
      <c r="K53" s="252"/>
      <c r="L53" s="252"/>
      <c r="M53" s="252"/>
      <c r="N53" s="252"/>
      <c r="O53" s="252"/>
      <c r="P53" s="252"/>
      <c r="Q53" s="253"/>
    </row>
    <row r="54" spans="1:17" s="3" customFormat="1" ht="25" customHeight="1" x14ac:dyDescent="0.25">
      <c r="A54" s="354"/>
      <c r="B54" s="361" t="s">
        <v>353</v>
      </c>
      <c r="C54" s="364">
        <f>SUM(C12:C53)</f>
        <v>107</v>
      </c>
      <c r="D54" s="364">
        <f>SUM(D12:D53)</f>
        <v>43.659999999999989</v>
      </c>
      <c r="E54" s="364">
        <f>SUM(E12:E53)</f>
        <v>146</v>
      </c>
      <c r="F54" s="249"/>
      <c r="G54" s="249"/>
      <c r="H54" s="249"/>
      <c r="I54" s="252"/>
      <c r="J54" s="252"/>
      <c r="K54" s="252"/>
      <c r="L54" s="252"/>
      <c r="M54" s="252"/>
      <c r="N54" s="252"/>
      <c r="O54" s="252"/>
      <c r="P54" s="252"/>
      <c r="Q54" s="253"/>
    </row>
    <row r="55" spans="1:17" s="3" customFormat="1" ht="25" customHeight="1" x14ac:dyDescent="0.25">
      <c r="A55" s="359"/>
      <c r="B55" s="361" t="s">
        <v>524</v>
      </c>
      <c r="C55" s="352"/>
      <c r="D55" s="352"/>
      <c r="E55" s="352"/>
      <c r="F55" s="254">
        <f t="shared" ref="F55:F62" si="3">I55+J55+K55</f>
        <v>0</v>
      </c>
      <c r="G55" s="249">
        <v>10</v>
      </c>
      <c r="H55" s="249">
        <f t="shared" ref="H55:H60" si="4">C55*D55*E55*G55</f>
        <v>0</v>
      </c>
      <c r="I55" s="251">
        <f t="shared" ref="I55:I60" si="5">IF(G55&lt;70, C55*E55*16.5*1.5, C55*E55*16.5*1.5)</f>
        <v>0</v>
      </c>
      <c r="J55" s="252"/>
      <c r="K55" s="252"/>
      <c r="L55" s="252"/>
      <c r="M55" s="252"/>
      <c r="N55" s="252"/>
      <c r="O55" s="252"/>
      <c r="P55" s="252"/>
      <c r="Q55" s="253"/>
    </row>
    <row r="56" spans="1:17" s="3" customFormat="1" ht="25" customHeight="1" x14ac:dyDescent="0.25">
      <c r="A56" s="354" t="s">
        <v>532</v>
      </c>
      <c r="B56" s="349" t="s">
        <v>525</v>
      </c>
      <c r="C56" s="352">
        <v>5</v>
      </c>
      <c r="D56" s="352"/>
      <c r="E56" s="352">
        <v>2</v>
      </c>
      <c r="F56" s="254">
        <f t="shared" si="3"/>
        <v>247.5</v>
      </c>
      <c r="G56" s="249">
        <v>10</v>
      </c>
      <c r="H56" s="249">
        <f t="shared" si="4"/>
        <v>0</v>
      </c>
      <c r="I56" s="251">
        <f t="shared" si="5"/>
        <v>247.5</v>
      </c>
      <c r="J56" s="252"/>
      <c r="K56" s="252"/>
      <c r="L56" s="252"/>
      <c r="M56" s="252"/>
      <c r="N56" s="252"/>
      <c r="O56" s="252"/>
      <c r="P56" s="252"/>
      <c r="Q56" s="253"/>
    </row>
    <row r="57" spans="1:17" s="3" customFormat="1" ht="25" customHeight="1" x14ac:dyDescent="0.25">
      <c r="A57" s="354" t="s">
        <v>533</v>
      </c>
      <c r="B57" s="349" t="s">
        <v>526</v>
      </c>
      <c r="C57" s="352">
        <v>5</v>
      </c>
      <c r="D57" s="352"/>
      <c r="E57" s="352">
        <v>3</v>
      </c>
      <c r="F57" s="254">
        <f t="shared" si="3"/>
        <v>371.25</v>
      </c>
      <c r="G57" s="249">
        <v>10</v>
      </c>
      <c r="H57" s="249">
        <f t="shared" si="4"/>
        <v>0</v>
      </c>
      <c r="I57" s="251">
        <f t="shared" si="5"/>
        <v>371.25</v>
      </c>
      <c r="J57" s="252"/>
      <c r="K57" s="252"/>
      <c r="L57" s="252"/>
      <c r="M57" s="252"/>
      <c r="N57" s="252"/>
      <c r="O57" s="252"/>
      <c r="P57" s="252"/>
      <c r="Q57" s="253"/>
    </row>
    <row r="58" spans="1:17" s="3" customFormat="1" ht="25" customHeight="1" x14ac:dyDescent="0.25">
      <c r="A58" s="354" t="s">
        <v>534</v>
      </c>
      <c r="B58" s="372" t="s">
        <v>527</v>
      </c>
      <c r="C58" s="352">
        <v>4</v>
      </c>
      <c r="D58" s="352"/>
      <c r="E58" s="352">
        <v>1</v>
      </c>
      <c r="F58" s="254">
        <f t="shared" si="3"/>
        <v>99</v>
      </c>
      <c r="G58" s="249">
        <v>10</v>
      </c>
      <c r="H58" s="249">
        <f t="shared" si="4"/>
        <v>0</v>
      </c>
      <c r="I58" s="251">
        <f t="shared" si="5"/>
        <v>99</v>
      </c>
      <c r="J58" s="252"/>
      <c r="K58" s="252"/>
      <c r="L58" s="252"/>
      <c r="M58" s="252"/>
      <c r="N58" s="252"/>
      <c r="O58" s="252"/>
      <c r="P58" s="252"/>
      <c r="Q58" s="253"/>
    </row>
    <row r="59" spans="1:17" s="3" customFormat="1" ht="25" customHeight="1" x14ac:dyDescent="0.25">
      <c r="A59" s="385">
        <v>2</v>
      </c>
      <c r="B59" s="385" t="s">
        <v>164</v>
      </c>
      <c r="C59" s="352"/>
      <c r="D59" s="352"/>
      <c r="E59" s="352"/>
      <c r="F59" s="254">
        <f t="shared" si="3"/>
        <v>0</v>
      </c>
      <c r="G59" s="249">
        <v>10</v>
      </c>
      <c r="H59" s="249">
        <f t="shared" si="4"/>
        <v>0</v>
      </c>
      <c r="I59" s="251">
        <f t="shared" si="5"/>
        <v>0</v>
      </c>
      <c r="J59" s="252"/>
      <c r="K59" s="252"/>
      <c r="L59" s="252"/>
      <c r="M59" s="252"/>
      <c r="N59" s="252"/>
      <c r="O59" s="252"/>
      <c r="P59" s="252"/>
      <c r="Q59" s="253"/>
    </row>
    <row r="60" spans="1:17" s="3" customFormat="1" ht="25" customHeight="1" x14ac:dyDescent="0.25">
      <c r="A60" s="356" t="s">
        <v>147</v>
      </c>
      <c r="B60" s="357" t="s">
        <v>165</v>
      </c>
      <c r="C60" s="352"/>
      <c r="D60" s="352"/>
      <c r="E60" s="352"/>
      <c r="F60" s="254">
        <f t="shared" si="3"/>
        <v>0</v>
      </c>
      <c r="G60" s="249">
        <v>15</v>
      </c>
      <c r="H60" s="249">
        <f t="shared" si="4"/>
        <v>0</v>
      </c>
      <c r="I60" s="251">
        <f t="shared" si="5"/>
        <v>0</v>
      </c>
      <c r="J60" s="252"/>
      <c r="K60" s="252"/>
      <c r="L60" s="252"/>
      <c r="M60" s="252"/>
      <c r="N60" s="252"/>
      <c r="O60" s="252"/>
      <c r="P60" s="252"/>
      <c r="Q60" s="253"/>
    </row>
    <row r="61" spans="1:17" s="3" customFormat="1" ht="25" customHeight="1" x14ac:dyDescent="0.25">
      <c r="A61" s="349" t="s">
        <v>226</v>
      </c>
      <c r="B61" s="350" t="s">
        <v>269</v>
      </c>
      <c r="C61" s="352">
        <v>3</v>
      </c>
      <c r="D61" s="352">
        <v>1</v>
      </c>
      <c r="E61" s="352">
        <v>1</v>
      </c>
      <c r="F61" s="254">
        <f t="shared" si="3"/>
        <v>49.5</v>
      </c>
      <c r="G61" s="259"/>
      <c r="H61" s="259"/>
      <c r="I61" s="251">
        <f>IF(G61&lt;70, C61*E61*16.5*1, C61*E61*16.5*1.3)</f>
        <v>49.5</v>
      </c>
      <c r="J61" s="252"/>
      <c r="K61" s="252"/>
      <c r="L61" s="252"/>
      <c r="M61" s="252"/>
      <c r="N61" s="252"/>
      <c r="O61" s="252"/>
      <c r="P61" s="252"/>
      <c r="Q61" s="253"/>
    </row>
    <row r="62" spans="1:17" s="3" customFormat="1" ht="25" customHeight="1" x14ac:dyDescent="0.25">
      <c r="A62" s="349" t="s">
        <v>227</v>
      </c>
      <c r="B62" s="350" t="s">
        <v>270</v>
      </c>
      <c r="C62" s="352">
        <v>3</v>
      </c>
      <c r="D62" s="352">
        <v>1</v>
      </c>
      <c r="E62" s="352">
        <v>1</v>
      </c>
      <c r="F62" s="254">
        <f t="shared" si="3"/>
        <v>385</v>
      </c>
      <c r="G62" s="259">
        <v>11</v>
      </c>
      <c r="H62" s="249">
        <f>C62*G62*D62</f>
        <v>33</v>
      </c>
      <c r="I62" s="251">
        <f>11*35</f>
        <v>385</v>
      </c>
      <c r="J62" s="252"/>
      <c r="K62" s="252"/>
      <c r="L62" s="252"/>
      <c r="M62" s="252"/>
      <c r="N62" s="252"/>
      <c r="O62" s="252"/>
      <c r="P62" s="252"/>
      <c r="Q62" s="253"/>
    </row>
    <row r="63" spans="1:17" s="3" customFormat="1" ht="25" customHeight="1" x14ac:dyDescent="0.25">
      <c r="A63" s="349" t="s">
        <v>228</v>
      </c>
      <c r="B63" s="350" t="s">
        <v>271</v>
      </c>
      <c r="C63" s="352">
        <v>3</v>
      </c>
      <c r="D63" s="352">
        <v>1</v>
      </c>
      <c r="E63" s="352">
        <v>1</v>
      </c>
      <c r="F63" s="249">
        <f>SUM(F55:F62)</f>
        <v>1152.25</v>
      </c>
      <c r="G63" s="246">
        <f>SUM(G55:G62)</f>
        <v>76</v>
      </c>
      <c r="H63" s="246">
        <f>SUM(H55:H62)</f>
        <v>33</v>
      </c>
      <c r="I63" s="246">
        <f>SUM(I55:I62)</f>
        <v>1152.25</v>
      </c>
      <c r="J63" s="252"/>
      <c r="K63" s="252"/>
      <c r="L63" s="252"/>
      <c r="M63" s="252"/>
      <c r="N63" s="252"/>
      <c r="O63" s="252"/>
      <c r="P63" s="252"/>
      <c r="Q63" s="253"/>
    </row>
    <row r="64" spans="1:17" s="3" customFormat="1" ht="25" customHeight="1" x14ac:dyDescent="0.25">
      <c r="A64" s="349" t="s">
        <v>229</v>
      </c>
      <c r="B64" s="350" t="s">
        <v>272</v>
      </c>
      <c r="C64" s="352">
        <v>3</v>
      </c>
      <c r="D64" s="352">
        <v>1</v>
      </c>
      <c r="E64" s="352">
        <v>1</v>
      </c>
      <c r="F64" s="249">
        <v>0</v>
      </c>
      <c r="G64" s="249">
        <v>0</v>
      </c>
      <c r="H64" s="249">
        <v>0</v>
      </c>
      <c r="I64" s="249">
        <v>0</v>
      </c>
      <c r="J64" s="252"/>
      <c r="K64" s="252"/>
      <c r="L64" s="252"/>
      <c r="M64" s="252"/>
      <c r="N64" s="252"/>
      <c r="O64" s="252"/>
      <c r="P64" s="252"/>
      <c r="Q64" s="253"/>
    </row>
    <row r="65" spans="1:17" s="3" customFormat="1" ht="25" customHeight="1" x14ac:dyDescent="0.25">
      <c r="A65" s="349" t="s">
        <v>230</v>
      </c>
      <c r="B65" s="353" t="s">
        <v>273</v>
      </c>
      <c r="C65" s="352">
        <v>3</v>
      </c>
      <c r="D65" s="352">
        <v>1</v>
      </c>
      <c r="E65" s="352">
        <v>1</v>
      </c>
      <c r="F65" s="249"/>
      <c r="G65" s="249"/>
      <c r="H65" s="249"/>
      <c r="I65" s="252"/>
      <c r="J65" s="252"/>
      <c r="K65" s="252"/>
      <c r="L65" s="252"/>
      <c r="M65" s="252"/>
      <c r="N65" s="252"/>
      <c r="O65" s="252"/>
      <c r="P65" s="252"/>
      <c r="Q65" s="253"/>
    </row>
    <row r="66" spans="1:17" s="3" customFormat="1" ht="25" customHeight="1" x14ac:dyDescent="0.25">
      <c r="A66" s="349" t="s">
        <v>231</v>
      </c>
      <c r="B66" s="350" t="s">
        <v>531</v>
      </c>
      <c r="C66" s="352">
        <v>3</v>
      </c>
      <c r="D66" s="352">
        <v>1</v>
      </c>
      <c r="E66" s="352">
        <v>1</v>
      </c>
      <c r="F66" s="249"/>
      <c r="G66" s="249"/>
      <c r="H66" s="249"/>
      <c r="I66" s="252"/>
      <c r="J66" s="252"/>
      <c r="K66" s="252"/>
      <c r="L66" s="252"/>
      <c r="M66" s="252"/>
      <c r="N66" s="252"/>
      <c r="O66" s="252"/>
      <c r="P66" s="252"/>
      <c r="Q66" s="253"/>
    </row>
    <row r="67" spans="1:17" s="3" customFormat="1" ht="25" customHeight="1" x14ac:dyDescent="0.25">
      <c r="A67" s="359" t="s">
        <v>148</v>
      </c>
      <c r="B67" s="360" t="s">
        <v>470</v>
      </c>
      <c r="C67" s="352"/>
      <c r="D67" s="352"/>
      <c r="E67" s="352"/>
      <c r="F67" s="249"/>
      <c r="G67" s="249"/>
      <c r="H67" s="249"/>
      <c r="I67" s="252"/>
      <c r="J67" s="252"/>
      <c r="K67" s="252"/>
      <c r="L67" s="252"/>
      <c r="M67" s="252"/>
      <c r="N67" s="252"/>
      <c r="O67" s="252"/>
      <c r="P67" s="252"/>
      <c r="Q67" s="253"/>
    </row>
    <row r="68" spans="1:17" s="3" customFormat="1" ht="25" customHeight="1" x14ac:dyDescent="0.25">
      <c r="A68" s="359"/>
      <c r="B68" s="349" t="s">
        <v>660</v>
      </c>
      <c r="C68" s="352">
        <v>15</v>
      </c>
      <c r="D68" s="352">
        <v>1</v>
      </c>
      <c r="E68" s="352">
        <v>1</v>
      </c>
      <c r="F68" s="254">
        <f t="shared" ref="F68:F82" si="6">I68+J68+K68</f>
        <v>247.5</v>
      </c>
      <c r="G68" s="249">
        <v>40</v>
      </c>
      <c r="H68" s="249">
        <f t="shared" ref="H68:H82" si="7">C68*D68*E68*G68</f>
        <v>600</v>
      </c>
      <c r="I68" s="251">
        <f t="shared" ref="I68:I82" si="8">IF(G68&lt;70, C68*E68*16.5*1, C68*E68*16.5*1.3)</f>
        <v>247.5</v>
      </c>
      <c r="J68" s="252"/>
      <c r="K68" s="252"/>
      <c r="L68" s="252"/>
      <c r="M68" s="252"/>
      <c r="N68" s="252"/>
      <c r="O68" s="252"/>
      <c r="P68" s="252"/>
      <c r="Q68" s="253"/>
    </row>
    <row r="69" spans="1:17" s="3" customFormat="1" ht="25" customHeight="1" x14ac:dyDescent="0.25">
      <c r="A69" s="349"/>
      <c r="B69" s="361" t="s">
        <v>353</v>
      </c>
      <c r="C69" s="364">
        <f>SUM(C61:C68)</f>
        <v>33</v>
      </c>
      <c r="D69" s="364">
        <f>SUM(D61:D68)</f>
        <v>7</v>
      </c>
      <c r="E69" s="364">
        <f>SUM(E61:E68)</f>
        <v>7</v>
      </c>
      <c r="F69" s="254">
        <f t="shared" si="6"/>
        <v>3811.5</v>
      </c>
      <c r="G69" s="249">
        <v>40</v>
      </c>
      <c r="H69" s="249">
        <f t="shared" si="7"/>
        <v>64680</v>
      </c>
      <c r="I69" s="251">
        <f t="shared" si="8"/>
        <v>3811.5</v>
      </c>
      <c r="J69" s="252"/>
      <c r="K69" s="252"/>
      <c r="L69" s="252"/>
      <c r="M69" s="252"/>
      <c r="N69" s="252"/>
      <c r="O69" s="252"/>
      <c r="P69" s="252"/>
      <c r="Q69" s="253"/>
    </row>
    <row r="70" spans="1:17" s="3" customFormat="1" ht="25" customHeight="1" x14ac:dyDescent="0.25">
      <c r="A70" s="385">
        <v>3</v>
      </c>
      <c r="B70" s="385" t="s">
        <v>166</v>
      </c>
      <c r="C70" s="352">
        <v>0</v>
      </c>
      <c r="D70" s="352">
        <v>0</v>
      </c>
      <c r="E70" s="352">
        <v>0</v>
      </c>
      <c r="F70" s="254">
        <f t="shared" si="6"/>
        <v>0</v>
      </c>
      <c r="G70" s="249">
        <v>40</v>
      </c>
      <c r="H70" s="249">
        <f t="shared" si="7"/>
        <v>0</v>
      </c>
      <c r="I70" s="251">
        <f t="shared" si="8"/>
        <v>0</v>
      </c>
      <c r="J70" s="252"/>
      <c r="K70" s="252"/>
      <c r="L70" s="252"/>
      <c r="M70" s="252"/>
      <c r="N70" s="252"/>
      <c r="O70" s="252"/>
      <c r="P70" s="252"/>
      <c r="Q70" s="253"/>
    </row>
    <row r="71" spans="1:17" s="3" customFormat="1" ht="25" customHeight="1" x14ac:dyDescent="0.25">
      <c r="A71" s="385" t="s">
        <v>8</v>
      </c>
      <c r="B71" s="385" t="s">
        <v>224</v>
      </c>
      <c r="C71" s="352"/>
      <c r="D71" s="352"/>
      <c r="E71" s="352"/>
      <c r="F71" s="254">
        <f t="shared" si="6"/>
        <v>0</v>
      </c>
      <c r="G71" s="249">
        <v>40</v>
      </c>
      <c r="H71" s="249">
        <f t="shared" si="7"/>
        <v>0</v>
      </c>
      <c r="I71" s="251">
        <f t="shared" si="8"/>
        <v>0</v>
      </c>
      <c r="J71" s="252"/>
      <c r="K71" s="252"/>
      <c r="L71" s="252"/>
      <c r="M71" s="252"/>
      <c r="N71" s="252"/>
      <c r="O71" s="252"/>
      <c r="P71" s="252"/>
      <c r="Q71" s="253"/>
    </row>
    <row r="72" spans="1:17" s="3" customFormat="1" ht="25" customHeight="1" x14ac:dyDescent="0.25">
      <c r="A72" s="385">
        <v>1</v>
      </c>
      <c r="B72" s="357" t="s">
        <v>225</v>
      </c>
      <c r="C72" s="352"/>
      <c r="D72" s="352"/>
      <c r="E72" s="352"/>
      <c r="F72" s="254">
        <f t="shared" si="6"/>
        <v>0</v>
      </c>
      <c r="G72" s="249">
        <v>40</v>
      </c>
      <c r="H72" s="249">
        <f t="shared" si="7"/>
        <v>0</v>
      </c>
      <c r="I72" s="251">
        <f t="shared" si="8"/>
        <v>0</v>
      </c>
      <c r="J72" s="252"/>
      <c r="K72" s="252"/>
      <c r="L72" s="252"/>
      <c r="M72" s="252"/>
      <c r="N72" s="252"/>
      <c r="O72" s="252"/>
      <c r="P72" s="252"/>
      <c r="Q72" s="253"/>
    </row>
    <row r="73" spans="1:17" s="3" customFormat="1" ht="25" customHeight="1" x14ac:dyDescent="0.25">
      <c r="A73" s="385" t="s">
        <v>147</v>
      </c>
      <c r="B73" s="357" t="s">
        <v>163</v>
      </c>
      <c r="C73" s="352"/>
      <c r="D73" s="352"/>
      <c r="E73" s="352"/>
      <c r="F73" s="254">
        <f t="shared" si="6"/>
        <v>0</v>
      </c>
      <c r="G73" s="249">
        <v>40</v>
      </c>
      <c r="H73" s="249">
        <f t="shared" si="7"/>
        <v>0</v>
      </c>
      <c r="I73" s="251">
        <f t="shared" si="8"/>
        <v>0</v>
      </c>
      <c r="J73" s="252"/>
      <c r="K73" s="252"/>
      <c r="L73" s="252"/>
      <c r="M73" s="252"/>
      <c r="N73" s="252"/>
      <c r="O73" s="252"/>
      <c r="P73" s="252"/>
      <c r="Q73" s="253"/>
    </row>
    <row r="74" spans="1:17" s="3" customFormat="1" ht="25" customHeight="1" x14ac:dyDescent="0.25">
      <c r="A74" s="354" t="s">
        <v>226</v>
      </c>
      <c r="B74" s="353" t="s">
        <v>266</v>
      </c>
      <c r="C74" s="352">
        <v>3</v>
      </c>
      <c r="D74" s="352">
        <v>1</v>
      </c>
      <c r="E74" s="352">
        <v>3</v>
      </c>
      <c r="F74" s="254">
        <f t="shared" si="6"/>
        <v>148.5</v>
      </c>
      <c r="G74" s="249">
        <v>40</v>
      </c>
      <c r="H74" s="249">
        <f t="shared" si="7"/>
        <v>360</v>
      </c>
      <c r="I74" s="251">
        <f t="shared" si="8"/>
        <v>148.5</v>
      </c>
      <c r="J74" s="252"/>
      <c r="K74" s="252"/>
      <c r="L74" s="252"/>
      <c r="M74" s="252"/>
      <c r="N74" s="252"/>
      <c r="O74" s="252"/>
      <c r="P74" s="252"/>
      <c r="Q74" s="253"/>
    </row>
    <row r="75" spans="1:17" s="3" customFormat="1" ht="25" customHeight="1" x14ac:dyDescent="0.25">
      <c r="A75" s="354" t="s">
        <v>227</v>
      </c>
      <c r="B75" s="353" t="s">
        <v>274</v>
      </c>
      <c r="C75" s="352">
        <v>5</v>
      </c>
      <c r="D75" s="352">
        <v>1</v>
      </c>
      <c r="E75" s="352">
        <v>3</v>
      </c>
      <c r="F75" s="254">
        <f t="shared" si="6"/>
        <v>247.5</v>
      </c>
      <c r="G75" s="249">
        <v>40</v>
      </c>
      <c r="H75" s="249">
        <f t="shared" si="7"/>
        <v>600</v>
      </c>
      <c r="I75" s="251">
        <f t="shared" si="8"/>
        <v>247.5</v>
      </c>
      <c r="J75" s="252"/>
      <c r="K75" s="252"/>
      <c r="L75" s="252"/>
      <c r="M75" s="252"/>
      <c r="N75" s="252"/>
      <c r="O75" s="252"/>
      <c r="P75" s="252"/>
      <c r="Q75" s="253"/>
    </row>
    <row r="76" spans="1:17" s="3" customFormat="1" ht="25" customHeight="1" x14ac:dyDescent="0.25">
      <c r="A76" s="354" t="s">
        <v>228</v>
      </c>
      <c r="B76" s="353" t="s">
        <v>275</v>
      </c>
      <c r="C76" s="352">
        <v>3</v>
      </c>
      <c r="D76" s="352">
        <v>1</v>
      </c>
      <c r="E76" s="352">
        <v>3</v>
      </c>
      <c r="F76" s="254">
        <f t="shared" si="6"/>
        <v>148.5</v>
      </c>
      <c r="G76" s="249">
        <v>40</v>
      </c>
      <c r="H76" s="249">
        <f t="shared" si="7"/>
        <v>360</v>
      </c>
      <c r="I76" s="251">
        <f t="shared" si="8"/>
        <v>148.5</v>
      </c>
      <c r="J76" s="252"/>
      <c r="K76" s="252"/>
      <c r="L76" s="252"/>
      <c r="M76" s="252"/>
      <c r="N76" s="252"/>
      <c r="O76" s="252"/>
      <c r="P76" s="252"/>
      <c r="Q76" s="253"/>
    </row>
    <row r="77" spans="1:17" s="3" customFormat="1" ht="25" customHeight="1" x14ac:dyDescent="0.25">
      <c r="A77" s="354" t="s">
        <v>229</v>
      </c>
      <c r="B77" s="353" t="s">
        <v>276</v>
      </c>
      <c r="C77" s="352">
        <v>2</v>
      </c>
      <c r="D77" s="352">
        <v>1</v>
      </c>
      <c r="E77" s="352">
        <v>3</v>
      </c>
      <c r="F77" s="254">
        <f t="shared" si="6"/>
        <v>99</v>
      </c>
      <c r="G77" s="249">
        <v>40</v>
      </c>
      <c r="H77" s="249">
        <f t="shared" si="7"/>
        <v>240</v>
      </c>
      <c r="I77" s="251">
        <f t="shared" si="8"/>
        <v>99</v>
      </c>
      <c r="J77" s="252"/>
      <c r="K77" s="252"/>
      <c r="L77" s="252"/>
      <c r="M77" s="252"/>
      <c r="N77" s="252"/>
      <c r="O77" s="252"/>
      <c r="P77" s="252"/>
      <c r="Q77" s="253"/>
    </row>
    <row r="78" spans="1:17" s="3" customFormat="1" ht="25" customHeight="1" x14ac:dyDescent="0.25">
      <c r="A78" s="354" t="s">
        <v>230</v>
      </c>
      <c r="B78" s="353" t="s">
        <v>277</v>
      </c>
      <c r="C78" s="352">
        <v>2</v>
      </c>
      <c r="D78" s="352">
        <v>1</v>
      </c>
      <c r="E78" s="352">
        <v>3</v>
      </c>
      <c r="F78" s="254">
        <f t="shared" si="6"/>
        <v>99</v>
      </c>
      <c r="G78" s="249">
        <v>40</v>
      </c>
      <c r="H78" s="249">
        <f t="shared" si="7"/>
        <v>240</v>
      </c>
      <c r="I78" s="251">
        <f t="shared" si="8"/>
        <v>99</v>
      </c>
      <c r="J78" s="252"/>
      <c r="K78" s="252"/>
      <c r="L78" s="252"/>
      <c r="M78" s="252"/>
      <c r="N78" s="252"/>
      <c r="O78" s="252"/>
      <c r="P78" s="252"/>
      <c r="Q78" s="253"/>
    </row>
    <row r="79" spans="1:17" s="3" customFormat="1" ht="25" customHeight="1" x14ac:dyDescent="0.25">
      <c r="A79" s="354" t="s">
        <v>231</v>
      </c>
      <c r="B79" s="353" t="s">
        <v>278</v>
      </c>
      <c r="C79" s="352">
        <v>5</v>
      </c>
      <c r="D79" s="352">
        <v>1</v>
      </c>
      <c r="E79" s="352">
        <v>3</v>
      </c>
      <c r="F79" s="254">
        <f t="shared" si="6"/>
        <v>247.5</v>
      </c>
      <c r="G79" s="249">
        <v>40</v>
      </c>
      <c r="H79" s="249">
        <f t="shared" si="7"/>
        <v>600</v>
      </c>
      <c r="I79" s="251">
        <f t="shared" si="8"/>
        <v>247.5</v>
      </c>
      <c r="J79" s="252"/>
      <c r="K79" s="252"/>
      <c r="L79" s="252"/>
      <c r="M79" s="252"/>
      <c r="N79" s="252"/>
      <c r="O79" s="252"/>
      <c r="P79" s="252"/>
      <c r="Q79" s="253"/>
    </row>
    <row r="80" spans="1:17" s="3" customFormat="1" ht="25" customHeight="1" x14ac:dyDescent="0.25">
      <c r="A80" s="354" t="s">
        <v>282</v>
      </c>
      <c r="B80" s="353" t="s">
        <v>279</v>
      </c>
      <c r="C80" s="352">
        <v>2</v>
      </c>
      <c r="D80" s="352">
        <v>1</v>
      </c>
      <c r="E80" s="352">
        <v>3</v>
      </c>
      <c r="F80" s="254">
        <f t="shared" si="6"/>
        <v>99</v>
      </c>
      <c r="G80" s="249">
        <v>40</v>
      </c>
      <c r="H80" s="249">
        <f t="shared" si="7"/>
        <v>240</v>
      </c>
      <c r="I80" s="251">
        <f t="shared" si="8"/>
        <v>99</v>
      </c>
      <c r="J80" s="252"/>
      <c r="K80" s="252"/>
      <c r="L80" s="252"/>
      <c r="M80" s="252"/>
      <c r="N80" s="252"/>
      <c r="O80" s="252"/>
      <c r="P80" s="252"/>
      <c r="Q80" s="253"/>
    </row>
    <row r="81" spans="1:17" s="3" customFormat="1" ht="25" customHeight="1" x14ac:dyDescent="0.25">
      <c r="A81" s="354" t="s">
        <v>283</v>
      </c>
      <c r="B81" s="350" t="s">
        <v>256</v>
      </c>
      <c r="C81" s="352">
        <v>3</v>
      </c>
      <c r="D81" s="352">
        <v>1</v>
      </c>
      <c r="E81" s="352">
        <v>5</v>
      </c>
      <c r="F81" s="254">
        <f t="shared" si="6"/>
        <v>247.5</v>
      </c>
      <c r="G81" s="249">
        <v>40</v>
      </c>
      <c r="H81" s="249">
        <f t="shared" si="7"/>
        <v>600</v>
      </c>
      <c r="I81" s="251">
        <f t="shared" si="8"/>
        <v>247.5</v>
      </c>
      <c r="J81" s="252"/>
      <c r="K81" s="252"/>
      <c r="L81" s="252"/>
      <c r="M81" s="252"/>
      <c r="N81" s="252"/>
      <c r="O81" s="252"/>
      <c r="P81" s="252"/>
      <c r="Q81" s="253"/>
    </row>
    <row r="82" spans="1:17" s="3" customFormat="1" ht="25" customHeight="1" x14ac:dyDescent="0.25">
      <c r="A82" s="354" t="s">
        <v>284</v>
      </c>
      <c r="B82" s="350" t="s">
        <v>262</v>
      </c>
      <c r="C82" s="352">
        <v>5</v>
      </c>
      <c r="D82" s="352">
        <v>1</v>
      </c>
      <c r="E82" s="352">
        <v>5</v>
      </c>
      <c r="F82" s="254">
        <f t="shared" si="6"/>
        <v>412.5</v>
      </c>
      <c r="G82" s="249">
        <v>40</v>
      </c>
      <c r="H82" s="249">
        <f t="shared" si="7"/>
        <v>1000</v>
      </c>
      <c r="I82" s="251">
        <f t="shared" si="8"/>
        <v>412.5</v>
      </c>
      <c r="J82" s="252"/>
      <c r="K82" s="252"/>
      <c r="L82" s="252"/>
      <c r="M82" s="252"/>
      <c r="N82" s="252"/>
      <c r="O82" s="252"/>
      <c r="P82" s="252"/>
      <c r="Q82" s="253"/>
    </row>
    <row r="83" spans="1:17" s="3" customFormat="1" ht="25" customHeight="1" x14ac:dyDescent="0.25">
      <c r="A83" s="354" t="s">
        <v>285</v>
      </c>
      <c r="B83" s="350" t="s">
        <v>280</v>
      </c>
      <c r="C83" s="352">
        <v>2</v>
      </c>
      <c r="D83" s="352">
        <v>1</v>
      </c>
      <c r="E83" s="352">
        <v>5</v>
      </c>
      <c r="F83" s="249">
        <f>SUM(F68:F82)</f>
        <v>5808</v>
      </c>
      <c r="G83" s="246">
        <f>SUM(G68:G82)</f>
        <v>600</v>
      </c>
      <c r="H83" s="246">
        <f>SUM(H68:H82)</f>
        <v>69520</v>
      </c>
      <c r="I83" s="246">
        <f>SUM(I68:I82)</f>
        <v>5808</v>
      </c>
      <c r="J83" s="252"/>
      <c r="K83" s="252"/>
      <c r="L83" s="252"/>
      <c r="M83" s="252"/>
      <c r="N83" s="252"/>
      <c r="O83" s="252"/>
      <c r="P83" s="252"/>
      <c r="Q83" s="253"/>
    </row>
    <row r="84" spans="1:17" s="3" customFormat="1" ht="25" customHeight="1" x14ac:dyDescent="0.25">
      <c r="A84" s="354" t="s">
        <v>286</v>
      </c>
      <c r="B84" s="353" t="s">
        <v>281</v>
      </c>
      <c r="C84" s="352">
        <v>5</v>
      </c>
      <c r="D84" s="352">
        <v>1</v>
      </c>
      <c r="E84" s="352">
        <v>5</v>
      </c>
      <c r="F84" s="249">
        <v>0</v>
      </c>
      <c r="G84" s="249">
        <v>0</v>
      </c>
      <c r="H84" s="249">
        <v>0</v>
      </c>
      <c r="I84" s="249">
        <v>0</v>
      </c>
      <c r="J84" s="252"/>
      <c r="K84" s="252"/>
      <c r="L84" s="252"/>
      <c r="M84" s="252"/>
      <c r="N84" s="252"/>
      <c r="O84" s="252"/>
      <c r="P84" s="252"/>
      <c r="Q84" s="253"/>
    </row>
    <row r="85" spans="1:17" s="3" customFormat="1" ht="25" customHeight="1" x14ac:dyDescent="0.25">
      <c r="A85" s="354" t="s">
        <v>289</v>
      </c>
      <c r="B85" s="350" t="s">
        <v>287</v>
      </c>
      <c r="C85" s="352">
        <v>3</v>
      </c>
      <c r="D85" s="352">
        <v>1</v>
      </c>
      <c r="E85" s="352">
        <v>3</v>
      </c>
      <c r="F85" s="316">
        <f>F48+F63+F83</f>
        <v>12741.8</v>
      </c>
      <c r="G85" s="260">
        <f>G48+G63+G83</f>
        <v>2437</v>
      </c>
      <c r="H85" s="260">
        <f>H48+H63+H83</f>
        <v>85906.8</v>
      </c>
      <c r="I85" s="260">
        <f>I48+I63+I83</f>
        <v>12741.8</v>
      </c>
      <c r="J85" s="261">
        <v>0</v>
      </c>
      <c r="K85" s="261">
        <v>0</v>
      </c>
      <c r="L85" s="262">
        <f>'Bieu3 GDTH'!F24</f>
        <v>2632</v>
      </c>
      <c r="M85" s="263">
        <f>'Bieu3 GDTH'!N24</f>
        <v>2402.5</v>
      </c>
      <c r="N85" s="263">
        <f>I85-M85</f>
        <v>10339.299999999999</v>
      </c>
      <c r="O85" s="264">
        <f>'Bieu3 GDTH'!O24</f>
        <v>1422.25</v>
      </c>
      <c r="P85" s="264">
        <f>'Bieu3 GDTH'!P24</f>
        <v>780</v>
      </c>
      <c r="Q85" s="265"/>
    </row>
    <row r="86" spans="1:17" s="3" customFormat="1" ht="25" customHeight="1" x14ac:dyDescent="0.25">
      <c r="A86" s="354" t="s">
        <v>290</v>
      </c>
      <c r="B86" s="350" t="s">
        <v>265</v>
      </c>
      <c r="C86" s="352">
        <v>3</v>
      </c>
      <c r="D86" s="352">
        <v>1</v>
      </c>
      <c r="E86" s="352">
        <v>3</v>
      </c>
      <c r="F86" s="366"/>
      <c r="G86" s="365"/>
      <c r="H86" s="365"/>
      <c r="I86" s="365"/>
      <c r="J86" s="367"/>
      <c r="K86" s="367"/>
      <c r="L86" s="368"/>
      <c r="M86" s="369"/>
      <c r="N86" s="369"/>
      <c r="O86" s="370"/>
      <c r="P86" s="370"/>
      <c r="Q86" s="371"/>
    </row>
    <row r="87" spans="1:17" s="3" customFormat="1" ht="25" customHeight="1" x14ac:dyDescent="0.25">
      <c r="A87" s="354" t="s">
        <v>291</v>
      </c>
      <c r="B87" s="350" t="s">
        <v>288</v>
      </c>
      <c r="C87" s="352">
        <v>5</v>
      </c>
      <c r="D87" s="352">
        <v>1</v>
      </c>
      <c r="E87" s="352">
        <v>3</v>
      </c>
      <c r="F87" s="366"/>
      <c r="G87" s="365"/>
      <c r="H87" s="365"/>
      <c r="I87" s="365"/>
      <c r="J87" s="367"/>
      <c r="K87" s="367"/>
      <c r="L87" s="368"/>
      <c r="M87" s="369"/>
      <c r="N87" s="369"/>
      <c r="O87" s="370"/>
      <c r="P87" s="370"/>
      <c r="Q87" s="371"/>
    </row>
    <row r="88" spans="1:17" s="3" customFormat="1" ht="25" customHeight="1" x14ac:dyDescent="0.25">
      <c r="A88" s="354" t="s">
        <v>292</v>
      </c>
      <c r="B88" s="350" t="s">
        <v>263</v>
      </c>
      <c r="C88" s="352">
        <v>3</v>
      </c>
      <c r="D88" s="352">
        <v>1</v>
      </c>
      <c r="E88" s="352">
        <v>3</v>
      </c>
      <c r="F88" s="366"/>
      <c r="G88" s="365"/>
      <c r="H88" s="365"/>
      <c r="I88" s="365"/>
      <c r="J88" s="367"/>
      <c r="K88" s="367"/>
      <c r="L88" s="368"/>
      <c r="M88" s="369"/>
      <c r="N88" s="369"/>
      <c r="O88" s="370"/>
      <c r="P88" s="370"/>
      <c r="Q88" s="371"/>
    </row>
    <row r="89" spans="1:17" s="3" customFormat="1" ht="25" customHeight="1" x14ac:dyDescent="0.25">
      <c r="A89" s="386"/>
      <c r="B89" s="361" t="s">
        <v>353</v>
      </c>
      <c r="C89" s="364">
        <f>SUM(C74:C88)</f>
        <v>51</v>
      </c>
      <c r="D89" s="364">
        <f>SUM(D74:D88)</f>
        <v>15</v>
      </c>
      <c r="E89" s="364">
        <f>SUM(E74:E88)</f>
        <v>53</v>
      </c>
      <c r="F89" s="366"/>
      <c r="G89" s="365"/>
      <c r="H89" s="365"/>
      <c r="I89" s="365"/>
      <c r="J89" s="367"/>
      <c r="K89" s="367"/>
      <c r="L89" s="368"/>
      <c r="M89" s="369"/>
      <c r="N89" s="369"/>
      <c r="O89" s="370"/>
      <c r="P89" s="370"/>
      <c r="Q89" s="371"/>
    </row>
    <row r="90" spans="1:17" s="3" customFormat="1" ht="25" customHeight="1" x14ac:dyDescent="0.25">
      <c r="A90" s="385">
        <v>2</v>
      </c>
      <c r="B90" s="385" t="s">
        <v>85</v>
      </c>
      <c r="C90" s="352">
        <v>0</v>
      </c>
      <c r="D90" s="352">
        <v>0</v>
      </c>
      <c r="E90" s="352">
        <v>0</v>
      </c>
      <c r="F90" s="366"/>
      <c r="G90" s="365"/>
      <c r="H90" s="365"/>
      <c r="I90" s="365"/>
      <c r="J90" s="367"/>
      <c r="K90" s="367"/>
      <c r="L90" s="368"/>
      <c r="M90" s="369"/>
      <c r="N90" s="369"/>
      <c r="O90" s="370"/>
      <c r="P90" s="370"/>
      <c r="Q90" s="371"/>
    </row>
    <row r="91" spans="1:17" s="3" customFormat="1" ht="25" customHeight="1" x14ac:dyDescent="0.25">
      <c r="A91" s="387"/>
      <c r="B91" s="387" t="s">
        <v>374</v>
      </c>
      <c r="C91" s="388">
        <f>C54+C69+C89</f>
        <v>191</v>
      </c>
      <c r="D91" s="388">
        <f>D54+D69+D89</f>
        <v>65.66</v>
      </c>
      <c r="E91" s="388">
        <f>E54+E69+E89</f>
        <v>206</v>
      </c>
      <c r="F91" s="366"/>
      <c r="G91" s="365"/>
      <c r="H91" s="365"/>
      <c r="I91" s="365"/>
      <c r="J91" s="367"/>
      <c r="K91" s="367"/>
      <c r="L91" s="368"/>
      <c r="M91" s="369"/>
      <c r="N91" s="369"/>
      <c r="O91" s="370"/>
      <c r="P91" s="370"/>
      <c r="Q91" s="371"/>
    </row>
    <row r="92" spans="1:17" s="3" customFormat="1" ht="25" customHeight="1" x14ac:dyDescent="0.25">
      <c r="A92" s="242" t="s">
        <v>19</v>
      </c>
      <c r="B92" s="242" t="s">
        <v>375</v>
      </c>
      <c r="C92" s="249"/>
      <c r="D92" s="249"/>
      <c r="E92" s="249"/>
      <c r="F92" s="249"/>
      <c r="G92" s="249"/>
      <c r="H92" s="249"/>
      <c r="I92" s="252"/>
      <c r="J92" s="252"/>
      <c r="K92" s="252"/>
      <c r="L92" s="252"/>
      <c r="M92" s="252"/>
      <c r="N92" s="252"/>
      <c r="O92" s="252"/>
      <c r="P92" s="252"/>
      <c r="Q92" s="253"/>
    </row>
    <row r="93" spans="1:17" s="3" customFormat="1" ht="25" customHeight="1" x14ac:dyDescent="0.25">
      <c r="A93" s="266" t="s">
        <v>377</v>
      </c>
      <c r="B93" s="266" t="s">
        <v>378</v>
      </c>
      <c r="C93" s="249"/>
      <c r="D93" s="249"/>
      <c r="E93" s="249"/>
      <c r="F93" s="249"/>
      <c r="G93" s="249"/>
      <c r="H93" s="249"/>
      <c r="I93" s="252"/>
      <c r="J93" s="252"/>
      <c r="K93" s="252"/>
      <c r="L93" s="252"/>
      <c r="M93" s="252"/>
      <c r="N93" s="252"/>
      <c r="O93" s="252"/>
      <c r="P93" s="252"/>
      <c r="Q93" s="253"/>
    </row>
    <row r="94" spans="1:17" s="3" customFormat="1" ht="25" customHeight="1" x14ac:dyDescent="0.25">
      <c r="A94" s="266">
        <v>1</v>
      </c>
      <c r="B94" s="266" t="s">
        <v>379</v>
      </c>
      <c r="C94" s="249"/>
      <c r="D94" s="249"/>
      <c r="E94" s="249"/>
      <c r="F94" s="249"/>
      <c r="G94" s="249"/>
      <c r="H94" s="249"/>
      <c r="I94" s="252"/>
      <c r="J94" s="252"/>
      <c r="K94" s="252"/>
      <c r="L94" s="252"/>
      <c r="M94" s="252"/>
      <c r="N94" s="252"/>
      <c r="O94" s="252"/>
      <c r="P94" s="252"/>
      <c r="Q94" s="253"/>
    </row>
    <row r="95" spans="1:17" s="3" customFormat="1" ht="25" customHeight="1" x14ac:dyDescent="0.25">
      <c r="A95" s="267" t="s">
        <v>147</v>
      </c>
      <c r="B95" s="268" t="s">
        <v>161</v>
      </c>
      <c r="C95" s="249"/>
      <c r="D95" s="249"/>
      <c r="E95" s="249"/>
      <c r="F95" s="249"/>
      <c r="G95" s="249"/>
      <c r="H95" s="249"/>
      <c r="I95" s="252"/>
      <c r="J95" s="252"/>
      <c r="K95" s="252"/>
      <c r="L95" s="252"/>
      <c r="M95" s="252"/>
      <c r="N95" s="252"/>
      <c r="O95" s="252"/>
      <c r="P95" s="252"/>
      <c r="Q95" s="253"/>
    </row>
    <row r="96" spans="1:17" s="3" customFormat="1" ht="25" customHeight="1" x14ac:dyDescent="0.25">
      <c r="A96" s="349" t="s">
        <v>226</v>
      </c>
      <c r="B96" s="350" t="s">
        <v>597</v>
      </c>
      <c r="C96" s="351">
        <v>3</v>
      </c>
      <c r="D96" s="351">
        <v>1</v>
      </c>
      <c r="E96" s="351">
        <v>3</v>
      </c>
      <c r="F96" s="254">
        <f t="shared" ref="F96:F119" si="9">I96+J96+K96</f>
        <v>148.5</v>
      </c>
      <c r="G96" s="269">
        <v>60</v>
      </c>
      <c r="H96" s="249">
        <f t="shared" ref="H96:H118" si="10">C96*D96*E96*G96</f>
        <v>540</v>
      </c>
      <c r="I96" s="251">
        <f t="shared" ref="I96:I110" si="11">IF(G96&lt;70, C96*E96*16.5*1, C96*E96*16.5*1.3)</f>
        <v>148.5</v>
      </c>
      <c r="J96" s="270"/>
      <c r="K96" s="270"/>
      <c r="L96" s="252"/>
      <c r="M96" s="252"/>
      <c r="N96" s="252"/>
      <c r="O96" s="252"/>
      <c r="P96" s="252"/>
      <c r="Q96" s="253"/>
    </row>
    <row r="97" spans="1:17" s="3" customFormat="1" ht="25" customHeight="1" x14ac:dyDescent="0.25">
      <c r="A97" s="349" t="s">
        <v>227</v>
      </c>
      <c r="B97" s="350" t="s">
        <v>598</v>
      </c>
      <c r="C97" s="351">
        <v>4</v>
      </c>
      <c r="D97" s="351">
        <v>1.3</v>
      </c>
      <c r="E97" s="351">
        <v>3</v>
      </c>
      <c r="F97" s="254">
        <f t="shared" si="9"/>
        <v>257.40000000000003</v>
      </c>
      <c r="G97" s="269">
        <v>70</v>
      </c>
      <c r="H97" s="249">
        <f t="shared" si="10"/>
        <v>1092</v>
      </c>
      <c r="I97" s="251">
        <f t="shared" si="11"/>
        <v>257.40000000000003</v>
      </c>
      <c r="J97" s="270"/>
      <c r="K97" s="270"/>
      <c r="L97" s="252"/>
      <c r="M97" s="252"/>
      <c r="N97" s="252"/>
      <c r="O97" s="252"/>
      <c r="P97" s="252"/>
      <c r="Q97" s="253"/>
    </row>
    <row r="98" spans="1:17" s="3" customFormat="1" ht="25" customHeight="1" x14ac:dyDescent="0.25">
      <c r="A98" s="349" t="s">
        <v>228</v>
      </c>
      <c r="B98" s="350" t="s">
        <v>599</v>
      </c>
      <c r="C98" s="351">
        <v>1</v>
      </c>
      <c r="D98" s="351">
        <v>1.3</v>
      </c>
      <c r="E98" s="351">
        <v>8</v>
      </c>
      <c r="F98" s="254">
        <f t="shared" si="9"/>
        <v>132</v>
      </c>
      <c r="G98" s="269">
        <v>20</v>
      </c>
      <c r="H98" s="249">
        <f t="shared" si="10"/>
        <v>208</v>
      </c>
      <c r="I98" s="251">
        <f t="shared" si="11"/>
        <v>132</v>
      </c>
      <c r="J98" s="270"/>
      <c r="K98" s="270"/>
      <c r="L98" s="252"/>
      <c r="M98" s="252"/>
      <c r="N98" s="252"/>
      <c r="O98" s="252"/>
      <c r="P98" s="252"/>
      <c r="Q98" s="253"/>
    </row>
    <row r="99" spans="1:17" s="3" customFormat="1" ht="25" customHeight="1" x14ac:dyDescent="0.25">
      <c r="A99" s="349" t="s">
        <v>228</v>
      </c>
      <c r="B99" s="350" t="s">
        <v>600</v>
      </c>
      <c r="C99" s="351">
        <v>1</v>
      </c>
      <c r="D99" s="351">
        <v>1.3</v>
      </c>
      <c r="E99" s="351">
        <v>8</v>
      </c>
      <c r="F99" s="254">
        <f t="shared" si="9"/>
        <v>132</v>
      </c>
      <c r="G99" s="269">
        <v>20</v>
      </c>
      <c r="H99" s="249">
        <f t="shared" si="10"/>
        <v>208</v>
      </c>
      <c r="I99" s="251">
        <f t="shared" si="11"/>
        <v>132</v>
      </c>
      <c r="J99" s="270"/>
      <c r="K99" s="270"/>
      <c r="L99" s="252"/>
      <c r="M99" s="252"/>
      <c r="N99" s="252"/>
      <c r="O99" s="252"/>
      <c r="P99" s="252"/>
      <c r="Q99" s="253"/>
    </row>
    <row r="100" spans="1:17" s="3" customFormat="1" ht="25" customHeight="1" x14ac:dyDescent="0.25">
      <c r="A100" s="349" t="s">
        <v>229</v>
      </c>
      <c r="B100" s="350" t="s">
        <v>601</v>
      </c>
      <c r="C100" s="351">
        <v>1</v>
      </c>
      <c r="D100" s="351">
        <v>1.3</v>
      </c>
      <c r="E100" s="351">
        <v>7</v>
      </c>
      <c r="F100" s="254">
        <f t="shared" si="9"/>
        <v>115.5</v>
      </c>
      <c r="G100" s="269">
        <v>60</v>
      </c>
      <c r="H100" s="249">
        <f t="shared" si="10"/>
        <v>546</v>
      </c>
      <c r="I100" s="251">
        <f t="shared" si="11"/>
        <v>115.5</v>
      </c>
      <c r="J100" s="270"/>
      <c r="K100" s="270"/>
      <c r="L100" s="252"/>
      <c r="M100" s="252"/>
      <c r="N100" s="252"/>
      <c r="O100" s="252"/>
      <c r="P100" s="252"/>
      <c r="Q100" s="253"/>
    </row>
    <row r="101" spans="1:17" s="3" customFormat="1" ht="25" customHeight="1" x14ac:dyDescent="0.25">
      <c r="A101" s="349" t="s">
        <v>230</v>
      </c>
      <c r="B101" s="350" t="s">
        <v>385</v>
      </c>
      <c r="C101" s="351">
        <v>4</v>
      </c>
      <c r="D101" s="351">
        <v>1</v>
      </c>
      <c r="E101" s="351">
        <v>3</v>
      </c>
      <c r="F101" s="254">
        <f t="shared" si="9"/>
        <v>198</v>
      </c>
      <c r="G101" s="269">
        <v>25</v>
      </c>
      <c r="H101" s="249">
        <f t="shared" si="10"/>
        <v>300</v>
      </c>
      <c r="I101" s="251">
        <f t="shared" si="11"/>
        <v>198</v>
      </c>
      <c r="J101" s="270"/>
      <c r="K101" s="270"/>
      <c r="L101" s="252"/>
      <c r="M101" s="252"/>
      <c r="N101" s="252"/>
      <c r="O101" s="252"/>
      <c r="P101" s="252"/>
      <c r="Q101" s="253"/>
    </row>
    <row r="102" spans="1:17" s="3" customFormat="1" ht="25" customHeight="1" x14ac:dyDescent="0.25">
      <c r="A102" s="349" t="s">
        <v>282</v>
      </c>
      <c r="B102" s="350" t="s">
        <v>602</v>
      </c>
      <c r="C102" s="351">
        <v>2</v>
      </c>
      <c r="D102" s="351">
        <v>1</v>
      </c>
      <c r="E102" s="351">
        <v>3</v>
      </c>
      <c r="F102" s="254">
        <f t="shared" si="9"/>
        <v>128.70000000000002</v>
      </c>
      <c r="G102" s="269">
        <v>70</v>
      </c>
      <c r="H102" s="249">
        <f t="shared" si="10"/>
        <v>420</v>
      </c>
      <c r="I102" s="251">
        <f t="shared" si="11"/>
        <v>128.70000000000002</v>
      </c>
      <c r="J102" s="270"/>
      <c r="K102" s="270"/>
      <c r="L102" s="252"/>
      <c r="M102" s="252"/>
      <c r="N102" s="252"/>
      <c r="O102" s="252"/>
      <c r="P102" s="252"/>
      <c r="Q102" s="253"/>
    </row>
    <row r="103" spans="1:17" s="3" customFormat="1" ht="25" customHeight="1" x14ac:dyDescent="0.25">
      <c r="A103" s="349" t="s">
        <v>283</v>
      </c>
      <c r="B103" s="350" t="s">
        <v>603</v>
      </c>
      <c r="C103" s="351">
        <v>3</v>
      </c>
      <c r="D103" s="351">
        <v>1</v>
      </c>
      <c r="E103" s="351">
        <v>2</v>
      </c>
      <c r="F103" s="254">
        <f t="shared" si="9"/>
        <v>99</v>
      </c>
      <c r="G103" s="269">
        <v>60</v>
      </c>
      <c r="H103" s="249">
        <f t="shared" si="10"/>
        <v>360</v>
      </c>
      <c r="I103" s="251">
        <f t="shared" si="11"/>
        <v>99</v>
      </c>
      <c r="J103" s="270"/>
      <c r="K103" s="270"/>
      <c r="L103" s="252"/>
      <c r="M103" s="252"/>
      <c r="N103" s="252"/>
      <c r="O103" s="252"/>
      <c r="P103" s="252"/>
      <c r="Q103" s="253"/>
    </row>
    <row r="104" spans="1:17" s="3" customFormat="1" ht="25" customHeight="1" x14ac:dyDescent="0.25">
      <c r="A104" s="349" t="s">
        <v>284</v>
      </c>
      <c r="B104" s="350" t="s">
        <v>604</v>
      </c>
      <c r="C104" s="351">
        <v>3</v>
      </c>
      <c r="D104" s="351">
        <v>1.1000000000000001</v>
      </c>
      <c r="E104" s="351">
        <v>3</v>
      </c>
      <c r="F104" s="254">
        <f t="shared" si="9"/>
        <v>193.05</v>
      </c>
      <c r="G104" s="269">
        <v>70</v>
      </c>
      <c r="H104" s="249">
        <f t="shared" si="10"/>
        <v>693</v>
      </c>
      <c r="I104" s="251">
        <f t="shared" si="11"/>
        <v>193.05</v>
      </c>
      <c r="J104" s="270"/>
      <c r="K104" s="270"/>
      <c r="L104" s="252"/>
      <c r="M104" s="252"/>
      <c r="N104" s="252"/>
      <c r="O104" s="252"/>
      <c r="P104" s="252"/>
      <c r="Q104" s="253"/>
    </row>
    <row r="105" spans="1:17" s="3" customFormat="1" ht="25" customHeight="1" x14ac:dyDescent="0.25">
      <c r="A105" s="349" t="s">
        <v>285</v>
      </c>
      <c r="B105" s="350" t="s">
        <v>605</v>
      </c>
      <c r="C105" s="352">
        <v>3</v>
      </c>
      <c r="D105" s="352">
        <v>1</v>
      </c>
      <c r="E105" s="352">
        <v>2</v>
      </c>
      <c r="F105" s="254">
        <f t="shared" si="9"/>
        <v>128.70000000000002</v>
      </c>
      <c r="G105" s="271">
        <v>70</v>
      </c>
      <c r="H105" s="249">
        <f t="shared" si="10"/>
        <v>420</v>
      </c>
      <c r="I105" s="251">
        <f t="shared" si="11"/>
        <v>128.70000000000002</v>
      </c>
      <c r="J105" s="270"/>
      <c r="K105" s="270"/>
      <c r="L105" s="252"/>
      <c r="M105" s="252"/>
      <c r="N105" s="252"/>
      <c r="O105" s="252"/>
      <c r="P105" s="252"/>
      <c r="Q105" s="253"/>
    </row>
    <row r="106" spans="1:17" s="3" customFormat="1" ht="25" customHeight="1" x14ac:dyDescent="0.25">
      <c r="A106" s="349" t="s">
        <v>286</v>
      </c>
      <c r="B106" s="350" t="s">
        <v>606</v>
      </c>
      <c r="C106" s="352">
        <v>4</v>
      </c>
      <c r="D106" s="352">
        <v>1</v>
      </c>
      <c r="E106" s="352">
        <v>3</v>
      </c>
      <c r="F106" s="254">
        <f t="shared" si="9"/>
        <v>257.40000000000003</v>
      </c>
      <c r="G106" s="271">
        <v>70</v>
      </c>
      <c r="H106" s="249">
        <f t="shared" si="10"/>
        <v>840</v>
      </c>
      <c r="I106" s="251">
        <f t="shared" si="11"/>
        <v>257.40000000000003</v>
      </c>
      <c r="J106" s="270"/>
      <c r="K106" s="270"/>
      <c r="L106" s="252"/>
      <c r="M106" s="252"/>
      <c r="N106" s="252"/>
      <c r="O106" s="252"/>
      <c r="P106" s="252"/>
      <c r="Q106" s="253"/>
    </row>
    <row r="107" spans="1:17" s="3" customFormat="1" ht="25" customHeight="1" x14ac:dyDescent="0.25">
      <c r="A107" s="349" t="s">
        <v>289</v>
      </c>
      <c r="B107" s="350" t="s">
        <v>607</v>
      </c>
      <c r="C107" s="352">
        <v>2</v>
      </c>
      <c r="D107" s="352">
        <v>1.3</v>
      </c>
      <c r="E107" s="352">
        <v>6</v>
      </c>
      <c r="F107" s="254">
        <f t="shared" si="9"/>
        <v>198</v>
      </c>
      <c r="G107" s="271">
        <v>25</v>
      </c>
      <c r="H107" s="249">
        <f t="shared" si="10"/>
        <v>390.00000000000006</v>
      </c>
      <c r="I107" s="251">
        <f t="shared" si="11"/>
        <v>198</v>
      </c>
      <c r="J107" s="270"/>
      <c r="K107" s="270"/>
      <c r="L107" s="252"/>
      <c r="M107" s="252"/>
      <c r="N107" s="252"/>
      <c r="O107" s="252"/>
      <c r="P107" s="252"/>
      <c r="Q107" s="253"/>
    </row>
    <row r="108" spans="1:17" s="3" customFormat="1" ht="25" customHeight="1" x14ac:dyDescent="0.25">
      <c r="A108" s="349" t="s">
        <v>290</v>
      </c>
      <c r="B108" s="350" t="s">
        <v>608</v>
      </c>
      <c r="C108" s="352">
        <v>3</v>
      </c>
      <c r="D108" s="352">
        <v>1</v>
      </c>
      <c r="E108" s="352">
        <v>2</v>
      </c>
      <c r="F108" s="254">
        <f t="shared" si="9"/>
        <v>128.70000000000002</v>
      </c>
      <c r="G108" s="271">
        <v>70</v>
      </c>
      <c r="H108" s="249">
        <f t="shared" si="10"/>
        <v>420</v>
      </c>
      <c r="I108" s="251">
        <f t="shared" si="11"/>
        <v>128.70000000000002</v>
      </c>
      <c r="J108" s="270"/>
      <c r="K108" s="270"/>
      <c r="L108" s="252"/>
      <c r="M108" s="252"/>
      <c r="N108" s="252"/>
      <c r="O108" s="252"/>
      <c r="P108" s="252"/>
      <c r="Q108" s="253"/>
    </row>
    <row r="109" spans="1:17" s="3" customFormat="1" ht="25" customHeight="1" x14ac:dyDescent="0.25">
      <c r="A109" s="349" t="s">
        <v>291</v>
      </c>
      <c r="B109" s="350" t="s">
        <v>499</v>
      </c>
      <c r="C109" s="352">
        <v>2</v>
      </c>
      <c r="D109" s="352">
        <v>1</v>
      </c>
      <c r="E109" s="352">
        <v>1</v>
      </c>
      <c r="F109" s="254">
        <f t="shared" si="9"/>
        <v>33</v>
      </c>
      <c r="G109" s="271">
        <v>40</v>
      </c>
      <c r="H109" s="249">
        <f t="shared" si="10"/>
        <v>80</v>
      </c>
      <c r="I109" s="251">
        <f t="shared" si="11"/>
        <v>33</v>
      </c>
      <c r="J109" s="270"/>
      <c r="K109" s="270"/>
      <c r="L109" s="252"/>
      <c r="M109" s="252"/>
      <c r="N109" s="252"/>
      <c r="O109" s="252"/>
      <c r="P109" s="252"/>
      <c r="Q109" s="253"/>
    </row>
    <row r="110" spans="1:17" s="3" customFormat="1" ht="25" customHeight="1" x14ac:dyDescent="0.25">
      <c r="A110" s="349" t="s">
        <v>292</v>
      </c>
      <c r="B110" s="353" t="s">
        <v>609</v>
      </c>
      <c r="C110" s="352">
        <v>4</v>
      </c>
      <c r="D110" s="352">
        <v>1</v>
      </c>
      <c r="E110" s="352">
        <v>3</v>
      </c>
      <c r="F110" s="254">
        <f t="shared" si="9"/>
        <v>257.40000000000003</v>
      </c>
      <c r="G110" s="271">
        <v>70</v>
      </c>
      <c r="H110" s="249">
        <f t="shared" si="10"/>
        <v>840</v>
      </c>
      <c r="I110" s="251">
        <f t="shared" si="11"/>
        <v>257.40000000000003</v>
      </c>
      <c r="J110" s="246">
        <v>0</v>
      </c>
      <c r="K110" s="246">
        <v>0</v>
      </c>
      <c r="L110" s="252"/>
      <c r="M110" s="252"/>
      <c r="N110" s="252"/>
      <c r="O110" s="252"/>
      <c r="P110" s="252"/>
      <c r="Q110" s="253"/>
    </row>
    <row r="111" spans="1:17" s="3" customFormat="1" ht="25" customHeight="1" x14ac:dyDescent="0.25">
      <c r="A111" s="349" t="s">
        <v>395</v>
      </c>
      <c r="B111" s="353" t="s">
        <v>610</v>
      </c>
      <c r="C111" s="352">
        <v>3</v>
      </c>
      <c r="D111" s="352">
        <v>1.2</v>
      </c>
      <c r="E111" s="352">
        <v>2</v>
      </c>
      <c r="F111" s="254">
        <f t="shared" si="9"/>
        <v>30</v>
      </c>
      <c r="G111" s="271">
        <v>25</v>
      </c>
      <c r="H111" s="249">
        <f t="shared" si="10"/>
        <v>179.99999999999997</v>
      </c>
      <c r="I111" s="251">
        <f>E111*15</f>
        <v>30</v>
      </c>
      <c r="J111" s="252"/>
      <c r="K111" s="252"/>
      <c r="L111" s="252"/>
      <c r="M111" s="252"/>
      <c r="N111" s="252"/>
      <c r="O111" s="252"/>
      <c r="P111" s="252"/>
      <c r="Q111" s="253"/>
    </row>
    <row r="112" spans="1:17" s="3" customFormat="1" ht="25" customHeight="1" x14ac:dyDescent="0.25">
      <c r="A112" s="349" t="s">
        <v>396</v>
      </c>
      <c r="B112" s="353" t="s">
        <v>611</v>
      </c>
      <c r="C112" s="352">
        <v>4</v>
      </c>
      <c r="D112" s="352">
        <v>1</v>
      </c>
      <c r="E112" s="352">
        <v>3</v>
      </c>
      <c r="F112" s="254">
        <f t="shared" si="9"/>
        <v>198</v>
      </c>
      <c r="G112" s="271">
        <v>25</v>
      </c>
      <c r="H112" s="249">
        <f t="shared" si="10"/>
        <v>300</v>
      </c>
      <c r="I112" s="250"/>
      <c r="J112" s="251">
        <f>IF(G112&lt;70, C112*E112*16.5*1, C112*E112*16.5*1.3)</f>
        <v>198</v>
      </c>
      <c r="K112" s="252"/>
      <c r="L112" s="252"/>
      <c r="M112" s="252"/>
      <c r="N112" s="252"/>
      <c r="O112" s="252"/>
      <c r="P112" s="252"/>
      <c r="Q112" s="253"/>
    </row>
    <row r="113" spans="1:17" s="3" customFormat="1" ht="25" customHeight="1" x14ac:dyDescent="0.25">
      <c r="A113" s="349" t="s">
        <v>397</v>
      </c>
      <c r="B113" s="353" t="s">
        <v>612</v>
      </c>
      <c r="C113" s="352">
        <v>4</v>
      </c>
      <c r="D113" s="352">
        <v>1</v>
      </c>
      <c r="E113" s="352">
        <v>3</v>
      </c>
      <c r="F113" s="254">
        <f t="shared" si="9"/>
        <v>257.40000000000003</v>
      </c>
      <c r="G113" s="271">
        <v>70</v>
      </c>
      <c r="H113" s="249">
        <f t="shared" si="10"/>
        <v>840</v>
      </c>
      <c r="I113" s="251">
        <f>IF(G113&lt;70, C113*E113*16.5*1, C113*E113*16.5*1.3)</f>
        <v>257.40000000000003</v>
      </c>
      <c r="J113" s="252"/>
      <c r="K113" s="252"/>
      <c r="L113" s="252"/>
      <c r="M113" s="252"/>
      <c r="N113" s="252"/>
      <c r="O113" s="252"/>
      <c r="P113" s="252"/>
      <c r="Q113" s="253"/>
    </row>
    <row r="114" spans="1:17" s="3" customFormat="1" ht="25" customHeight="1" x14ac:dyDescent="0.25">
      <c r="A114" s="349" t="s">
        <v>398</v>
      </c>
      <c r="B114" s="353" t="s">
        <v>376</v>
      </c>
      <c r="C114" s="352">
        <v>2</v>
      </c>
      <c r="D114" s="352">
        <v>1.3</v>
      </c>
      <c r="E114" s="352">
        <v>2</v>
      </c>
      <c r="F114" s="254">
        <f t="shared" si="9"/>
        <v>85.8</v>
      </c>
      <c r="G114" s="271">
        <v>70</v>
      </c>
      <c r="H114" s="249">
        <f t="shared" si="10"/>
        <v>364</v>
      </c>
      <c r="I114" s="251">
        <f t="shared" ref="I114:I119" si="12">IF(G114&lt;70, C114*E114*16.5*1, C114*E114*16.5*1.3)</f>
        <v>85.8</v>
      </c>
      <c r="J114" s="252"/>
      <c r="K114" s="252"/>
      <c r="L114" s="252"/>
      <c r="M114" s="252"/>
      <c r="N114" s="252"/>
      <c r="O114" s="252"/>
      <c r="P114" s="252"/>
      <c r="Q114" s="253"/>
    </row>
    <row r="115" spans="1:17" s="3" customFormat="1" ht="25" customHeight="1" x14ac:dyDescent="0.25">
      <c r="A115" s="349" t="s">
        <v>399</v>
      </c>
      <c r="B115" s="353" t="s">
        <v>613</v>
      </c>
      <c r="C115" s="352">
        <v>4</v>
      </c>
      <c r="D115" s="352">
        <v>1.3</v>
      </c>
      <c r="E115" s="352">
        <v>3</v>
      </c>
      <c r="F115" s="254">
        <f t="shared" si="9"/>
        <v>257.40000000000003</v>
      </c>
      <c r="G115" s="271">
        <v>70</v>
      </c>
      <c r="H115" s="249">
        <f t="shared" si="10"/>
        <v>1092</v>
      </c>
      <c r="I115" s="251">
        <f t="shared" si="12"/>
        <v>257.40000000000003</v>
      </c>
      <c r="J115" s="252"/>
      <c r="K115" s="252"/>
      <c r="L115" s="252"/>
      <c r="M115" s="252"/>
      <c r="N115" s="252"/>
      <c r="O115" s="252"/>
      <c r="P115" s="252"/>
      <c r="Q115" s="253"/>
    </row>
    <row r="116" spans="1:17" s="3" customFormat="1" ht="25" customHeight="1" x14ac:dyDescent="0.25">
      <c r="A116" s="349"/>
      <c r="B116" s="353" t="s">
        <v>614</v>
      </c>
      <c r="C116" s="352">
        <v>3</v>
      </c>
      <c r="D116" s="352">
        <v>1</v>
      </c>
      <c r="E116" s="352">
        <v>2</v>
      </c>
      <c r="F116" s="254">
        <f t="shared" si="9"/>
        <v>128.70000000000002</v>
      </c>
      <c r="G116" s="271">
        <v>70</v>
      </c>
      <c r="H116" s="249">
        <f t="shared" si="10"/>
        <v>420</v>
      </c>
      <c r="I116" s="251">
        <f t="shared" si="12"/>
        <v>128.70000000000002</v>
      </c>
      <c r="J116" s="270">
        <v>0</v>
      </c>
      <c r="K116" s="270">
        <v>0</v>
      </c>
      <c r="L116" s="252"/>
      <c r="M116" s="252"/>
      <c r="N116" s="252"/>
      <c r="O116" s="252"/>
      <c r="P116" s="252"/>
      <c r="Q116" s="253"/>
    </row>
    <row r="117" spans="1:17" s="3" customFormat="1" ht="25" customHeight="1" x14ac:dyDescent="0.25">
      <c r="A117" s="349" t="s">
        <v>400</v>
      </c>
      <c r="B117" s="353" t="s">
        <v>615</v>
      </c>
      <c r="C117" s="352">
        <v>2</v>
      </c>
      <c r="D117" s="352">
        <v>1.3</v>
      </c>
      <c r="E117" s="352">
        <v>2</v>
      </c>
      <c r="F117" s="254">
        <f t="shared" si="9"/>
        <v>85.8</v>
      </c>
      <c r="G117" s="271">
        <v>70</v>
      </c>
      <c r="H117" s="249">
        <f t="shared" si="10"/>
        <v>364</v>
      </c>
      <c r="I117" s="251">
        <f t="shared" si="12"/>
        <v>85.8</v>
      </c>
      <c r="J117" s="270">
        <v>0</v>
      </c>
      <c r="K117" s="270">
        <v>0</v>
      </c>
      <c r="L117" s="252"/>
      <c r="M117" s="252"/>
      <c r="N117" s="252"/>
      <c r="O117" s="252"/>
      <c r="P117" s="252"/>
      <c r="Q117" s="253"/>
    </row>
    <row r="118" spans="1:17" s="3" customFormat="1" ht="25" customHeight="1" x14ac:dyDescent="0.25">
      <c r="A118" s="349"/>
      <c r="B118" s="353" t="s">
        <v>616</v>
      </c>
      <c r="C118" s="352">
        <v>4</v>
      </c>
      <c r="D118" s="352">
        <v>1</v>
      </c>
      <c r="E118" s="352">
        <v>3</v>
      </c>
      <c r="F118" s="254">
        <f t="shared" si="9"/>
        <v>257.40000000000003</v>
      </c>
      <c r="G118" s="249">
        <v>70</v>
      </c>
      <c r="H118" s="249">
        <f t="shared" si="10"/>
        <v>840</v>
      </c>
      <c r="I118" s="251">
        <f t="shared" si="12"/>
        <v>257.40000000000003</v>
      </c>
      <c r="J118" s="270">
        <v>0</v>
      </c>
      <c r="K118" s="270">
        <v>0</v>
      </c>
      <c r="L118" s="252"/>
      <c r="M118" s="252"/>
      <c r="N118" s="252"/>
      <c r="O118" s="252"/>
      <c r="P118" s="252"/>
      <c r="Q118" s="253"/>
    </row>
    <row r="119" spans="1:17" s="3" customFormat="1" ht="25" customHeight="1" x14ac:dyDescent="0.25">
      <c r="A119" s="349" t="s">
        <v>401</v>
      </c>
      <c r="B119" s="353" t="s">
        <v>617</v>
      </c>
      <c r="C119" s="352">
        <v>4</v>
      </c>
      <c r="D119" s="352">
        <v>1.1200000000000001</v>
      </c>
      <c r="E119" s="352">
        <v>3</v>
      </c>
      <c r="F119" s="254">
        <f t="shared" si="9"/>
        <v>198</v>
      </c>
      <c r="G119" s="271">
        <v>24</v>
      </c>
      <c r="H119" s="249">
        <f>C119*D119*E119*G119</f>
        <v>322.56000000000006</v>
      </c>
      <c r="I119" s="251">
        <f t="shared" si="12"/>
        <v>198</v>
      </c>
      <c r="J119" s="270"/>
      <c r="K119" s="270"/>
      <c r="L119" s="252"/>
      <c r="M119" s="252"/>
      <c r="N119" s="252"/>
      <c r="O119" s="252"/>
      <c r="P119" s="252"/>
      <c r="Q119" s="253"/>
    </row>
    <row r="120" spans="1:17" s="3" customFormat="1" ht="25" customHeight="1" x14ac:dyDescent="0.25">
      <c r="A120" s="349"/>
      <c r="B120" s="353"/>
      <c r="C120" s="352">
        <f>SUM(C96:C119)</f>
        <v>70</v>
      </c>
      <c r="D120" s="352">
        <f>SUM(D96:D119)</f>
        <v>26.820000000000004</v>
      </c>
      <c r="E120" s="352">
        <f>SUM(E96:E119)</f>
        <v>80</v>
      </c>
      <c r="F120" s="259"/>
      <c r="G120" s="259"/>
      <c r="H120" s="259"/>
      <c r="I120" s="246"/>
      <c r="J120" s="246"/>
      <c r="K120" s="246"/>
      <c r="L120" s="252"/>
      <c r="M120" s="252"/>
      <c r="N120" s="252"/>
      <c r="O120" s="252"/>
      <c r="P120" s="252"/>
      <c r="Q120" s="253"/>
    </row>
    <row r="121" spans="1:17" s="3" customFormat="1" ht="25" customHeight="1" x14ac:dyDescent="0.25">
      <c r="A121" s="359" t="s">
        <v>148</v>
      </c>
      <c r="B121" s="360" t="s">
        <v>151</v>
      </c>
      <c r="C121" s="352"/>
      <c r="D121" s="352"/>
      <c r="E121" s="352"/>
      <c r="F121" s="259"/>
      <c r="G121" s="259"/>
      <c r="H121" s="259"/>
      <c r="I121" s="246"/>
      <c r="J121" s="246"/>
      <c r="K121" s="246"/>
      <c r="L121" s="252"/>
      <c r="M121" s="252"/>
      <c r="N121" s="252"/>
      <c r="O121" s="252"/>
      <c r="P121" s="252"/>
      <c r="Q121" s="253"/>
    </row>
    <row r="122" spans="1:17" s="3" customFormat="1" ht="25" customHeight="1" x14ac:dyDescent="0.25">
      <c r="A122" s="354" t="s">
        <v>232</v>
      </c>
      <c r="B122" s="349" t="s">
        <v>154</v>
      </c>
      <c r="C122" s="352"/>
      <c r="D122" s="352"/>
      <c r="E122" s="352"/>
      <c r="F122" s="259"/>
      <c r="G122" s="259"/>
      <c r="H122" s="259"/>
      <c r="I122" s="246"/>
      <c r="J122" s="246"/>
      <c r="K122" s="246"/>
      <c r="L122" s="252"/>
      <c r="M122" s="252"/>
      <c r="N122" s="252"/>
      <c r="O122" s="252"/>
      <c r="P122" s="252"/>
      <c r="Q122" s="253"/>
    </row>
    <row r="123" spans="1:17" s="3" customFormat="1" ht="25" customHeight="1" x14ac:dyDescent="0.25">
      <c r="A123" s="354" t="s">
        <v>233</v>
      </c>
      <c r="B123" s="349" t="s">
        <v>153</v>
      </c>
      <c r="C123" s="352"/>
      <c r="D123" s="352"/>
      <c r="E123" s="352"/>
      <c r="F123" s="259"/>
      <c r="G123" s="259"/>
      <c r="H123" s="259"/>
      <c r="I123" s="246"/>
      <c r="J123" s="246"/>
      <c r="K123" s="246"/>
      <c r="L123" s="252"/>
      <c r="M123" s="252"/>
      <c r="N123" s="252"/>
      <c r="O123" s="252"/>
      <c r="P123" s="252"/>
      <c r="Q123" s="253"/>
    </row>
    <row r="124" spans="1:17" s="3" customFormat="1" ht="25" customHeight="1" x14ac:dyDescent="0.25">
      <c r="A124" s="354" t="s">
        <v>234</v>
      </c>
      <c r="B124" s="349" t="s">
        <v>155</v>
      </c>
      <c r="C124" s="352"/>
      <c r="D124" s="352"/>
      <c r="E124" s="352"/>
      <c r="F124" s="324">
        <f>I124</f>
        <v>0</v>
      </c>
      <c r="G124" s="259">
        <v>25</v>
      </c>
      <c r="H124" s="249">
        <f>C124*D124*E124*G124</f>
        <v>0</v>
      </c>
      <c r="I124" s="254">
        <f>2*G124*E124</f>
        <v>0</v>
      </c>
      <c r="J124" s="246"/>
      <c r="K124" s="246"/>
      <c r="L124" s="252"/>
      <c r="M124" s="252"/>
      <c r="N124" s="252"/>
      <c r="O124" s="252"/>
      <c r="P124" s="252"/>
      <c r="Q124" s="253"/>
    </row>
    <row r="125" spans="1:17" s="3" customFormat="1" ht="25" customHeight="1" x14ac:dyDescent="0.25">
      <c r="A125" s="354" t="s">
        <v>235</v>
      </c>
      <c r="B125" s="349" t="s">
        <v>156</v>
      </c>
      <c r="C125" s="352">
        <v>4</v>
      </c>
      <c r="D125" s="352">
        <v>1.4</v>
      </c>
      <c r="E125" s="352">
        <v>6</v>
      </c>
      <c r="F125" s="259"/>
      <c r="G125" s="259"/>
      <c r="H125" s="259"/>
      <c r="I125" s="246"/>
      <c r="J125" s="246"/>
      <c r="K125" s="246"/>
      <c r="L125" s="252"/>
      <c r="M125" s="252"/>
      <c r="N125" s="252"/>
      <c r="O125" s="252"/>
      <c r="P125" s="252"/>
      <c r="Q125" s="253"/>
    </row>
    <row r="126" spans="1:17" s="3" customFormat="1" ht="25" customHeight="1" x14ac:dyDescent="0.25">
      <c r="A126" s="354" t="s">
        <v>236</v>
      </c>
      <c r="B126" s="349" t="s">
        <v>157</v>
      </c>
      <c r="C126" s="352"/>
      <c r="D126" s="352"/>
      <c r="E126" s="352"/>
      <c r="F126" s="249">
        <f t="shared" ref="F126:K126" si="13">SUM(F96:F125)</f>
        <v>3905.8500000000008</v>
      </c>
      <c r="G126" s="246">
        <f t="shared" si="13"/>
        <v>1319</v>
      </c>
      <c r="H126" s="246">
        <f t="shared" si="13"/>
        <v>12079.56</v>
      </c>
      <c r="I126" s="246">
        <f t="shared" si="13"/>
        <v>3707.8500000000008</v>
      </c>
      <c r="J126" s="246">
        <f t="shared" si="13"/>
        <v>198</v>
      </c>
      <c r="K126" s="246">
        <f t="shared" si="13"/>
        <v>0</v>
      </c>
      <c r="L126" s="252"/>
      <c r="M126" s="252"/>
      <c r="N126" s="252"/>
      <c r="O126" s="252"/>
      <c r="P126" s="252"/>
      <c r="Q126" s="253"/>
    </row>
    <row r="127" spans="1:17" s="3" customFormat="1" ht="25" customHeight="1" x14ac:dyDescent="0.25">
      <c r="A127" s="354"/>
      <c r="B127" s="362" t="s">
        <v>380</v>
      </c>
      <c r="C127" s="352">
        <v>4</v>
      </c>
      <c r="D127" s="352">
        <v>1.4</v>
      </c>
      <c r="E127" s="352">
        <v>6</v>
      </c>
      <c r="F127" s="249"/>
      <c r="G127" s="246"/>
      <c r="H127" s="246"/>
      <c r="I127" s="246"/>
      <c r="J127" s="246"/>
      <c r="K127" s="246"/>
      <c r="L127" s="252"/>
      <c r="M127" s="252"/>
      <c r="N127" s="252"/>
      <c r="O127" s="252"/>
      <c r="P127" s="252"/>
      <c r="Q127" s="253"/>
    </row>
    <row r="128" spans="1:17" s="3" customFormat="1" ht="25" customHeight="1" x14ac:dyDescent="0.25">
      <c r="A128" s="355">
        <v>2</v>
      </c>
      <c r="B128" s="355" t="s">
        <v>501</v>
      </c>
      <c r="C128" s="352"/>
      <c r="D128" s="352"/>
      <c r="E128" s="352"/>
      <c r="F128" s="269"/>
      <c r="G128" s="271">
        <v>70</v>
      </c>
      <c r="H128" s="249"/>
      <c r="I128" s="249"/>
      <c r="J128" s="270">
        <v>5</v>
      </c>
      <c r="K128" s="250"/>
      <c r="L128" s="252"/>
      <c r="M128" s="252"/>
      <c r="N128" s="252"/>
      <c r="O128" s="252"/>
      <c r="P128" s="252"/>
      <c r="Q128" s="1447" t="s">
        <v>528</v>
      </c>
    </row>
    <row r="129" spans="1:17" s="3" customFormat="1" ht="25" customHeight="1" x14ac:dyDescent="0.25">
      <c r="A129" s="356" t="s">
        <v>147</v>
      </c>
      <c r="B129" s="357" t="s">
        <v>165</v>
      </c>
      <c r="C129" s="352"/>
      <c r="D129" s="352"/>
      <c r="E129" s="352"/>
      <c r="F129" s="269"/>
      <c r="G129" s="271">
        <v>70</v>
      </c>
      <c r="H129" s="249"/>
      <c r="I129" s="249"/>
      <c r="J129" s="270">
        <v>5</v>
      </c>
      <c r="K129" s="250"/>
      <c r="L129" s="252"/>
      <c r="M129" s="252"/>
      <c r="N129" s="252"/>
      <c r="O129" s="252"/>
      <c r="P129" s="252"/>
      <c r="Q129" s="1447"/>
    </row>
    <row r="130" spans="1:17" s="3" customFormat="1" ht="25" customHeight="1" x14ac:dyDescent="0.25">
      <c r="A130" s="349" t="s">
        <v>226</v>
      </c>
      <c r="B130" s="358" t="s">
        <v>618</v>
      </c>
      <c r="C130" s="352">
        <v>3</v>
      </c>
      <c r="D130" s="352">
        <v>1</v>
      </c>
      <c r="E130" s="352">
        <v>1</v>
      </c>
      <c r="F130" s="254"/>
      <c r="G130" s="271">
        <v>70</v>
      </c>
      <c r="H130" s="250"/>
      <c r="I130" s="250"/>
      <c r="J130" s="270">
        <v>5</v>
      </c>
      <c r="K130" s="250"/>
      <c r="L130" s="250"/>
      <c r="M130" s="252"/>
      <c r="N130" s="252"/>
      <c r="O130" s="252"/>
      <c r="P130" s="252"/>
      <c r="Q130" s="1447"/>
    </row>
    <row r="131" spans="1:17" s="3" customFormat="1" ht="25" customHeight="1" x14ac:dyDescent="0.25">
      <c r="A131" s="349" t="s">
        <v>227</v>
      </c>
      <c r="B131" s="358" t="s">
        <v>619</v>
      </c>
      <c r="C131" s="352">
        <v>3</v>
      </c>
      <c r="D131" s="352">
        <v>1</v>
      </c>
      <c r="E131" s="352">
        <v>1</v>
      </c>
      <c r="F131" s="254"/>
      <c r="G131" s="271">
        <v>70</v>
      </c>
      <c r="H131" s="250"/>
      <c r="I131" s="250"/>
      <c r="J131" s="270">
        <v>5</v>
      </c>
      <c r="K131" s="250"/>
      <c r="L131" s="250"/>
      <c r="M131" s="252"/>
      <c r="N131" s="252"/>
      <c r="O131" s="252"/>
      <c r="P131" s="252"/>
      <c r="Q131" s="1447"/>
    </row>
    <row r="132" spans="1:17" s="3" customFormat="1" ht="25" customHeight="1" x14ac:dyDescent="0.25">
      <c r="A132" s="349" t="s">
        <v>228</v>
      </c>
      <c r="B132" s="358" t="s">
        <v>620</v>
      </c>
      <c r="C132" s="352">
        <v>3</v>
      </c>
      <c r="D132" s="352">
        <v>1</v>
      </c>
      <c r="E132" s="352">
        <v>1</v>
      </c>
      <c r="F132" s="254"/>
      <c r="G132" s="271">
        <v>70</v>
      </c>
      <c r="H132" s="250"/>
      <c r="I132" s="250"/>
      <c r="J132" s="270">
        <v>5</v>
      </c>
      <c r="K132" s="250"/>
      <c r="L132" s="250"/>
      <c r="M132" s="252"/>
      <c r="N132" s="252"/>
      <c r="O132" s="252"/>
      <c r="P132" s="252"/>
      <c r="Q132" s="1447"/>
    </row>
    <row r="133" spans="1:17" s="3" customFormat="1" ht="25" customHeight="1" x14ac:dyDescent="0.25">
      <c r="A133" s="349" t="s">
        <v>229</v>
      </c>
      <c r="B133" s="358" t="s">
        <v>621</v>
      </c>
      <c r="C133" s="352">
        <v>3</v>
      </c>
      <c r="D133" s="352">
        <v>1</v>
      </c>
      <c r="E133" s="352">
        <v>1</v>
      </c>
      <c r="F133" s="254"/>
      <c r="G133" s="271">
        <v>70</v>
      </c>
      <c r="H133" s="250"/>
      <c r="I133" s="250"/>
      <c r="J133" s="270">
        <v>5</v>
      </c>
      <c r="K133" s="250"/>
      <c r="L133" s="250"/>
      <c r="M133" s="252"/>
      <c r="N133" s="252"/>
      <c r="O133" s="252"/>
      <c r="P133" s="252"/>
      <c r="Q133" s="1447"/>
    </row>
    <row r="134" spans="1:17" s="3" customFormat="1" ht="25" customHeight="1" x14ac:dyDescent="0.25">
      <c r="A134" s="349" t="s">
        <v>230</v>
      </c>
      <c r="B134" s="349" t="s">
        <v>500</v>
      </c>
      <c r="C134" s="352">
        <v>3</v>
      </c>
      <c r="D134" s="352">
        <v>1</v>
      </c>
      <c r="E134" s="352">
        <v>1</v>
      </c>
      <c r="F134" s="254"/>
      <c r="G134" s="271">
        <v>70</v>
      </c>
      <c r="H134" s="250"/>
      <c r="I134" s="250"/>
      <c r="J134" s="270">
        <v>5</v>
      </c>
      <c r="K134" s="250"/>
      <c r="L134" s="250"/>
      <c r="M134" s="252"/>
      <c r="N134" s="252"/>
      <c r="O134" s="252"/>
      <c r="P134" s="252"/>
      <c r="Q134" s="1447"/>
    </row>
    <row r="135" spans="1:17" s="3" customFormat="1" ht="25" customHeight="1" x14ac:dyDescent="0.25">
      <c r="A135" s="349" t="s">
        <v>231</v>
      </c>
      <c r="B135" s="353" t="s">
        <v>622</v>
      </c>
      <c r="C135" s="352">
        <v>3</v>
      </c>
      <c r="D135" s="352">
        <v>1</v>
      </c>
      <c r="E135" s="352">
        <v>1</v>
      </c>
      <c r="F135" s="259"/>
      <c r="G135" s="259"/>
      <c r="H135" s="259"/>
      <c r="I135" s="246"/>
      <c r="J135" s="246"/>
      <c r="K135" s="246"/>
      <c r="L135" s="252"/>
      <c r="M135" s="252"/>
      <c r="N135" s="252"/>
      <c r="O135" s="252"/>
      <c r="P135" s="252"/>
      <c r="Q135" s="253"/>
    </row>
    <row r="136" spans="1:17" s="3" customFormat="1" ht="25" customHeight="1" x14ac:dyDescent="0.25">
      <c r="A136" s="354" t="s">
        <v>282</v>
      </c>
      <c r="B136" s="353" t="s">
        <v>623</v>
      </c>
      <c r="C136" s="352">
        <v>3</v>
      </c>
      <c r="D136" s="352">
        <v>1</v>
      </c>
      <c r="E136" s="352">
        <v>1</v>
      </c>
      <c r="F136" s="259"/>
      <c r="G136" s="259"/>
      <c r="H136" s="259"/>
      <c r="I136" s="246"/>
      <c r="J136" s="246"/>
      <c r="K136" s="246"/>
      <c r="L136" s="252"/>
      <c r="M136" s="252"/>
      <c r="N136" s="252"/>
      <c r="O136" s="252"/>
      <c r="P136" s="252"/>
      <c r="Q136" s="253"/>
    </row>
    <row r="137" spans="1:17" s="3" customFormat="1" ht="25" customHeight="1" x14ac:dyDescent="0.25">
      <c r="A137" s="354"/>
      <c r="B137" s="353"/>
      <c r="C137" s="352">
        <f>SUM(C130:C136)</f>
        <v>21</v>
      </c>
      <c r="D137" s="352">
        <f>SUM(D130:D136)</f>
        <v>7</v>
      </c>
      <c r="E137" s="352">
        <f>SUM(E130:E136)</f>
        <v>7</v>
      </c>
      <c r="F137" s="254">
        <f t="shared" ref="F137:F145" si="14">I137+J137+K137</f>
        <v>3638.25</v>
      </c>
      <c r="G137" s="271">
        <v>13</v>
      </c>
      <c r="H137" s="249">
        <f>C137*D137*E137*G137</f>
        <v>13377</v>
      </c>
      <c r="I137" s="251">
        <f>IF(G137&lt;70, C137*E137*16.5*1.5, C137*E137*16.5*1.5)</f>
        <v>3638.25</v>
      </c>
      <c r="J137" s="246"/>
      <c r="K137" s="246"/>
      <c r="L137" s="252"/>
      <c r="M137" s="252"/>
      <c r="N137" s="252"/>
      <c r="O137" s="252"/>
      <c r="P137" s="252"/>
      <c r="Q137" s="253"/>
    </row>
    <row r="138" spans="1:17" s="3" customFormat="1" ht="25" customHeight="1" x14ac:dyDescent="0.25">
      <c r="A138" s="359" t="s">
        <v>148</v>
      </c>
      <c r="B138" s="360" t="s">
        <v>470</v>
      </c>
      <c r="C138" s="352"/>
      <c r="D138" s="352"/>
      <c r="E138" s="352"/>
      <c r="F138" s="254">
        <f t="shared" si="14"/>
        <v>0</v>
      </c>
      <c r="G138" s="271">
        <v>13</v>
      </c>
      <c r="H138" s="249">
        <f t="shared" ref="H138:H143" si="15">C138*D138*E138*G138</f>
        <v>0</v>
      </c>
      <c r="I138" s="251">
        <f t="shared" ref="I138:I143" si="16">IF(G138&lt;70, C138*E138*16.5*1.5, C138*E138*16.5*1.5)</f>
        <v>0</v>
      </c>
      <c r="J138" s="246"/>
      <c r="K138" s="246"/>
      <c r="L138" s="252"/>
      <c r="M138" s="252"/>
      <c r="N138" s="252"/>
      <c r="O138" s="252"/>
      <c r="P138" s="252"/>
      <c r="Q138" s="253"/>
    </row>
    <row r="139" spans="1:17" s="3" customFormat="1" ht="25" customHeight="1" x14ac:dyDescent="0.25">
      <c r="A139" s="359"/>
      <c r="B139" s="349" t="s">
        <v>624</v>
      </c>
      <c r="C139" s="352">
        <v>15</v>
      </c>
      <c r="D139" s="352">
        <v>1</v>
      </c>
      <c r="E139" s="352">
        <v>1</v>
      </c>
      <c r="F139" s="254">
        <f t="shared" si="14"/>
        <v>371.25</v>
      </c>
      <c r="G139" s="271">
        <v>13</v>
      </c>
      <c r="H139" s="249">
        <f t="shared" si="15"/>
        <v>195</v>
      </c>
      <c r="I139" s="251">
        <f t="shared" si="16"/>
        <v>371.25</v>
      </c>
      <c r="J139" s="246"/>
      <c r="K139" s="246"/>
      <c r="L139" s="252"/>
      <c r="M139" s="252"/>
      <c r="N139" s="252"/>
      <c r="O139" s="252"/>
      <c r="P139" s="252"/>
      <c r="Q139" s="253"/>
    </row>
    <row r="140" spans="1:17" s="3" customFormat="1" ht="25" customHeight="1" x14ac:dyDescent="0.25">
      <c r="A140" s="354"/>
      <c r="B140" s="361" t="s">
        <v>380</v>
      </c>
      <c r="C140" s="352">
        <f>SUM(C130:C139)</f>
        <v>57</v>
      </c>
      <c r="D140" s="352">
        <f>SUM(D130:D139)</f>
        <v>15</v>
      </c>
      <c r="E140" s="352">
        <f>SUM(E130:E139)</f>
        <v>15</v>
      </c>
      <c r="F140" s="254">
        <f t="shared" si="14"/>
        <v>21161.25</v>
      </c>
      <c r="G140" s="271">
        <v>13</v>
      </c>
      <c r="H140" s="249">
        <f t="shared" si="15"/>
        <v>166725</v>
      </c>
      <c r="I140" s="251">
        <f t="shared" si="16"/>
        <v>21161.25</v>
      </c>
      <c r="J140" s="246"/>
      <c r="K140" s="246"/>
      <c r="L140" s="252"/>
      <c r="M140" s="252"/>
      <c r="N140" s="252"/>
      <c r="O140" s="252"/>
      <c r="P140" s="252"/>
      <c r="Q140" s="253"/>
    </row>
    <row r="141" spans="1:17" s="3" customFormat="1" ht="25" customHeight="1" x14ac:dyDescent="0.25">
      <c r="A141" s="355">
        <v>1</v>
      </c>
      <c r="B141" s="357" t="s">
        <v>225</v>
      </c>
      <c r="C141" s="352"/>
      <c r="D141" s="352"/>
      <c r="E141" s="352"/>
      <c r="F141" s="254">
        <f t="shared" si="14"/>
        <v>0</v>
      </c>
      <c r="G141" s="271">
        <v>13</v>
      </c>
      <c r="H141" s="249">
        <f>C141*D141*E141*G141</f>
        <v>0</v>
      </c>
      <c r="I141" s="251">
        <f t="shared" si="16"/>
        <v>0</v>
      </c>
      <c r="J141" s="246"/>
      <c r="K141" s="246"/>
      <c r="L141" s="252"/>
      <c r="M141" s="252"/>
      <c r="N141" s="252"/>
      <c r="O141" s="252"/>
      <c r="P141" s="252"/>
      <c r="Q141" s="253"/>
    </row>
    <row r="142" spans="1:17" s="3" customFormat="1" ht="25" customHeight="1" x14ac:dyDescent="0.25">
      <c r="A142" s="355" t="s">
        <v>381</v>
      </c>
      <c r="B142" s="357" t="s">
        <v>163</v>
      </c>
      <c r="C142" s="352"/>
      <c r="D142" s="352"/>
      <c r="E142" s="352"/>
      <c r="F142" s="254">
        <f t="shared" si="14"/>
        <v>0</v>
      </c>
      <c r="G142" s="271">
        <v>13</v>
      </c>
      <c r="H142" s="249">
        <f t="shared" si="15"/>
        <v>0</v>
      </c>
      <c r="I142" s="251">
        <f t="shared" si="16"/>
        <v>0</v>
      </c>
      <c r="J142" s="246"/>
      <c r="K142" s="246"/>
      <c r="L142" s="252"/>
      <c r="M142" s="252"/>
      <c r="N142" s="252"/>
      <c r="O142" s="252"/>
      <c r="P142" s="252"/>
      <c r="Q142" s="253"/>
    </row>
    <row r="143" spans="1:17" s="3" customFormat="1" ht="25" customHeight="1" x14ac:dyDescent="0.25">
      <c r="A143" s="354" t="s">
        <v>228</v>
      </c>
      <c r="B143" s="350" t="s">
        <v>625</v>
      </c>
      <c r="C143" s="352">
        <v>3</v>
      </c>
      <c r="D143" s="352">
        <v>1</v>
      </c>
      <c r="E143" s="352">
        <v>7</v>
      </c>
      <c r="F143" s="254">
        <f t="shared" si="14"/>
        <v>519.75</v>
      </c>
      <c r="G143" s="271">
        <v>13</v>
      </c>
      <c r="H143" s="249">
        <f t="shared" si="15"/>
        <v>273</v>
      </c>
      <c r="I143" s="251">
        <f t="shared" si="16"/>
        <v>519.75</v>
      </c>
      <c r="J143" s="246"/>
      <c r="K143" s="246"/>
      <c r="L143" s="252"/>
      <c r="M143" s="252"/>
      <c r="N143" s="252"/>
      <c r="O143" s="252"/>
      <c r="P143" s="252"/>
      <c r="Q143" s="253"/>
    </row>
    <row r="144" spans="1:17" s="3" customFormat="1" ht="25" customHeight="1" x14ac:dyDescent="0.25">
      <c r="A144" s="354" t="s">
        <v>229</v>
      </c>
      <c r="B144" s="350" t="s">
        <v>626</v>
      </c>
      <c r="C144" s="352">
        <v>3</v>
      </c>
      <c r="D144" s="352">
        <v>1</v>
      </c>
      <c r="E144" s="352">
        <v>7</v>
      </c>
      <c r="F144" s="259"/>
      <c r="G144" s="259"/>
      <c r="H144" s="259"/>
      <c r="I144" s="275"/>
      <c r="J144" s="275"/>
      <c r="K144" s="246"/>
      <c r="L144" s="252"/>
      <c r="M144" s="252"/>
      <c r="N144" s="252"/>
      <c r="O144" s="252"/>
      <c r="P144" s="252"/>
      <c r="Q144" s="253"/>
    </row>
    <row r="145" spans="1:17" s="3" customFormat="1" ht="25" customHeight="1" x14ac:dyDescent="0.25">
      <c r="A145" s="354" t="s">
        <v>230</v>
      </c>
      <c r="B145" s="350" t="s">
        <v>627</v>
      </c>
      <c r="C145" s="352">
        <v>2</v>
      </c>
      <c r="D145" s="352">
        <v>1</v>
      </c>
      <c r="E145" s="352">
        <v>10</v>
      </c>
      <c r="F145" s="254">
        <f t="shared" si="14"/>
        <v>14700</v>
      </c>
      <c r="G145" s="259">
        <v>42</v>
      </c>
      <c r="H145" s="249">
        <f>C145*D145*E145*G145</f>
        <v>840</v>
      </c>
      <c r="I145" s="251">
        <f>E145*G145*35</f>
        <v>14700</v>
      </c>
      <c r="J145" s="275"/>
      <c r="K145" s="246"/>
      <c r="L145" s="252"/>
      <c r="M145" s="252"/>
      <c r="N145" s="252"/>
      <c r="O145" s="252"/>
      <c r="P145" s="252"/>
      <c r="Q145" s="253"/>
    </row>
    <row r="146" spans="1:17" s="3" customFormat="1" ht="25" customHeight="1" x14ac:dyDescent="0.25">
      <c r="A146" s="354" t="s">
        <v>231</v>
      </c>
      <c r="B146" s="350" t="s">
        <v>628</v>
      </c>
      <c r="C146" s="352">
        <v>3</v>
      </c>
      <c r="D146" s="352">
        <v>1</v>
      </c>
      <c r="E146" s="352">
        <v>16</v>
      </c>
      <c r="F146" s="259">
        <f>SUM(F137:F145)</f>
        <v>40390.5</v>
      </c>
      <c r="G146" s="276">
        <f>SUM(G137:G145)</f>
        <v>133</v>
      </c>
      <c r="H146" s="276">
        <f>SUM(H137:H145)</f>
        <v>181410</v>
      </c>
      <c r="I146" s="276">
        <f>SUM(I137:I145)</f>
        <v>40390.5</v>
      </c>
      <c r="J146" s="246">
        <v>0</v>
      </c>
      <c r="K146" s="246">
        <v>0</v>
      </c>
      <c r="L146" s="252"/>
      <c r="M146" s="252"/>
      <c r="N146" s="252"/>
      <c r="O146" s="252"/>
      <c r="P146" s="252"/>
      <c r="Q146" s="253"/>
    </row>
    <row r="147" spans="1:17" s="3" customFormat="1" ht="25" customHeight="1" x14ac:dyDescent="0.25">
      <c r="A147" s="354" t="s">
        <v>282</v>
      </c>
      <c r="B147" s="350" t="s">
        <v>629</v>
      </c>
      <c r="C147" s="352">
        <v>2</v>
      </c>
      <c r="D147" s="352">
        <v>1</v>
      </c>
      <c r="E147" s="352">
        <v>10</v>
      </c>
      <c r="F147" s="259"/>
      <c r="G147" s="259"/>
      <c r="H147" s="259"/>
      <c r="I147" s="275"/>
      <c r="J147" s="252"/>
      <c r="K147" s="252"/>
      <c r="L147" s="252"/>
      <c r="M147" s="252"/>
      <c r="N147" s="252"/>
      <c r="O147" s="252"/>
      <c r="P147" s="252"/>
      <c r="Q147" s="253"/>
    </row>
    <row r="148" spans="1:17" s="3" customFormat="1" ht="25" customHeight="1" x14ac:dyDescent="0.25">
      <c r="A148" s="354" t="s">
        <v>284</v>
      </c>
      <c r="B148" s="353" t="s">
        <v>630</v>
      </c>
      <c r="C148" s="352">
        <v>3</v>
      </c>
      <c r="D148" s="352">
        <v>1</v>
      </c>
      <c r="E148" s="352">
        <v>10</v>
      </c>
      <c r="F148" s="259"/>
      <c r="G148" s="259"/>
      <c r="H148" s="259"/>
      <c r="I148" s="275"/>
      <c r="J148" s="252"/>
      <c r="K148" s="252"/>
      <c r="L148" s="252"/>
      <c r="M148" s="252"/>
      <c r="N148" s="252"/>
      <c r="O148" s="252"/>
      <c r="P148" s="252"/>
      <c r="Q148" s="253"/>
    </row>
    <row r="149" spans="1:17" s="3" customFormat="1" ht="25" customHeight="1" x14ac:dyDescent="0.25">
      <c r="A149" s="354" t="s">
        <v>286</v>
      </c>
      <c r="B149" s="349" t="s">
        <v>631</v>
      </c>
      <c r="C149" s="352">
        <v>3</v>
      </c>
      <c r="D149" s="352">
        <v>1</v>
      </c>
      <c r="E149" s="352">
        <v>10</v>
      </c>
      <c r="F149" s="254">
        <f t="shared" ref="F149:F163" si="17">I149+J149+K149</f>
        <v>643.5</v>
      </c>
      <c r="G149" s="271">
        <v>70</v>
      </c>
      <c r="H149" s="249">
        <f t="shared" ref="H149:H163" si="18">C149*D149*E149*G149</f>
        <v>2100</v>
      </c>
      <c r="I149" s="251">
        <f>IF(G149&lt;70, C149*E149*16.5*1, C149*E149*16.5*1.3)</f>
        <v>643.5</v>
      </c>
      <c r="J149" s="252"/>
      <c r="K149" s="252"/>
      <c r="L149" s="252"/>
      <c r="M149" s="252"/>
      <c r="N149" s="252"/>
      <c r="O149" s="252"/>
      <c r="P149" s="252"/>
      <c r="Q149" s="253"/>
    </row>
    <row r="150" spans="1:17" s="3" customFormat="1" ht="25" customHeight="1" x14ac:dyDescent="0.25">
      <c r="A150" s="354" t="s">
        <v>289</v>
      </c>
      <c r="B150" s="349" t="s">
        <v>388</v>
      </c>
      <c r="C150" s="352">
        <v>3</v>
      </c>
      <c r="D150" s="352">
        <v>1</v>
      </c>
      <c r="E150" s="352">
        <v>16</v>
      </c>
      <c r="F150" s="254">
        <f t="shared" si="17"/>
        <v>1029.6000000000001</v>
      </c>
      <c r="G150" s="271">
        <v>70</v>
      </c>
      <c r="H150" s="249">
        <f t="shared" si="18"/>
        <v>3360</v>
      </c>
      <c r="I150" s="251">
        <f t="shared" ref="I150:I163" si="19">IF(G150&lt;70, C150*E150*16.5*1, C150*E150*16.5*1.3)</f>
        <v>1029.6000000000001</v>
      </c>
      <c r="J150" s="252"/>
      <c r="K150" s="252"/>
      <c r="L150" s="252"/>
      <c r="M150" s="252"/>
      <c r="N150" s="252"/>
      <c r="O150" s="252"/>
      <c r="P150" s="252"/>
      <c r="Q150" s="253"/>
    </row>
    <row r="151" spans="1:17" s="3" customFormat="1" ht="25" customHeight="1" x14ac:dyDescent="0.25">
      <c r="A151" s="354" t="s">
        <v>290</v>
      </c>
      <c r="B151" s="349" t="s">
        <v>632</v>
      </c>
      <c r="C151" s="352">
        <v>4</v>
      </c>
      <c r="D151" s="352">
        <v>1</v>
      </c>
      <c r="E151" s="352">
        <v>10</v>
      </c>
      <c r="F151" s="254">
        <f t="shared" si="17"/>
        <v>858</v>
      </c>
      <c r="G151" s="271">
        <v>70</v>
      </c>
      <c r="H151" s="249">
        <f t="shared" si="18"/>
        <v>2800</v>
      </c>
      <c r="I151" s="251">
        <f t="shared" si="19"/>
        <v>858</v>
      </c>
      <c r="J151" s="252"/>
      <c r="K151" s="252"/>
      <c r="L151" s="252"/>
      <c r="M151" s="252"/>
      <c r="N151" s="252"/>
      <c r="O151" s="252"/>
      <c r="P151" s="252"/>
      <c r="Q151" s="253"/>
    </row>
    <row r="152" spans="1:17" s="3" customFormat="1" ht="25" customHeight="1" x14ac:dyDescent="0.25">
      <c r="A152" s="354" t="s">
        <v>291</v>
      </c>
      <c r="B152" s="349" t="s">
        <v>633</v>
      </c>
      <c r="C152" s="352">
        <v>4</v>
      </c>
      <c r="D152" s="352">
        <v>1</v>
      </c>
      <c r="E152" s="352">
        <v>8</v>
      </c>
      <c r="F152" s="254">
        <f t="shared" si="17"/>
        <v>686.4</v>
      </c>
      <c r="G152" s="271">
        <v>70</v>
      </c>
      <c r="H152" s="249">
        <f t="shared" si="18"/>
        <v>2240</v>
      </c>
      <c r="I152" s="251">
        <f t="shared" si="19"/>
        <v>686.4</v>
      </c>
      <c r="J152" s="252"/>
      <c r="K152" s="252"/>
      <c r="L152" s="252"/>
      <c r="M152" s="252"/>
      <c r="N152" s="252"/>
      <c r="O152" s="252"/>
      <c r="P152" s="252"/>
      <c r="Q152" s="253"/>
    </row>
    <row r="153" spans="1:17" s="3" customFormat="1" ht="25" customHeight="1" x14ac:dyDescent="0.25">
      <c r="A153" s="354" t="s">
        <v>292</v>
      </c>
      <c r="B153" s="349" t="s">
        <v>634</v>
      </c>
      <c r="C153" s="352">
        <v>4</v>
      </c>
      <c r="D153" s="352">
        <v>1</v>
      </c>
      <c r="E153" s="352">
        <v>8</v>
      </c>
      <c r="F153" s="254">
        <f t="shared" si="17"/>
        <v>686.4</v>
      </c>
      <c r="G153" s="271">
        <v>70</v>
      </c>
      <c r="H153" s="249">
        <f t="shared" si="18"/>
        <v>2240</v>
      </c>
      <c r="I153" s="251">
        <f t="shared" si="19"/>
        <v>686.4</v>
      </c>
      <c r="J153" s="270"/>
      <c r="K153" s="270"/>
      <c r="L153" s="270"/>
      <c r="M153" s="270"/>
      <c r="N153" s="270"/>
      <c r="O153" s="270"/>
      <c r="P153" s="270"/>
      <c r="Q153" s="254"/>
    </row>
    <row r="154" spans="1:17" s="3" customFormat="1" ht="25" customHeight="1" x14ac:dyDescent="0.25">
      <c r="A154" s="274" t="s">
        <v>231</v>
      </c>
      <c r="B154" s="277" t="s">
        <v>382</v>
      </c>
      <c r="C154" s="271">
        <v>4</v>
      </c>
      <c r="D154" s="271">
        <v>1</v>
      </c>
      <c r="E154" s="271">
        <v>16</v>
      </c>
      <c r="F154" s="254">
        <f t="shared" si="17"/>
        <v>1372.8</v>
      </c>
      <c r="G154" s="271">
        <v>70</v>
      </c>
      <c r="H154" s="249">
        <f t="shared" si="18"/>
        <v>4480</v>
      </c>
      <c r="I154" s="251">
        <f t="shared" si="19"/>
        <v>1372.8</v>
      </c>
      <c r="J154" s="270"/>
      <c r="K154" s="270"/>
      <c r="L154" s="270"/>
      <c r="M154" s="270"/>
      <c r="N154" s="270"/>
      <c r="O154" s="270"/>
      <c r="P154" s="270"/>
      <c r="Q154" s="254"/>
    </row>
    <row r="155" spans="1:17" s="3" customFormat="1" ht="25" customHeight="1" x14ac:dyDescent="0.25">
      <c r="A155" s="274" t="s">
        <v>282</v>
      </c>
      <c r="B155" s="277" t="s">
        <v>383</v>
      </c>
      <c r="C155" s="271">
        <v>2</v>
      </c>
      <c r="D155" s="271">
        <v>1</v>
      </c>
      <c r="E155" s="271">
        <v>16</v>
      </c>
      <c r="F155" s="254">
        <f t="shared" si="17"/>
        <v>686.4</v>
      </c>
      <c r="G155" s="271">
        <v>80</v>
      </c>
      <c r="H155" s="249">
        <f t="shared" si="18"/>
        <v>2560</v>
      </c>
      <c r="I155" s="251">
        <f t="shared" si="19"/>
        <v>686.4</v>
      </c>
      <c r="J155" s="270"/>
      <c r="K155" s="270"/>
      <c r="L155" s="270"/>
      <c r="M155" s="270"/>
      <c r="N155" s="270"/>
      <c r="O155" s="270"/>
      <c r="P155" s="270"/>
      <c r="Q155" s="254"/>
    </row>
    <row r="156" spans="1:17" s="3" customFormat="1" ht="25" customHeight="1" x14ac:dyDescent="0.25">
      <c r="A156" s="274" t="s">
        <v>283</v>
      </c>
      <c r="B156" s="277" t="s">
        <v>384</v>
      </c>
      <c r="C156" s="271">
        <v>4</v>
      </c>
      <c r="D156" s="271">
        <v>1</v>
      </c>
      <c r="E156" s="271">
        <v>16</v>
      </c>
      <c r="F156" s="254">
        <f t="shared" si="17"/>
        <v>1372.8</v>
      </c>
      <c r="G156" s="271">
        <v>70</v>
      </c>
      <c r="H156" s="249">
        <f t="shared" si="18"/>
        <v>4480</v>
      </c>
      <c r="I156" s="251">
        <f t="shared" si="19"/>
        <v>1372.8</v>
      </c>
      <c r="J156" s="270"/>
      <c r="K156" s="270"/>
      <c r="L156" s="270"/>
      <c r="M156" s="270"/>
      <c r="N156" s="270"/>
      <c r="O156" s="270"/>
      <c r="P156" s="270"/>
      <c r="Q156" s="254"/>
    </row>
    <row r="157" spans="1:17" s="3" customFormat="1" ht="25" customHeight="1" x14ac:dyDescent="0.25">
      <c r="A157" s="274" t="s">
        <v>284</v>
      </c>
      <c r="B157" s="273" t="s">
        <v>385</v>
      </c>
      <c r="C157" s="271">
        <v>3</v>
      </c>
      <c r="D157" s="271">
        <v>1</v>
      </c>
      <c r="E157" s="271">
        <v>16</v>
      </c>
      <c r="F157" s="254">
        <f t="shared" si="17"/>
        <v>1029.6000000000001</v>
      </c>
      <c r="G157" s="271">
        <v>70</v>
      </c>
      <c r="H157" s="249">
        <f t="shared" si="18"/>
        <v>3360</v>
      </c>
      <c r="I157" s="251">
        <f t="shared" si="19"/>
        <v>1029.6000000000001</v>
      </c>
      <c r="J157" s="270"/>
      <c r="K157" s="270"/>
      <c r="L157" s="270"/>
      <c r="M157" s="270"/>
      <c r="N157" s="270"/>
      <c r="O157" s="270"/>
      <c r="P157" s="270"/>
      <c r="Q157" s="254"/>
    </row>
    <row r="158" spans="1:17" s="3" customFormat="1" ht="25" customHeight="1" x14ac:dyDescent="0.25">
      <c r="A158" s="274" t="s">
        <v>285</v>
      </c>
      <c r="B158" s="273" t="s">
        <v>386</v>
      </c>
      <c r="C158" s="271">
        <v>3</v>
      </c>
      <c r="D158" s="271">
        <v>1</v>
      </c>
      <c r="E158" s="271">
        <v>16</v>
      </c>
      <c r="F158" s="254">
        <f t="shared" si="17"/>
        <v>1029.6000000000001</v>
      </c>
      <c r="G158" s="271">
        <v>70</v>
      </c>
      <c r="H158" s="249">
        <f t="shared" si="18"/>
        <v>3360</v>
      </c>
      <c r="I158" s="251">
        <f t="shared" si="19"/>
        <v>1029.6000000000001</v>
      </c>
      <c r="J158" s="270"/>
      <c r="K158" s="270"/>
      <c r="L158" s="270"/>
      <c r="M158" s="270"/>
      <c r="N158" s="270"/>
      <c r="O158" s="270"/>
      <c r="P158" s="270"/>
      <c r="Q158" s="254"/>
    </row>
    <row r="159" spans="1:17" s="3" customFormat="1" ht="25" customHeight="1" x14ac:dyDescent="0.25">
      <c r="A159" s="274" t="s">
        <v>286</v>
      </c>
      <c r="B159" s="272" t="s">
        <v>387</v>
      </c>
      <c r="C159" s="271">
        <v>3</v>
      </c>
      <c r="D159" s="271">
        <v>1</v>
      </c>
      <c r="E159" s="271">
        <v>16</v>
      </c>
      <c r="F159" s="254">
        <f t="shared" si="17"/>
        <v>1029.6000000000001</v>
      </c>
      <c r="G159" s="271">
        <v>70</v>
      </c>
      <c r="H159" s="249">
        <f t="shared" si="18"/>
        <v>3360</v>
      </c>
      <c r="I159" s="251">
        <f t="shared" si="19"/>
        <v>1029.6000000000001</v>
      </c>
      <c r="J159" s="270"/>
      <c r="K159" s="270"/>
      <c r="L159" s="270"/>
      <c r="M159" s="270"/>
      <c r="N159" s="270"/>
      <c r="O159" s="270"/>
      <c r="P159" s="270"/>
      <c r="Q159" s="254"/>
    </row>
    <row r="160" spans="1:17" s="3" customFormat="1" ht="25" customHeight="1" x14ac:dyDescent="0.25">
      <c r="A160" s="274" t="s">
        <v>289</v>
      </c>
      <c r="B160" s="272" t="s">
        <v>388</v>
      </c>
      <c r="C160" s="271">
        <v>3</v>
      </c>
      <c r="D160" s="271">
        <v>1</v>
      </c>
      <c r="E160" s="271">
        <v>16</v>
      </c>
      <c r="F160" s="254">
        <f t="shared" si="17"/>
        <v>1029.6000000000001</v>
      </c>
      <c r="G160" s="271">
        <v>70</v>
      </c>
      <c r="H160" s="249">
        <f t="shared" si="18"/>
        <v>3360</v>
      </c>
      <c r="I160" s="251">
        <f t="shared" si="19"/>
        <v>1029.6000000000001</v>
      </c>
      <c r="J160" s="270"/>
      <c r="K160" s="270"/>
      <c r="L160" s="270"/>
      <c r="M160" s="270"/>
      <c r="N160" s="270"/>
      <c r="O160" s="270"/>
      <c r="P160" s="270"/>
      <c r="Q160" s="254"/>
    </row>
    <row r="161" spans="1:17" s="3" customFormat="1" ht="25" customHeight="1" x14ac:dyDescent="0.25">
      <c r="A161" s="274" t="s">
        <v>290</v>
      </c>
      <c r="B161" s="272" t="s">
        <v>389</v>
      </c>
      <c r="C161" s="271">
        <v>4</v>
      </c>
      <c r="D161" s="271">
        <v>1</v>
      </c>
      <c r="E161" s="271">
        <v>10</v>
      </c>
      <c r="F161" s="254">
        <f t="shared" si="17"/>
        <v>858</v>
      </c>
      <c r="G161" s="271">
        <v>70</v>
      </c>
      <c r="H161" s="249">
        <f t="shared" si="18"/>
        <v>2800</v>
      </c>
      <c r="I161" s="251">
        <f t="shared" si="19"/>
        <v>858</v>
      </c>
      <c r="J161" s="270"/>
      <c r="K161" s="270"/>
      <c r="L161" s="270"/>
      <c r="M161" s="270"/>
      <c r="N161" s="270"/>
      <c r="O161" s="270"/>
      <c r="P161" s="270"/>
      <c r="Q161" s="254"/>
    </row>
    <row r="162" spans="1:17" s="3" customFormat="1" ht="25" customHeight="1" x14ac:dyDescent="0.25">
      <c r="A162" s="274" t="s">
        <v>291</v>
      </c>
      <c r="B162" s="272" t="s">
        <v>390</v>
      </c>
      <c r="C162" s="271">
        <v>4</v>
      </c>
      <c r="D162" s="271">
        <v>1</v>
      </c>
      <c r="E162" s="271">
        <v>13</v>
      </c>
      <c r="F162" s="254">
        <f t="shared" si="17"/>
        <v>1115.4000000000001</v>
      </c>
      <c r="G162" s="271">
        <v>70</v>
      </c>
      <c r="H162" s="249">
        <f t="shared" si="18"/>
        <v>3640</v>
      </c>
      <c r="I162" s="251">
        <f t="shared" si="19"/>
        <v>1115.4000000000001</v>
      </c>
      <c r="J162" s="270"/>
      <c r="K162" s="270"/>
      <c r="L162" s="270"/>
      <c r="M162" s="270"/>
      <c r="N162" s="270"/>
      <c r="O162" s="270"/>
      <c r="P162" s="270"/>
      <c r="Q162" s="254"/>
    </row>
    <row r="163" spans="1:17" s="3" customFormat="1" ht="25" customHeight="1" x14ac:dyDescent="0.25">
      <c r="A163" s="274" t="s">
        <v>292</v>
      </c>
      <c r="B163" s="272" t="s">
        <v>391</v>
      </c>
      <c r="C163" s="271">
        <v>4</v>
      </c>
      <c r="D163" s="271">
        <v>1</v>
      </c>
      <c r="E163" s="271">
        <v>16</v>
      </c>
      <c r="F163" s="254">
        <f t="shared" si="17"/>
        <v>1372.8</v>
      </c>
      <c r="G163" s="271">
        <v>70</v>
      </c>
      <c r="H163" s="249">
        <f t="shared" si="18"/>
        <v>4480</v>
      </c>
      <c r="I163" s="251">
        <f t="shared" si="19"/>
        <v>1372.8</v>
      </c>
      <c r="J163" s="270"/>
      <c r="K163" s="270"/>
      <c r="L163" s="270"/>
      <c r="M163" s="270"/>
      <c r="N163" s="270"/>
      <c r="O163" s="270"/>
      <c r="P163" s="270"/>
      <c r="Q163" s="254"/>
    </row>
    <row r="164" spans="1:17" s="3" customFormat="1" ht="25" customHeight="1" x14ac:dyDescent="0.25">
      <c r="A164" s="274"/>
      <c r="B164" s="278" t="s">
        <v>392</v>
      </c>
      <c r="C164" s="279">
        <f>SUM(C149:C163)</f>
        <v>52</v>
      </c>
      <c r="D164" s="279">
        <f t="shared" ref="D164:K164" si="20">SUM(D149:D163)</f>
        <v>15</v>
      </c>
      <c r="E164" s="279">
        <f t="shared" si="20"/>
        <v>203</v>
      </c>
      <c r="F164" s="271">
        <f t="shared" si="20"/>
        <v>14800.5</v>
      </c>
      <c r="G164" s="279">
        <f t="shared" si="20"/>
        <v>1060</v>
      </c>
      <c r="H164" s="279">
        <f t="shared" si="20"/>
        <v>48620</v>
      </c>
      <c r="I164" s="279">
        <f t="shared" si="20"/>
        <v>14800.5</v>
      </c>
      <c r="J164" s="279">
        <f t="shared" si="20"/>
        <v>0</v>
      </c>
      <c r="K164" s="279">
        <f t="shared" si="20"/>
        <v>0</v>
      </c>
      <c r="L164" s="270"/>
      <c r="M164" s="270"/>
      <c r="N164" s="270"/>
      <c r="O164" s="270"/>
      <c r="P164" s="270"/>
      <c r="Q164" s="254"/>
    </row>
    <row r="165" spans="1:17" s="3" customFormat="1" ht="25" customHeight="1" x14ac:dyDescent="0.25">
      <c r="A165" s="280"/>
      <c r="B165" s="281" t="s">
        <v>393</v>
      </c>
      <c r="C165" s="282">
        <f t="shared" ref="C165:K165" si="21">C126+C164+C146</f>
        <v>55</v>
      </c>
      <c r="D165" s="282">
        <f t="shared" si="21"/>
        <v>16</v>
      </c>
      <c r="E165" s="282">
        <f t="shared" si="21"/>
        <v>219</v>
      </c>
      <c r="F165" s="317">
        <f t="shared" si="21"/>
        <v>59096.850000000006</v>
      </c>
      <c r="G165" s="282">
        <f t="shared" si="21"/>
        <v>2512</v>
      </c>
      <c r="H165" s="282">
        <f t="shared" si="21"/>
        <v>242109.56</v>
      </c>
      <c r="I165" s="282">
        <f t="shared" si="21"/>
        <v>58898.850000000006</v>
      </c>
      <c r="J165" s="282">
        <f t="shared" si="21"/>
        <v>198</v>
      </c>
      <c r="K165" s="282">
        <f t="shared" si="21"/>
        <v>0</v>
      </c>
      <c r="L165" s="264">
        <f>'Bieu3 GDMN'!F25</f>
        <v>2700</v>
      </c>
      <c r="M165" s="264">
        <f>'Bieu3 GDMN'!N25</f>
        <v>2376</v>
      </c>
      <c r="N165" s="263">
        <f>I165-M165</f>
        <v>56522.850000000006</v>
      </c>
      <c r="O165" s="264">
        <f>'Bieu3 GDMN'!O25</f>
        <v>1709.75</v>
      </c>
      <c r="P165" s="264">
        <f>'Bieu3 GDMN'!P25</f>
        <v>960</v>
      </c>
      <c r="Q165" s="265"/>
    </row>
    <row r="166" spans="1:17" s="3" customFormat="1" ht="25" customHeight="1" x14ac:dyDescent="0.25">
      <c r="A166" s="283"/>
      <c r="B166" s="284"/>
      <c r="C166" s="257"/>
      <c r="D166" s="257"/>
      <c r="E166" s="257"/>
      <c r="F166" s="257"/>
      <c r="G166" s="257"/>
      <c r="H166" s="257"/>
      <c r="I166" s="285"/>
      <c r="J166" s="252"/>
      <c r="K166" s="252"/>
      <c r="L166" s="252"/>
      <c r="M166" s="252"/>
      <c r="N166" s="252"/>
      <c r="O166" s="252"/>
      <c r="P166" s="252"/>
      <c r="Q166" s="253"/>
    </row>
    <row r="167" spans="1:17" s="3" customFormat="1" ht="25" customHeight="1" x14ac:dyDescent="0.25">
      <c r="A167" s="286" t="s">
        <v>422</v>
      </c>
      <c r="B167" s="286" t="s">
        <v>423</v>
      </c>
      <c r="C167" s="287"/>
      <c r="D167" s="287"/>
      <c r="E167" s="287"/>
      <c r="F167" s="318"/>
      <c r="G167" s="287"/>
      <c r="H167" s="257"/>
      <c r="I167" s="285"/>
      <c r="J167" s="252"/>
      <c r="K167" s="252"/>
      <c r="L167" s="252"/>
      <c r="M167" s="252"/>
      <c r="N167" s="252"/>
      <c r="O167" s="252"/>
      <c r="P167" s="252"/>
      <c r="Q167" s="253"/>
    </row>
    <row r="168" spans="1:17" s="3" customFormat="1" ht="25" customHeight="1" x14ac:dyDescent="0.25">
      <c r="A168" s="288" t="s">
        <v>7</v>
      </c>
      <c r="B168" s="288" t="s">
        <v>223</v>
      </c>
      <c r="C168" s="287"/>
      <c r="D168" s="287"/>
      <c r="E168" s="287"/>
      <c r="F168" s="318"/>
      <c r="G168" s="287"/>
      <c r="H168" s="257"/>
      <c r="I168" s="285"/>
      <c r="J168" s="252"/>
      <c r="K168" s="252"/>
      <c r="L168" s="252"/>
      <c r="M168" s="252"/>
      <c r="N168" s="252"/>
      <c r="O168" s="252"/>
      <c r="P168" s="252"/>
      <c r="Q168" s="253"/>
    </row>
    <row r="169" spans="1:17" s="3" customFormat="1" ht="25" customHeight="1" x14ac:dyDescent="0.25">
      <c r="A169" s="288">
        <v>1</v>
      </c>
      <c r="B169" s="288" t="s">
        <v>4</v>
      </c>
      <c r="C169" s="287"/>
      <c r="D169" s="287"/>
      <c r="E169" s="287"/>
      <c r="F169" s="318"/>
      <c r="G169" s="287"/>
      <c r="H169" s="257"/>
      <c r="I169" s="285"/>
      <c r="J169" s="252"/>
      <c r="K169" s="252"/>
      <c r="L169" s="252"/>
      <c r="M169" s="252"/>
      <c r="N169" s="252"/>
      <c r="O169" s="252"/>
      <c r="P169" s="252"/>
      <c r="Q169" s="253"/>
    </row>
    <row r="170" spans="1:17" s="3" customFormat="1" ht="25" customHeight="1" x14ac:dyDescent="0.25">
      <c r="A170" s="289" t="s">
        <v>147</v>
      </c>
      <c r="B170" s="290" t="s">
        <v>161</v>
      </c>
      <c r="C170" s="291"/>
      <c r="D170" s="291"/>
      <c r="E170" s="291"/>
      <c r="F170" s="295"/>
      <c r="G170" s="291"/>
      <c r="H170" s="257"/>
      <c r="I170" s="285"/>
      <c r="J170" s="252"/>
      <c r="K170" s="252"/>
      <c r="L170" s="252"/>
      <c r="M170" s="252"/>
      <c r="N170" s="252"/>
      <c r="O170" s="252"/>
      <c r="P170" s="252"/>
      <c r="Q170" s="253"/>
    </row>
    <row r="171" spans="1:17" s="3" customFormat="1" ht="25" customHeight="1" x14ac:dyDescent="0.25">
      <c r="A171" s="349" t="s">
        <v>226</v>
      </c>
      <c r="B171" s="350" t="s">
        <v>680</v>
      </c>
      <c r="C171" s="421">
        <v>4</v>
      </c>
      <c r="D171" s="351">
        <v>1</v>
      </c>
      <c r="E171" s="421">
        <v>13</v>
      </c>
      <c r="F171" s="254">
        <f t="shared" ref="F171:F184" si="22">I171+J171+K171</f>
        <v>858</v>
      </c>
      <c r="G171" s="292">
        <v>50</v>
      </c>
      <c r="H171" s="249">
        <f>C171*D171*E171*G171</f>
        <v>2600</v>
      </c>
      <c r="I171" s="251">
        <f>IF(G171&lt;70, C171*E171*16.5*1, C171*E171*16.5*1.3)</f>
        <v>858</v>
      </c>
      <c r="J171" s="252"/>
      <c r="K171" s="252"/>
      <c r="L171" s="252"/>
      <c r="M171" s="252"/>
      <c r="N171" s="252"/>
      <c r="O171" s="252"/>
      <c r="P171" s="252"/>
      <c r="Q171" s="253"/>
    </row>
    <row r="172" spans="1:17" s="3" customFormat="1" ht="25" customHeight="1" x14ac:dyDescent="0.25">
      <c r="A172" s="349" t="s">
        <v>227</v>
      </c>
      <c r="B172" s="350" t="s">
        <v>681</v>
      </c>
      <c r="C172" s="372">
        <v>3</v>
      </c>
      <c r="D172" s="352">
        <v>1</v>
      </c>
      <c r="E172" s="372">
        <v>7</v>
      </c>
      <c r="F172" s="254">
        <f t="shared" si="22"/>
        <v>450.45</v>
      </c>
      <c r="G172" s="293">
        <v>70</v>
      </c>
      <c r="H172" s="249">
        <f t="shared" ref="H172:H184" si="23">C172*D172*E172*G172</f>
        <v>1470</v>
      </c>
      <c r="I172" s="251">
        <f t="shared" ref="I172:I182" si="24">IF(G172&lt;70, C172*E172*16.5*1, C172*E172*16.5*1.3)</f>
        <v>450.45</v>
      </c>
      <c r="J172" s="252"/>
      <c r="K172" s="252"/>
      <c r="L172" s="252"/>
      <c r="M172" s="252"/>
      <c r="N172" s="252"/>
      <c r="O172" s="252"/>
      <c r="P172" s="252"/>
      <c r="Q172" s="253"/>
    </row>
    <row r="173" spans="1:17" s="3" customFormat="1" ht="25" customHeight="1" x14ac:dyDescent="0.25">
      <c r="A173" s="349" t="s">
        <v>229</v>
      </c>
      <c r="B173" s="350" t="s">
        <v>682</v>
      </c>
      <c r="C173" s="372">
        <v>5</v>
      </c>
      <c r="D173" s="352">
        <v>1</v>
      </c>
      <c r="E173" s="372">
        <v>6</v>
      </c>
      <c r="F173" s="254">
        <f t="shared" si="22"/>
        <v>643.5</v>
      </c>
      <c r="G173" s="293">
        <v>70</v>
      </c>
      <c r="H173" s="249">
        <f t="shared" si="23"/>
        <v>2100</v>
      </c>
      <c r="I173" s="251">
        <f t="shared" si="24"/>
        <v>643.5</v>
      </c>
      <c r="J173" s="252"/>
      <c r="K173" s="252"/>
      <c r="L173" s="252"/>
      <c r="M173" s="252"/>
      <c r="N173" s="252"/>
      <c r="O173" s="252"/>
      <c r="P173" s="252"/>
      <c r="Q173" s="253"/>
    </row>
    <row r="174" spans="1:17" s="3" customFormat="1" ht="25" customHeight="1" x14ac:dyDescent="0.25">
      <c r="A174" s="349" t="s">
        <v>230</v>
      </c>
      <c r="B174" s="350" t="s">
        <v>683</v>
      </c>
      <c r="C174" s="372">
        <v>2</v>
      </c>
      <c r="D174" s="352">
        <v>1</v>
      </c>
      <c r="E174" s="372">
        <v>1</v>
      </c>
      <c r="F174" s="254">
        <f t="shared" si="22"/>
        <v>33</v>
      </c>
      <c r="G174" s="293">
        <v>50</v>
      </c>
      <c r="H174" s="249">
        <f t="shared" si="23"/>
        <v>100</v>
      </c>
      <c r="I174" s="251">
        <f t="shared" si="24"/>
        <v>33</v>
      </c>
      <c r="J174" s="252"/>
      <c r="K174" s="252"/>
      <c r="L174" s="252"/>
      <c r="M174" s="252"/>
      <c r="N174" s="252"/>
      <c r="O174" s="252"/>
      <c r="P174" s="252"/>
      <c r="Q174" s="253"/>
    </row>
    <row r="175" spans="1:17" s="3" customFormat="1" ht="25" customHeight="1" x14ac:dyDescent="0.25">
      <c r="A175" s="349" t="s">
        <v>231</v>
      </c>
      <c r="B175" s="350" t="s">
        <v>411</v>
      </c>
      <c r="C175" s="372">
        <v>2</v>
      </c>
      <c r="D175" s="352">
        <v>1</v>
      </c>
      <c r="E175" s="372">
        <v>1</v>
      </c>
      <c r="F175" s="254">
        <f t="shared" si="22"/>
        <v>33</v>
      </c>
      <c r="G175" s="293">
        <v>55</v>
      </c>
      <c r="H175" s="249">
        <f t="shared" si="23"/>
        <v>110</v>
      </c>
      <c r="I175" s="251">
        <f t="shared" si="24"/>
        <v>33</v>
      </c>
      <c r="J175" s="252"/>
      <c r="K175" s="252"/>
      <c r="L175" s="252"/>
      <c r="M175" s="252"/>
      <c r="N175" s="252"/>
      <c r="O175" s="252"/>
      <c r="P175" s="252"/>
      <c r="Q175" s="253"/>
    </row>
    <row r="176" spans="1:17" s="3" customFormat="1" ht="25" customHeight="1" x14ac:dyDescent="0.25">
      <c r="A176" s="349" t="s">
        <v>285</v>
      </c>
      <c r="B176" s="350" t="s">
        <v>684</v>
      </c>
      <c r="C176" s="422">
        <v>3</v>
      </c>
      <c r="D176" s="352">
        <v>1</v>
      </c>
      <c r="E176" s="422">
        <v>1</v>
      </c>
      <c r="F176" s="254">
        <f t="shared" si="22"/>
        <v>49.5</v>
      </c>
      <c r="G176" s="293">
        <v>30</v>
      </c>
      <c r="H176" s="249">
        <f t="shared" si="23"/>
        <v>90</v>
      </c>
      <c r="I176" s="251">
        <f t="shared" si="24"/>
        <v>49.5</v>
      </c>
      <c r="J176" s="252"/>
      <c r="K176" s="252"/>
      <c r="L176" s="252"/>
      <c r="M176" s="252"/>
      <c r="N176" s="252"/>
      <c r="O176" s="252"/>
      <c r="P176" s="252"/>
      <c r="Q176" s="253"/>
    </row>
    <row r="177" spans="1:17" s="3" customFormat="1" ht="25" customHeight="1" x14ac:dyDescent="0.25">
      <c r="A177" s="349" t="s">
        <v>286</v>
      </c>
      <c r="B177" s="350" t="s">
        <v>412</v>
      </c>
      <c r="C177" s="422">
        <v>2</v>
      </c>
      <c r="D177" s="352">
        <v>1</v>
      </c>
      <c r="E177" s="422">
        <v>1</v>
      </c>
      <c r="F177" s="254">
        <f t="shared" si="22"/>
        <v>33</v>
      </c>
      <c r="G177" s="293">
        <v>30</v>
      </c>
      <c r="H177" s="249">
        <f t="shared" si="23"/>
        <v>60</v>
      </c>
      <c r="I177" s="251">
        <f t="shared" si="24"/>
        <v>33</v>
      </c>
      <c r="J177" s="252"/>
      <c r="K177" s="252"/>
      <c r="L177" s="252"/>
      <c r="M177" s="252"/>
      <c r="N177" s="252"/>
      <c r="O177" s="252"/>
      <c r="P177" s="252"/>
      <c r="Q177" s="253"/>
    </row>
    <row r="178" spans="1:17" s="3" customFormat="1" ht="25" customHeight="1" x14ac:dyDescent="0.25">
      <c r="A178" s="349" t="s">
        <v>289</v>
      </c>
      <c r="B178" s="350" t="s">
        <v>685</v>
      </c>
      <c r="C178" s="422">
        <v>2</v>
      </c>
      <c r="D178" s="352">
        <v>1</v>
      </c>
      <c r="E178" s="422">
        <v>1</v>
      </c>
      <c r="F178" s="254">
        <f t="shared" si="22"/>
        <v>33</v>
      </c>
      <c r="G178" s="293">
        <v>40</v>
      </c>
      <c r="H178" s="249">
        <f t="shared" si="23"/>
        <v>80</v>
      </c>
      <c r="I178" s="251">
        <f t="shared" si="24"/>
        <v>33</v>
      </c>
      <c r="J178" s="252"/>
      <c r="K178" s="252"/>
      <c r="L178" s="252"/>
      <c r="M178" s="252"/>
      <c r="N178" s="252"/>
      <c r="O178" s="252"/>
      <c r="P178" s="252"/>
      <c r="Q178" s="253"/>
    </row>
    <row r="179" spans="1:17" s="3" customFormat="1" ht="25" customHeight="1" x14ac:dyDescent="0.25">
      <c r="A179" s="349" t="s">
        <v>290</v>
      </c>
      <c r="B179" s="350" t="s">
        <v>686</v>
      </c>
      <c r="C179" s="422">
        <v>2</v>
      </c>
      <c r="D179" s="352">
        <v>1</v>
      </c>
      <c r="E179" s="422">
        <v>1</v>
      </c>
      <c r="F179" s="254">
        <f t="shared" si="22"/>
        <v>33</v>
      </c>
      <c r="G179" s="294">
        <v>40</v>
      </c>
      <c r="H179" s="249">
        <f t="shared" si="23"/>
        <v>80</v>
      </c>
      <c r="I179" s="251">
        <f t="shared" si="24"/>
        <v>33</v>
      </c>
      <c r="J179" s="252"/>
      <c r="K179" s="252"/>
      <c r="L179" s="252"/>
      <c r="M179" s="252"/>
      <c r="N179" s="252"/>
      <c r="O179" s="252"/>
      <c r="P179" s="252"/>
      <c r="Q179" s="253"/>
    </row>
    <row r="180" spans="1:17" s="3" customFormat="1" ht="25" customHeight="1" x14ac:dyDescent="0.25">
      <c r="A180" s="349" t="s">
        <v>291</v>
      </c>
      <c r="B180" s="350" t="s">
        <v>413</v>
      </c>
      <c r="C180" s="422">
        <v>1</v>
      </c>
      <c r="D180" s="352">
        <v>1.4</v>
      </c>
      <c r="E180" s="422">
        <v>6</v>
      </c>
      <c r="F180" s="254">
        <f t="shared" si="22"/>
        <v>99</v>
      </c>
      <c r="G180" s="294">
        <v>40</v>
      </c>
      <c r="H180" s="249">
        <f t="shared" si="23"/>
        <v>335.99999999999994</v>
      </c>
      <c r="I180" s="251">
        <f t="shared" si="24"/>
        <v>99</v>
      </c>
      <c r="J180" s="252"/>
      <c r="K180" s="252"/>
      <c r="L180" s="252"/>
      <c r="M180" s="252"/>
      <c r="N180" s="252"/>
      <c r="O180" s="252"/>
      <c r="P180" s="252"/>
      <c r="Q180" s="253"/>
    </row>
    <row r="181" spans="1:17" s="3" customFormat="1" ht="25" customHeight="1" x14ac:dyDescent="0.25">
      <c r="A181" s="349" t="s">
        <v>292</v>
      </c>
      <c r="B181" s="372" t="s">
        <v>414</v>
      </c>
      <c r="C181" s="422">
        <v>1</v>
      </c>
      <c r="D181" s="352">
        <v>1.4</v>
      </c>
      <c r="E181" s="422">
        <v>14</v>
      </c>
      <c r="F181" s="254">
        <f t="shared" si="22"/>
        <v>300.3</v>
      </c>
      <c r="G181" s="294">
        <v>80</v>
      </c>
      <c r="H181" s="249">
        <f t="shared" si="23"/>
        <v>1567.9999999999998</v>
      </c>
      <c r="I181" s="251">
        <f t="shared" si="24"/>
        <v>300.3</v>
      </c>
      <c r="J181" s="252"/>
      <c r="K181" s="252"/>
      <c r="L181" s="252"/>
      <c r="M181" s="252"/>
      <c r="N181" s="252"/>
      <c r="O181" s="252"/>
      <c r="P181" s="252"/>
      <c r="Q181" s="253"/>
    </row>
    <row r="182" spans="1:17" s="3" customFormat="1" ht="25" customHeight="1" x14ac:dyDescent="0.25">
      <c r="A182" s="354"/>
      <c r="B182" s="361" t="s">
        <v>380</v>
      </c>
      <c r="C182" s="364">
        <f>SUM(C171:C181)</f>
        <v>27</v>
      </c>
      <c r="D182" s="364">
        <f>SUM(D171:D181)</f>
        <v>11.8</v>
      </c>
      <c r="E182" s="364">
        <f>SUM(E171:E181)</f>
        <v>52</v>
      </c>
      <c r="F182" s="254">
        <f t="shared" si="22"/>
        <v>30115.8</v>
      </c>
      <c r="G182" s="294">
        <v>80</v>
      </c>
      <c r="H182" s="249">
        <f t="shared" si="23"/>
        <v>1325376</v>
      </c>
      <c r="I182" s="251">
        <f t="shared" si="24"/>
        <v>30115.8</v>
      </c>
      <c r="J182" s="252"/>
      <c r="K182" s="252"/>
      <c r="L182" s="252"/>
      <c r="M182" s="252"/>
      <c r="N182" s="252"/>
      <c r="O182" s="252"/>
      <c r="P182" s="252"/>
      <c r="Q182" s="253"/>
    </row>
    <row r="183" spans="1:17" s="3" customFormat="1" ht="25" customHeight="1" x14ac:dyDescent="0.25">
      <c r="A183" s="423">
        <v>2</v>
      </c>
      <c r="B183" s="423" t="s">
        <v>164</v>
      </c>
      <c r="C183" s="352"/>
      <c r="D183" s="352"/>
      <c r="E183" s="352"/>
      <c r="F183" s="254">
        <f t="shared" si="22"/>
        <v>0</v>
      </c>
      <c r="G183" s="294">
        <v>36</v>
      </c>
      <c r="H183" s="249">
        <f t="shared" si="23"/>
        <v>0</v>
      </c>
      <c r="I183" s="251">
        <f>E183*15</f>
        <v>0</v>
      </c>
      <c r="J183" s="252"/>
      <c r="K183" s="252"/>
      <c r="L183" s="252"/>
      <c r="M183" s="252"/>
      <c r="N183" s="252"/>
      <c r="O183" s="252"/>
      <c r="P183" s="252"/>
      <c r="Q183" s="253"/>
    </row>
    <row r="184" spans="1:17" s="3" customFormat="1" ht="25" customHeight="1" x14ac:dyDescent="0.25">
      <c r="A184" s="356" t="s">
        <v>147</v>
      </c>
      <c r="B184" s="357" t="s">
        <v>165</v>
      </c>
      <c r="C184" s="352"/>
      <c r="D184" s="352"/>
      <c r="E184" s="352"/>
      <c r="F184" s="254">
        <f t="shared" si="22"/>
        <v>0</v>
      </c>
      <c r="G184" s="294">
        <v>20</v>
      </c>
      <c r="H184" s="249">
        <f t="shared" si="23"/>
        <v>0</v>
      </c>
      <c r="I184" s="251">
        <f>E184*15</f>
        <v>0</v>
      </c>
      <c r="J184" s="252"/>
      <c r="K184" s="252"/>
      <c r="L184" s="252"/>
      <c r="M184" s="252"/>
      <c r="N184" s="252"/>
      <c r="O184" s="252"/>
      <c r="P184" s="252"/>
      <c r="Q184" s="253"/>
    </row>
    <row r="185" spans="1:17" s="3" customFormat="1" ht="25" customHeight="1" x14ac:dyDescent="0.25">
      <c r="A185" s="349" t="s">
        <v>226</v>
      </c>
      <c r="B185" s="350" t="s">
        <v>415</v>
      </c>
      <c r="C185" s="372">
        <v>3</v>
      </c>
      <c r="D185" s="352">
        <v>1</v>
      </c>
      <c r="E185" s="422">
        <v>3</v>
      </c>
      <c r="F185" s="271">
        <f>SUM(F171:F184)</f>
        <v>32681.55</v>
      </c>
      <c r="G185" s="279">
        <f>SUM(G171:G184)</f>
        <v>691</v>
      </c>
      <c r="H185" s="279">
        <f>SUM(H171:H184)</f>
        <v>1333970</v>
      </c>
      <c r="I185" s="279">
        <f>SUM(I171:I184)</f>
        <v>32681.55</v>
      </c>
      <c r="J185" s="252"/>
      <c r="K185" s="252"/>
      <c r="L185" s="252"/>
      <c r="M185" s="252"/>
      <c r="N185" s="252"/>
      <c r="O185" s="252"/>
      <c r="P185" s="252"/>
      <c r="Q185" s="253"/>
    </row>
    <row r="186" spans="1:17" s="3" customFormat="1" ht="25" customHeight="1" x14ac:dyDescent="0.25">
      <c r="A186" s="349" t="s">
        <v>227</v>
      </c>
      <c r="B186" s="350" t="s">
        <v>416</v>
      </c>
      <c r="C186" s="372">
        <v>3</v>
      </c>
      <c r="D186" s="352">
        <v>1</v>
      </c>
      <c r="E186" s="422">
        <v>1</v>
      </c>
      <c r="F186" s="295"/>
      <c r="G186" s="295"/>
      <c r="H186" s="257"/>
      <c r="I186" s="285"/>
      <c r="J186" s="252"/>
      <c r="K186" s="252"/>
      <c r="L186" s="252"/>
      <c r="M186" s="252"/>
      <c r="N186" s="252"/>
      <c r="O186" s="252"/>
      <c r="P186" s="252"/>
      <c r="Q186" s="253"/>
    </row>
    <row r="187" spans="1:17" s="3" customFormat="1" ht="25" customHeight="1" x14ac:dyDescent="0.25">
      <c r="A187" s="349" t="s">
        <v>228</v>
      </c>
      <c r="B187" s="350" t="s">
        <v>417</v>
      </c>
      <c r="C187" s="372">
        <v>3</v>
      </c>
      <c r="D187" s="352">
        <v>1</v>
      </c>
      <c r="E187" s="422">
        <v>1</v>
      </c>
      <c r="F187" s="295"/>
      <c r="G187" s="295"/>
      <c r="H187" s="257"/>
      <c r="I187" s="285"/>
      <c r="J187" s="252"/>
      <c r="K187" s="252"/>
      <c r="L187" s="252"/>
      <c r="M187" s="252"/>
      <c r="N187" s="252"/>
      <c r="O187" s="252"/>
      <c r="P187" s="252"/>
      <c r="Q187" s="253"/>
    </row>
    <row r="188" spans="1:17" s="3" customFormat="1" ht="25" customHeight="1" x14ac:dyDescent="0.25">
      <c r="A188" s="349" t="s">
        <v>229</v>
      </c>
      <c r="B188" s="350" t="s">
        <v>418</v>
      </c>
      <c r="C188" s="372">
        <v>3</v>
      </c>
      <c r="D188" s="352">
        <v>1</v>
      </c>
      <c r="E188" s="422">
        <v>1</v>
      </c>
      <c r="F188" s="254">
        <f t="shared" ref="F188:F194" si="25">I188+J188+K188</f>
        <v>74.25</v>
      </c>
      <c r="G188" s="293">
        <v>15</v>
      </c>
      <c r="H188" s="249">
        <f>C188*D188*E188*G188</f>
        <v>45</v>
      </c>
      <c r="I188" s="251">
        <f t="shared" ref="I188:I194" si="26">IF(G188&lt;70, C188*E188*16.5*1*1.5, C188*E188*16.5*1.3*1.5)</f>
        <v>74.25</v>
      </c>
      <c r="J188" s="252"/>
      <c r="K188" s="252"/>
      <c r="L188" s="252"/>
      <c r="M188" s="252"/>
      <c r="N188" s="252"/>
      <c r="O188" s="252"/>
      <c r="P188" s="252"/>
      <c r="Q188" s="253"/>
    </row>
    <row r="189" spans="1:17" s="3" customFormat="1" ht="25" customHeight="1" x14ac:dyDescent="0.25">
      <c r="A189" s="349" t="s">
        <v>230</v>
      </c>
      <c r="B189" s="353" t="s">
        <v>419</v>
      </c>
      <c r="C189" s="372">
        <v>3</v>
      </c>
      <c r="D189" s="352">
        <v>1</v>
      </c>
      <c r="E189" s="422">
        <v>3</v>
      </c>
      <c r="F189" s="254">
        <f t="shared" si="25"/>
        <v>222.75</v>
      </c>
      <c r="G189" s="293">
        <v>10</v>
      </c>
      <c r="H189" s="249">
        <f t="shared" ref="H189:H194" si="27">C189*D189*E189*G189</f>
        <v>90</v>
      </c>
      <c r="I189" s="251">
        <f t="shared" si="26"/>
        <v>222.75</v>
      </c>
      <c r="J189" s="252"/>
      <c r="K189" s="252"/>
      <c r="L189" s="252"/>
      <c r="M189" s="252"/>
      <c r="N189" s="252"/>
      <c r="O189" s="252"/>
      <c r="P189" s="252"/>
      <c r="Q189" s="253"/>
    </row>
    <row r="190" spans="1:17" s="3" customFormat="1" ht="25" customHeight="1" x14ac:dyDescent="0.25">
      <c r="A190" s="349" t="s">
        <v>231</v>
      </c>
      <c r="B190" s="353" t="s">
        <v>420</v>
      </c>
      <c r="C190" s="372">
        <v>3</v>
      </c>
      <c r="D190" s="352">
        <v>1</v>
      </c>
      <c r="E190" s="422">
        <v>1</v>
      </c>
      <c r="F190" s="254">
        <f t="shared" si="25"/>
        <v>74.25</v>
      </c>
      <c r="G190" s="293">
        <v>10</v>
      </c>
      <c r="H190" s="249">
        <f t="shared" si="27"/>
        <v>30</v>
      </c>
      <c r="I190" s="251">
        <f t="shared" si="26"/>
        <v>74.25</v>
      </c>
      <c r="J190" s="252"/>
      <c r="K190" s="252"/>
      <c r="L190" s="252"/>
      <c r="M190" s="252"/>
      <c r="N190" s="252"/>
      <c r="O190" s="252"/>
      <c r="P190" s="252"/>
      <c r="Q190" s="253"/>
    </row>
    <row r="191" spans="1:17" s="3" customFormat="1" ht="25" customHeight="1" x14ac:dyDescent="0.25">
      <c r="A191" s="349" t="s">
        <v>282</v>
      </c>
      <c r="B191" s="353" t="s">
        <v>421</v>
      </c>
      <c r="C191" s="372">
        <v>3</v>
      </c>
      <c r="D191" s="352">
        <v>1</v>
      </c>
      <c r="E191" s="422">
        <v>3</v>
      </c>
      <c r="F191" s="254">
        <f t="shared" si="25"/>
        <v>222.75</v>
      </c>
      <c r="G191" s="293">
        <v>10</v>
      </c>
      <c r="H191" s="249">
        <f t="shared" si="27"/>
        <v>90</v>
      </c>
      <c r="I191" s="251">
        <f t="shared" si="26"/>
        <v>222.75</v>
      </c>
      <c r="J191" s="252"/>
      <c r="K191" s="252"/>
      <c r="L191" s="252"/>
      <c r="M191" s="252"/>
      <c r="N191" s="252"/>
      <c r="O191" s="252"/>
      <c r="P191" s="252"/>
      <c r="Q191" s="253"/>
    </row>
    <row r="192" spans="1:17" s="3" customFormat="1" ht="25" customHeight="1" x14ac:dyDescent="0.25">
      <c r="A192" s="354"/>
      <c r="B192" s="424" t="s">
        <v>380</v>
      </c>
      <c r="C192" s="364">
        <f>SUM(C185:C191)</f>
        <v>21</v>
      </c>
      <c r="D192" s="364">
        <f>SUM(D185:D191)</f>
        <v>7</v>
      </c>
      <c r="E192" s="364">
        <f>SUM(E185:E191)</f>
        <v>13</v>
      </c>
      <c r="F192" s="254">
        <f t="shared" si="25"/>
        <v>6756.75</v>
      </c>
      <c r="G192" s="293">
        <v>15</v>
      </c>
      <c r="H192" s="249">
        <f t="shared" si="27"/>
        <v>28665</v>
      </c>
      <c r="I192" s="251">
        <f t="shared" si="26"/>
        <v>6756.75</v>
      </c>
      <c r="J192" s="252"/>
      <c r="K192" s="252"/>
      <c r="L192" s="252"/>
      <c r="M192" s="252"/>
      <c r="N192" s="252"/>
      <c r="O192" s="252"/>
      <c r="P192" s="252"/>
      <c r="Q192" s="253"/>
    </row>
    <row r="193" spans="1:17" s="3" customFormat="1" ht="25" customHeight="1" x14ac:dyDescent="0.25">
      <c r="A193" s="423" t="s">
        <v>8</v>
      </c>
      <c r="B193" s="423" t="s">
        <v>224</v>
      </c>
      <c r="C193" s="352"/>
      <c r="D193" s="352"/>
      <c r="E193" s="352"/>
      <c r="F193" s="254">
        <f t="shared" si="25"/>
        <v>0</v>
      </c>
      <c r="G193" s="293">
        <v>10</v>
      </c>
      <c r="H193" s="249">
        <f t="shared" si="27"/>
        <v>0</v>
      </c>
      <c r="I193" s="251">
        <f t="shared" si="26"/>
        <v>0</v>
      </c>
      <c r="J193" s="252"/>
      <c r="K193" s="252"/>
      <c r="L193" s="252"/>
      <c r="M193" s="252"/>
      <c r="N193" s="252"/>
      <c r="O193" s="252"/>
      <c r="P193" s="252"/>
      <c r="Q193" s="253"/>
    </row>
    <row r="194" spans="1:17" s="3" customFormat="1" ht="25" customHeight="1" x14ac:dyDescent="0.25">
      <c r="A194" s="423">
        <v>1</v>
      </c>
      <c r="B194" s="357" t="s">
        <v>225</v>
      </c>
      <c r="C194" s="352"/>
      <c r="D194" s="352"/>
      <c r="E194" s="352"/>
      <c r="F194" s="254">
        <f t="shared" si="25"/>
        <v>0</v>
      </c>
      <c r="G194" s="293">
        <v>15</v>
      </c>
      <c r="H194" s="249">
        <f t="shared" si="27"/>
        <v>0</v>
      </c>
      <c r="I194" s="251">
        <f t="shared" si="26"/>
        <v>0</v>
      </c>
      <c r="J194" s="252"/>
      <c r="K194" s="252"/>
      <c r="L194" s="252"/>
      <c r="M194" s="252"/>
      <c r="N194" s="252"/>
      <c r="O194" s="252"/>
      <c r="P194" s="252"/>
      <c r="Q194" s="253"/>
    </row>
    <row r="195" spans="1:17" s="3" customFormat="1" ht="25" customHeight="1" x14ac:dyDescent="0.25">
      <c r="A195" s="423" t="s">
        <v>147</v>
      </c>
      <c r="B195" s="357" t="s">
        <v>163</v>
      </c>
      <c r="C195" s="352"/>
      <c r="D195" s="352"/>
      <c r="E195" s="352"/>
      <c r="F195" s="271">
        <f>SUM(F188:F194)</f>
        <v>7350.75</v>
      </c>
      <c r="G195" s="279">
        <f>SUM(G188:G194)</f>
        <v>85</v>
      </c>
      <c r="H195" s="279">
        <f>SUM(H188:H194)</f>
        <v>28920</v>
      </c>
      <c r="I195" s="279">
        <f>SUM(I188:I194)</f>
        <v>7350.75</v>
      </c>
      <c r="J195" s="252"/>
      <c r="K195" s="252"/>
      <c r="L195" s="252"/>
      <c r="M195" s="252"/>
      <c r="N195" s="252"/>
      <c r="O195" s="252"/>
      <c r="P195" s="252"/>
      <c r="Q195" s="253"/>
    </row>
    <row r="196" spans="1:17" s="3" customFormat="1" ht="25" customHeight="1" x14ac:dyDescent="0.25">
      <c r="A196" s="354" t="s">
        <v>226</v>
      </c>
      <c r="B196" s="350" t="s">
        <v>687</v>
      </c>
      <c r="C196" s="422">
        <v>5</v>
      </c>
      <c r="D196" s="352">
        <v>1</v>
      </c>
      <c r="E196" s="352">
        <v>25</v>
      </c>
      <c r="F196" s="295"/>
      <c r="G196" s="295"/>
      <c r="H196" s="295"/>
      <c r="I196" s="296"/>
      <c r="J196" s="296"/>
      <c r="K196" s="296"/>
      <c r="L196" s="296"/>
      <c r="M196" s="296"/>
      <c r="N196" s="296"/>
      <c r="O196" s="296"/>
      <c r="P196" s="296"/>
      <c r="Q196" s="297"/>
    </row>
    <row r="197" spans="1:17" s="3" customFormat="1" ht="25" customHeight="1" x14ac:dyDescent="0.25">
      <c r="A197" s="354" t="s">
        <v>227</v>
      </c>
      <c r="B197" s="350" t="s">
        <v>688</v>
      </c>
      <c r="C197" s="422">
        <v>5</v>
      </c>
      <c r="D197" s="352">
        <v>1</v>
      </c>
      <c r="E197" s="352">
        <v>26</v>
      </c>
      <c r="F197" s="295"/>
      <c r="G197" s="295"/>
      <c r="H197" s="295"/>
      <c r="I197" s="296"/>
      <c r="J197" s="296"/>
      <c r="K197" s="296"/>
      <c r="L197" s="296"/>
      <c r="M197" s="296"/>
      <c r="N197" s="296"/>
      <c r="O197" s="296"/>
      <c r="P197" s="296"/>
      <c r="Q197" s="297"/>
    </row>
    <row r="198" spans="1:17" s="3" customFormat="1" ht="25" customHeight="1" x14ac:dyDescent="0.25">
      <c r="A198" s="354"/>
      <c r="B198" s="361" t="s">
        <v>380</v>
      </c>
      <c r="C198" s="364">
        <f>SUM(C196:C197)</f>
        <v>10</v>
      </c>
      <c r="D198" s="364">
        <f>SUM(D196:D197)</f>
        <v>2</v>
      </c>
      <c r="E198" s="364">
        <f>SUM(E196:E197)</f>
        <v>51</v>
      </c>
      <c r="F198" s="295"/>
      <c r="G198" s="295"/>
      <c r="H198" s="295"/>
      <c r="I198" s="296"/>
      <c r="J198" s="296"/>
      <c r="K198" s="296"/>
      <c r="L198" s="296"/>
      <c r="M198" s="296"/>
      <c r="N198" s="296"/>
      <c r="O198" s="296"/>
      <c r="P198" s="296"/>
      <c r="Q198" s="297"/>
    </row>
    <row r="199" spans="1:17" s="3" customFormat="1" ht="25" customHeight="1" x14ac:dyDescent="0.25">
      <c r="A199" s="393"/>
      <c r="B199" s="398" t="s">
        <v>424</v>
      </c>
      <c r="C199" s="388">
        <f>C182+C192+C198</f>
        <v>58</v>
      </c>
      <c r="D199" s="388">
        <f>D182+D192+D198</f>
        <v>20.8</v>
      </c>
      <c r="E199" s="388">
        <f>E182+E192+E198</f>
        <v>116</v>
      </c>
      <c r="F199" s="254">
        <f>I199+J199+K199</f>
        <v>111012</v>
      </c>
      <c r="G199" s="295">
        <v>50</v>
      </c>
      <c r="H199" s="249">
        <f>C199*D199*E199*G199</f>
        <v>6997120.0000000009</v>
      </c>
      <c r="I199" s="251">
        <f>IF(G199&lt;70, C199*E199*16.5*1, C199*E199*16.5*1.3)</f>
        <v>111012</v>
      </c>
      <c r="J199" s="296"/>
      <c r="K199" s="296"/>
      <c r="L199" s="296"/>
      <c r="M199" s="296"/>
      <c r="N199" s="296"/>
      <c r="O199" s="296"/>
      <c r="P199" s="296"/>
      <c r="Q199" s="297"/>
    </row>
    <row r="200" spans="1:17" s="3" customFormat="1" ht="25" customHeight="1" x14ac:dyDescent="0.25">
      <c r="A200" s="288" t="s">
        <v>431</v>
      </c>
      <c r="B200" s="323" t="s">
        <v>432</v>
      </c>
      <c r="C200" s="287"/>
      <c r="D200" s="287"/>
      <c r="E200" s="287"/>
      <c r="F200" s="318"/>
      <c r="G200" s="287"/>
      <c r="H200" s="287"/>
      <c r="I200" s="287"/>
      <c r="J200" s="252"/>
      <c r="K200" s="252"/>
      <c r="L200" s="252"/>
      <c r="M200" s="252"/>
      <c r="N200" s="252"/>
      <c r="O200" s="252"/>
      <c r="P200" s="252"/>
      <c r="Q200" s="253"/>
    </row>
    <row r="201" spans="1:17" s="3" customFormat="1" ht="25" customHeight="1" x14ac:dyDescent="0.25">
      <c r="A201" s="288" t="s">
        <v>7</v>
      </c>
      <c r="B201" s="288" t="s">
        <v>223</v>
      </c>
      <c r="C201" s="287"/>
      <c r="D201" s="287"/>
      <c r="E201" s="287"/>
      <c r="F201" s="318"/>
      <c r="G201" s="287"/>
      <c r="H201" s="287"/>
      <c r="I201" s="287"/>
      <c r="J201" s="252"/>
      <c r="K201" s="252"/>
      <c r="L201" s="252"/>
      <c r="M201" s="252"/>
      <c r="N201" s="252"/>
      <c r="O201" s="252"/>
      <c r="P201" s="252"/>
      <c r="Q201" s="253"/>
    </row>
    <row r="202" spans="1:17" s="3" customFormat="1" ht="25" customHeight="1" x14ac:dyDescent="0.25">
      <c r="A202" s="288">
        <v>1</v>
      </c>
      <c r="B202" s="288" t="s">
        <v>4</v>
      </c>
      <c r="C202" s="287"/>
      <c r="D202" s="287"/>
      <c r="E202" s="287"/>
      <c r="F202" s="318"/>
      <c r="G202" s="287"/>
      <c r="H202" s="287"/>
      <c r="I202" s="287"/>
      <c r="J202" s="252"/>
      <c r="K202" s="252"/>
      <c r="L202" s="252"/>
      <c r="M202" s="252"/>
      <c r="N202" s="252"/>
      <c r="O202" s="252"/>
      <c r="P202" s="252"/>
      <c r="Q202" s="253"/>
    </row>
    <row r="203" spans="1:17" s="3" customFormat="1" ht="25" customHeight="1" x14ac:dyDescent="0.25">
      <c r="A203" s="349" t="s">
        <v>226</v>
      </c>
      <c r="B203" s="350" t="s">
        <v>689</v>
      </c>
      <c r="C203" s="351">
        <v>4</v>
      </c>
      <c r="D203" s="351">
        <v>1</v>
      </c>
      <c r="E203" s="351">
        <v>10</v>
      </c>
      <c r="F203" s="295"/>
      <c r="G203" s="291"/>
      <c r="H203" s="291"/>
      <c r="I203" s="298"/>
      <c r="J203" s="252"/>
      <c r="K203" s="252"/>
      <c r="L203" s="252"/>
      <c r="M203" s="252"/>
      <c r="N203" s="252"/>
      <c r="O203" s="252"/>
      <c r="P203" s="252"/>
      <c r="Q203" s="253"/>
    </row>
    <row r="204" spans="1:17" s="3" customFormat="1" ht="25" customHeight="1" x14ac:dyDescent="0.25">
      <c r="A204" s="349" t="s">
        <v>227</v>
      </c>
      <c r="B204" s="350" t="s">
        <v>690</v>
      </c>
      <c r="C204" s="352">
        <v>3</v>
      </c>
      <c r="D204" s="352">
        <v>1</v>
      </c>
      <c r="E204" s="352">
        <v>4</v>
      </c>
      <c r="F204" s="254">
        <f t="shared" ref="F204:F210" si="28">I204+J204+K204</f>
        <v>257.40000000000003</v>
      </c>
      <c r="G204" s="299">
        <v>70</v>
      </c>
      <c r="H204" s="249">
        <f t="shared" ref="H204:H210" si="29">C204*D204*E204*G204</f>
        <v>840</v>
      </c>
      <c r="I204" s="251">
        <f t="shared" ref="I204:I210" si="30">IF(G204&lt;70, C204*E204*16.5*1, C204*E204*16.5*1.3)</f>
        <v>257.40000000000003</v>
      </c>
      <c r="J204" s="252"/>
      <c r="K204" s="252"/>
      <c r="L204" s="252"/>
      <c r="M204" s="252"/>
      <c r="N204" s="252"/>
      <c r="O204" s="252"/>
      <c r="P204" s="252"/>
      <c r="Q204" s="253"/>
    </row>
    <row r="205" spans="1:17" s="3" customFormat="1" ht="25" customHeight="1" x14ac:dyDescent="0.25">
      <c r="A205" s="349" t="s">
        <v>228</v>
      </c>
      <c r="B205" s="350" t="s">
        <v>426</v>
      </c>
      <c r="C205" s="352">
        <v>3</v>
      </c>
      <c r="D205" s="352">
        <v>1</v>
      </c>
      <c r="E205" s="352">
        <v>3</v>
      </c>
      <c r="F205" s="254">
        <f t="shared" si="28"/>
        <v>193.05</v>
      </c>
      <c r="G205" s="295">
        <v>70</v>
      </c>
      <c r="H205" s="249">
        <f t="shared" si="29"/>
        <v>630</v>
      </c>
      <c r="I205" s="251">
        <f t="shared" si="30"/>
        <v>193.05</v>
      </c>
      <c r="J205" s="252"/>
      <c r="K205" s="252"/>
      <c r="L205" s="252"/>
      <c r="M205" s="252"/>
      <c r="N205" s="252"/>
      <c r="O205" s="252"/>
      <c r="P205" s="252"/>
      <c r="Q205" s="253"/>
    </row>
    <row r="206" spans="1:17" s="3" customFormat="1" ht="25" customHeight="1" x14ac:dyDescent="0.25">
      <c r="A206" s="349" t="s">
        <v>229</v>
      </c>
      <c r="B206" s="350" t="s">
        <v>427</v>
      </c>
      <c r="C206" s="352">
        <v>4</v>
      </c>
      <c r="D206" s="352">
        <v>1</v>
      </c>
      <c r="E206" s="352">
        <v>3</v>
      </c>
      <c r="F206" s="254">
        <f t="shared" si="28"/>
        <v>257.40000000000003</v>
      </c>
      <c r="G206" s="295">
        <v>70</v>
      </c>
      <c r="H206" s="249">
        <f t="shared" si="29"/>
        <v>840</v>
      </c>
      <c r="I206" s="251">
        <f t="shared" si="30"/>
        <v>257.40000000000003</v>
      </c>
      <c r="J206" s="252"/>
      <c r="K206" s="252"/>
      <c r="L206" s="252"/>
      <c r="M206" s="252"/>
      <c r="N206" s="252"/>
      <c r="O206" s="252"/>
      <c r="P206" s="252"/>
      <c r="Q206" s="253"/>
    </row>
    <row r="207" spans="1:17" s="3" customFormat="1" ht="25" customHeight="1" x14ac:dyDescent="0.25">
      <c r="A207" s="349" t="s">
        <v>230</v>
      </c>
      <c r="B207" s="350" t="s">
        <v>428</v>
      </c>
      <c r="C207" s="352">
        <v>4</v>
      </c>
      <c r="D207" s="352">
        <v>1</v>
      </c>
      <c r="E207" s="352">
        <v>4</v>
      </c>
      <c r="F207" s="254">
        <f t="shared" si="28"/>
        <v>343.2</v>
      </c>
      <c r="G207" s="295">
        <v>70</v>
      </c>
      <c r="H207" s="249">
        <f t="shared" si="29"/>
        <v>1120</v>
      </c>
      <c r="I207" s="251">
        <f t="shared" si="30"/>
        <v>343.2</v>
      </c>
      <c r="J207" s="252"/>
      <c r="K207" s="252"/>
      <c r="L207" s="252"/>
      <c r="M207" s="252"/>
      <c r="N207" s="252"/>
      <c r="O207" s="252"/>
      <c r="P207" s="252"/>
      <c r="Q207" s="253"/>
    </row>
    <row r="208" spans="1:17" s="3" customFormat="1" ht="25" customHeight="1" x14ac:dyDescent="0.25">
      <c r="A208" s="349" t="s">
        <v>231</v>
      </c>
      <c r="B208" s="353" t="s">
        <v>429</v>
      </c>
      <c r="C208" s="352">
        <v>4</v>
      </c>
      <c r="D208" s="352">
        <v>1</v>
      </c>
      <c r="E208" s="352">
        <v>1</v>
      </c>
      <c r="F208" s="254">
        <f t="shared" si="28"/>
        <v>85.8</v>
      </c>
      <c r="G208" s="295">
        <v>70</v>
      </c>
      <c r="H208" s="249">
        <f t="shared" si="29"/>
        <v>280</v>
      </c>
      <c r="I208" s="251">
        <f t="shared" si="30"/>
        <v>85.8</v>
      </c>
      <c r="J208" s="252"/>
      <c r="K208" s="252"/>
      <c r="L208" s="252"/>
      <c r="M208" s="252"/>
      <c r="N208" s="252"/>
      <c r="O208" s="252"/>
      <c r="P208" s="252"/>
      <c r="Q208" s="253"/>
    </row>
    <row r="209" spans="1:17" s="3" customFormat="1" ht="25" customHeight="1" x14ac:dyDescent="0.25">
      <c r="A209" s="349" t="s">
        <v>691</v>
      </c>
      <c r="B209" s="353" t="s">
        <v>692</v>
      </c>
      <c r="C209" s="352">
        <v>2</v>
      </c>
      <c r="D209" s="352">
        <v>1</v>
      </c>
      <c r="E209" s="352">
        <v>4</v>
      </c>
      <c r="F209" s="254">
        <f t="shared" si="28"/>
        <v>171.6</v>
      </c>
      <c r="G209" s="295">
        <v>70</v>
      </c>
      <c r="H209" s="249">
        <f t="shared" si="29"/>
        <v>560</v>
      </c>
      <c r="I209" s="251">
        <f t="shared" si="30"/>
        <v>171.6</v>
      </c>
      <c r="J209" s="252"/>
      <c r="K209" s="252"/>
      <c r="L209" s="252"/>
      <c r="M209" s="252"/>
      <c r="N209" s="252"/>
      <c r="O209" s="252"/>
      <c r="P209" s="252"/>
      <c r="Q209" s="253"/>
    </row>
    <row r="210" spans="1:17" s="3" customFormat="1" ht="25" customHeight="1" x14ac:dyDescent="0.25">
      <c r="A210" s="349" t="s">
        <v>693</v>
      </c>
      <c r="B210" s="353" t="s">
        <v>694</v>
      </c>
      <c r="C210" s="352">
        <v>2</v>
      </c>
      <c r="D210" s="352">
        <v>1</v>
      </c>
      <c r="E210" s="352">
        <v>10</v>
      </c>
      <c r="F210" s="254">
        <f t="shared" si="28"/>
        <v>429</v>
      </c>
      <c r="G210" s="295">
        <v>70</v>
      </c>
      <c r="H210" s="249">
        <f t="shared" si="29"/>
        <v>1400</v>
      </c>
      <c r="I210" s="251">
        <f t="shared" si="30"/>
        <v>429</v>
      </c>
      <c r="J210" s="252"/>
      <c r="K210" s="252"/>
      <c r="L210" s="252"/>
      <c r="M210" s="252"/>
      <c r="N210" s="252"/>
      <c r="O210" s="252"/>
      <c r="P210" s="252"/>
      <c r="Q210" s="253"/>
    </row>
    <row r="211" spans="1:17" s="3" customFormat="1" ht="25" customHeight="1" x14ac:dyDescent="0.25">
      <c r="A211" s="349" t="s">
        <v>282</v>
      </c>
      <c r="B211" s="353" t="s">
        <v>430</v>
      </c>
      <c r="C211" s="352">
        <v>3</v>
      </c>
      <c r="D211" s="352">
        <v>1</v>
      </c>
      <c r="E211" s="352">
        <v>4</v>
      </c>
      <c r="F211" s="271">
        <f>SUM(F204:F210)</f>
        <v>1737.45</v>
      </c>
      <c r="G211" s="279">
        <f>SUM(G204:G210)</f>
        <v>490</v>
      </c>
      <c r="H211" s="279">
        <f>SUM(H204:H210)</f>
        <v>5670</v>
      </c>
      <c r="I211" s="279">
        <f>SUM(I204:I210)</f>
        <v>1737.45</v>
      </c>
      <c r="J211" s="252"/>
      <c r="K211" s="252"/>
      <c r="L211" s="252"/>
      <c r="M211" s="252"/>
      <c r="N211" s="252"/>
      <c r="O211" s="252"/>
      <c r="P211" s="252"/>
      <c r="Q211" s="253"/>
    </row>
    <row r="212" spans="1:17" s="3" customFormat="1" ht="25" customHeight="1" x14ac:dyDescent="0.25">
      <c r="A212" s="354"/>
      <c r="B212" s="361" t="s">
        <v>380</v>
      </c>
      <c r="C212" s="364">
        <f>SUM(C203:C211)</f>
        <v>29</v>
      </c>
      <c r="D212" s="364">
        <f>SUM(D203:D211)</f>
        <v>9</v>
      </c>
      <c r="E212" s="364">
        <f>SUM(E203:E211)</f>
        <v>43</v>
      </c>
      <c r="F212" s="295"/>
      <c r="G212" s="295"/>
      <c r="H212" s="295"/>
      <c r="I212" s="296"/>
      <c r="J212" s="296"/>
      <c r="K212" s="296"/>
      <c r="L212" s="296"/>
      <c r="M212" s="296"/>
      <c r="N212" s="252"/>
      <c r="O212" s="252"/>
      <c r="P212" s="252"/>
      <c r="Q212" s="253"/>
    </row>
    <row r="213" spans="1:17" s="3" customFormat="1" ht="25" customHeight="1" x14ac:dyDescent="0.25">
      <c r="A213" s="359" t="s">
        <v>148</v>
      </c>
      <c r="B213" s="360" t="s">
        <v>151</v>
      </c>
      <c r="C213" s="352"/>
      <c r="D213" s="352"/>
      <c r="E213" s="352"/>
      <c r="F213" s="295"/>
      <c r="G213" s="295"/>
      <c r="H213" s="295"/>
      <c r="I213" s="296"/>
      <c r="J213" s="296"/>
      <c r="K213" s="296"/>
      <c r="L213" s="296"/>
      <c r="M213" s="296"/>
      <c r="N213" s="252"/>
      <c r="O213" s="252"/>
      <c r="P213" s="252"/>
      <c r="Q213" s="253"/>
    </row>
    <row r="214" spans="1:17" s="3" customFormat="1" ht="25" customHeight="1" x14ac:dyDescent="0.25">
      <c r="A214" s="354" t="s">
        <v>232</v>
      </c>
      <c r="B214" s="349" t="s">
        <v>154</v>
      </c>
      <c r="C214" s="352"/>
      <c r="D214" s="352"/>
      <c r="E214" s="352"/>
      <c r="F214" s="295"/>
      <c r="G214" s="295"/>
      <c r="H214" s="295"/>
      <c r="I214" s="296"/>
      <c r="J214" s="296"/>
      <c r="K214" s="296"/>
      <c r="L214" s="296"/>
      <c r="M214" s="296"/>
      <c r="N214" s="252"/>
      <c r="O214" s="252"/>
      <c r="P214" s="252"/>
      <c r="Q214" s="253"/>
    </row>
    <row r="215" spans="1:17" s="3" customFormat="1" ht="25" customHeight="1" x14ac:dyDescent="0.25">
      <c r="A215" s="354" t="s">
        <v>233</v>
      </c>
      <c r="B215" s="349" t="s">
        <v>153</v>
      </c>
      <c r="C215" s="352"/>
      <c r="D215" s="352"/>
      <c r="E215" s="352"/>
      <c r="F215" s="295"/>
      <c r="G215" s="295"/>
      <c r="H215" s="295"/>
      <c r="I215" s="296"/>
      <c r="J215" s="296"/>
      <c r="K215" s="296"/>
      <c r="L215" s="296"/>
      <c r="M215" s="296"/>
      <c r="N215" s="252"/>
      <c r="O215" s="252"/>
      <c r="P215" s="252"/>
      <c r="Q215" s="253"/>
    </row>
    <row r="216" spans="1:17" s="3" customFormat="1" ht="25" customHeight="1" x14ac:dyDescent="0.25">
      <c r="A216" s="354" t="s">
        <v>234</v>
      </c>
      <c r="B216" s="349" t="s">
        <v>155</v>
      </c>
      <c r="C216" s="352"/>
      <c r="D216" s="352"/>
      <c r="E216" s="352"/>
      <c r="F216" s="295"/>
      <c r="G216" s="295"/>
      <c r="H216" s="295"/>
      <c r="I216" s="296"/>
      <c r="J216" s="296"/>
      <c r="K216" s="296"/>
      <c r="L216" s="296"/>
      <c r="M216" s="296"/>
      <c r="N216" s="252"/>
      <c r="O216" s="252"/>
      <c r="P216" s="252"/>
      <c r="Q216" s="253"/>
    </row>
    <row r="217" spans="1:17" s="3" customFormat="1" ht="25" customHeight="1" x14ac:dyDescent="0.25">
      <c r="A217" s="354" t="s">
        <v>235</v>
      </c>
      <c r="B217" s="349" t="s">
        <v>156</v>
      </c>
      <c r="C217" s="352"/>
      <c r="D217" s="352"/>
      <c r="E217" s="352"/>
      <c r="F217" s="295"/>
      <c r="G217" s="295"/>
      <c r="H217" s="295"/>
      <c r="I217" s="296"/>
      <c r="J217" s="296"/>
      <c r="K217" s="296"/>
      <c r="L217" s="296"/>
      <c r="M217" s="296"/>
      <c r="N217" s="252"/>
      <c r="O217" s="252"/>
      <c r="P217" s="252"/>
      <c r="Q217" s="253"/>
    </row>
    <row r="218" spans="1:17" s="3" customFormat="1" ht="25" customHeight="1" x14ac:dyDescent="0.25">
      <c r="A218" s="354" t="s">
        <v>236</v>
      </c>
      <c r="B218" s="349" t="s">
        <v>157</v>
      </c>
      <c r="C218" s="352"/>
      <c r="D218" s="352"/>
      <c r="E218" s="352"/>
      <c r="F218" s="295"/>
      <c r="G218" s="295"/>
      <c r="H218" s="295"/>
      <c r="I218" s="296"/>
      <c r="J218" s="296"/>
      <c r="K218" s="296"/>
      <c r="L218" s="296"/>
      <c r="M218" s="296"/>
      <c r="N218" s="252"/>
      <c r="O218" s="252"/>
      <c r="P218" s="252"/>
      <c r="Q218" s="253"/>
    </row>
    <row r="219" spans="1:17" s="3" customFormat="1" ht="25" customHeight="1" x14ac:dyDescent="0.25">
      <c r="A219" s="423">
        <v>2</v>
      </c>
      <c r="B219" s="423" t="s">
        <v>164</v>
      </c>
      <c r="C219" s="352"/>
      <c r="D219" s="352"/>
      <c r="E219" s="352"/>
      <c r="F219" s="295"/>
      <c r="G219" s="295"/>
      <c r="H219" s="295"/>
      <c r="I219" s="296"/>
      <c r="J219" s="296"/>
      <c r="K219" s="296"/>
      <c r="L219" s="296"/>
      <c r="M219" s="296"/>
      <c r="N219" s="252"/>
      <c r="O219" s="252"/>
      <c r="P219" s="252"/>
      <c r="Q219" s="253"/>
    </row>
    <row r="220" spans="1:17" s="3" customFormat="1" ht="25" customHeight="1" x14ac:dyDescent="0.25">
      <c r="A220" s="356" t="s">
        <v>147</v>
      </c>
      <c r="B220" s="357" t="s">
        <v>165</v>
      </c>
      <c r="C220" s="352"/>
      <c r="D220" s="352"/>
      <c r="E220" s="352"/>
      <c r="F220" s="254">
        <f>I220+J220+K220</f>
        <v>0</v>
      </c>
      <c r="G220" s="295">
        <v>25</v>
      </c>
      <c r="H220" s="249">
        <f>C220*D220*E220*G220</f>
        <v>0</v>
      </c>
      <c r="I220" s="251">
        <f>IF(G220&lt;70, C220*E220*16.5*1.5, C220*E220*16.5*1.5)</f>
        <v>0</v>
      </c>
      <c r="J220" s="296"/>
      <c r="K220" s="296"/>
      <c r="L220" s="296"/>
      <c r="M220" s="296"/>
      <c r="N220" s="252"/>
      <c r="O220" s="252"/>
      <c r="P220" s="252"/>
      <c r="Q220" s="253"/>
    </row>
    <row r="221" spans="1:17" s="3" customFormat="1" ht="25" customHeight="1" x14ac:dyDescent="0.25">
      <c r="A221" s="349" t="s">
        <v>226</v>
      </c>
      <c r="B221" s="350" t="s">
        <v>433</v>
      </c>
      <c r="C221" s="352">
        <v>3</v>
      </c>
      <c r="D221" s="352">
        <v>1</v>
      </c>
      <c r="E221" s="352">
        <v>3</v>
      </c>
      <c r="F221" s="254">
        <f>I221+J221+K221</f>
        <v>222.75</v>
      </c>
      <c r="G221" s="295">
        <v>15</v>
      </c>
      <c r="H221" s="249">
        <f>C221*D221*E221*G221</f>
        <v>135</v>
      </c>
      <c r="I221" s="251">
        <f>IF(G221&lt;70, C221*E221*16.5*1.5, C221*E221*16.5*1.5)</f>
        <v>222.75</v>
      </c>
      <c r="J221" s="296"/>
      <c r="K221" s="296"/>
      <c r="L221" s="296"/>
      <c r="M221" s="296"/>
      <c r="N221" s="252"/>
      <c r="O221" s="252"/>
      <c r="P221" s="252"/>
      <c r="Q221" s="253"/>
    </row>
    <row r="222" spans="1:17" s="3" customFormat="1" ht="25" customHeight="1" x14ac:dyDescent="0.25">
      <c r="A222" s="349" t="s">
        <v>227</v>
      </c>
      <c r="B222" s="350" t="s">
        <v>434</v>
      </c>
      <c r="C222" s="352">
        <v>3</v>
      </c>
      <c r="D222" s="352">
        <v>1</v>
      </c>
      <c r="E222" s="352">
        <v>1</v>
      </c>
      <c r="F222" s="254">
        <f>I222+J222+K222</f>
        <v>74.25</v>
      </c>
      <c r="G222" s="295">
        <v>25</v>
      </c>
      <c r="H222" s="249">
        <f>C222*D222*E222*G222</f>
        <v>75</v>
      </c>
      <c r="I222" s="251">
        <f>IF(G222&lt;70, C222*E222*16.5*1.5, C222*E222*16.5*1.5)</f>
        <v>74.25</v>
      </c>
      <c r="J222" s="296"/>
      <c r="K222" s="296"/>
      <c r="L222" s="296"/>
      <c r="M222" s="296"/>
      <c r="N222" s="252"/>
      <c r="O222" s="252"/>
      <c r="P222" s="252"/>
      <c r="Q222" s="253"/>
    </row>
    <row r="223" spans="1:17" s="3" customFormat="1" ht="25" customHeight="1" x14ac:dyDescent="0.25">
      <c r="A223" s="349"/>
      <c r="B223" s="350" t="s">
        <v>695</v>
      </c>
      <c r="C223" s="352">
        <v>3</v>
      </c>
      <c r="D223" s="352">
        <v>1</v>
      </c>
      <c r="E223" s="352">
        <v>1</v>
      </c>
      <c r="F223" s="295">
        <f>SUM(F220:F222)</f>
        <v>297</v>
      </c>
      <c r="G223" s="291">
        <f>SUM(G220:G222)</f>
        <v>65</v>
      </c>
      <c r="H223" s="291">
        <f>SUM(H220:H222)</f>
        <v>210</v>
      </c>
      <c r="I223" s="291">
        <f>SUM(I220:I222)</f>
        <v>297</v>
      </c>
      <c r="J223" s="296"/>
      <c r="K223" s="296"/>
      <c r="L223" s="296"/>
      <c r="M223" s="296"/>
      <c r="N223" s="252"/>
      <c r="O223" s="252"/>
      <c r="P223" s="252"/>
      <c r="Q223" s="253"/>
    </row>
    <row r="224" spans="1:17" s="3" customFormat="1" ht="25" customHeight="1" x14ac:dyDescent="0.25">
      <c r="A224" s="349" t="s">
        <v>228</v>
      </c>
      <c r="B224" s="350" t="s">
        <v>435</v>
      </c>
      <c r="C224" s="352">
        <v>3</v>
      </c>
      <c r="D224" s="352">
        <v>1</v>
      </c>
      <c r="E224" s="352">
        <v>3</v>
      </c>
      <c r="F224" s="295"/>
      <c r="G224" s="295"/>
      <c r="H224" s="295"/>
      <c r="I224" s="296"/>
      <c r="J224" s="296"/>
      <c r="K224" s="296"/>
      <c r="L224" s="296"/>
      <c r="M224" s="296"/>
      <c r="N224" s="252"/>
      <c r="O224" s="252"/>
      <c r="P224" s="252"/>
      <c r="Q224" s="253"/>
    </row>
    <row r="225" spans="1:17" s="3" customFormat="1" ht="25" customHeight="1" x14ac:dyDescent="0.25">
      <c r="A225" s="349"/>
      <c r="B225" s="389" t="s">
        <v>380</v>
      </c>
      <c r="C225" s="364">
        <f>SUM(C221:C224)</f>
        <v>12</v>
      </c>
      <c r="D225" s="364">
        <f>SUM(D221:D224)</f>
        <v>4</v>
      </c>
      <c r="E225" s="364">
        <f>SUM(E221:E224)</f>
        <v>8</v>
      </c>
      <c r="F225" s="295"/>
      <c r="G225" s="295"/>
      <c r="H225" s="295"/>
      <c r="I225" s="296"/>
      <c r="J225" s="296"/>
      <c r="K225" s="296"/>
      <c r="L225" s="296"/>
      <c r="M225" s="296"/>
      <c r="N225" s="252"/>
      <c r="O225" s="252"/>
      <c r="P225" s="252"/>
      <c r="Q225" s="253"/>
    </row>
    <row r="226" spans="1:17" s="3" customFormat="1" ht="25" customHeight="1" x14ac:dyDescent="0.25">
      <c r="A226" s="359" t="s">
        <v>148</v>
      </c>
      <c r="B226" s="360" t="s">
        <v>696</v>
      </c>
      <c r="C226" s="352"/>
      <c r="D226" s="352"/>
      <c r="E226" s="352"/>
      <c r="F226" s="295"/>
      <c r="G226" s="295"/>
      <c r="H226" s="295"/>
      <c r="I226" s="296"/>
      <c r="J226" s="296"/>
      <c r="K226" s="296"/>
      <c r="L226" s="296"/>
      <c r="M226" s="296"/>
      <c r="N226" s="252"/>
      <c r="O226" s="252"/>
      <c r="P226" s="252"/>
      <c r="Q226" s="253"/>
    </row>
    <row r="227" spans="1:17" s="3" customFormat="1" ht="25" customHeight="1" x14ac:dyDescent="0.25">
      <c r="A227" s="423">
        <v>3</v>
      </c>
      <c r="B227" s="423" t="s">
        <v>166</v>
      </c>
      <c r="C227" s="352"/>
      <c r="D227" s="352"/>
      <c r="E227" s="352"/>
      <c r="F227" s="295"/>
      <c r="G227" s="295"/>
      <c r="H227" s="295"/>
      <c r="I227" s="296"/>
      <c r="J227" s="296"/>
      <c r="K227" s="296"/>
      <c r="L227" s="296"/>
      <c r="M227" s="296"/>
      <c r="N227" s="252"/>
      <c r="O227" s="252"/>
      <c r="P227" s="252"/>
      <c r="Q227" s="253"/>
    </row>
    <row r="228" spans="1:17" s="3" customFormat="1" ht="25" customHeight="1" x14ac:dyDescent="0.25">
      <c r="A228" s="356" t="s">
        <v>147</v>
      </c>
      <c r="B228" s="357" t="s">
        <v>167</v>
      </c>
      <c r="C228" s="352"/>
      <c r="D228" s="352"/>
      <c r="E228" s="352"/>
      <c r="F228" s="295"/>
      <c r="G228" s="295"/>
      <c r="H228" s="295"/>
      <c r="I228" s="296"/>
      <c r="J228" s="296"/>
      <c r="K228" s="296"/>
      <c r="L228" s="296"/>
      <c r="M228" s="296"/>
      <c r="N228" s="252"/>
      <c r="O228" s="252"/>
      <c r="P228" s="252"/>
      <c r="Q228" s="253"/>
    </row>
    <row r="229" spans="1:17" s="3" customFormat="1" ht="25" customHeight="1" x14ac:dyDescent="0.25">
      <c r="A229" s="359" t="s">
        <v>148</v>
      </c>
      <c r="B229" s="360" t="s">
        <v>168</v>
      </c>
      <c r="C229" s="352"/>
      <c r="D229" s="352"/>
      <c r="E229" s="352"/>
      <c r="F229" s="295">
        <f>F224+F227+F228</f>
        <v>0</v>
      </c>
      <c r="G229" s="291">
        <f>G224+G227+G228</f>
        <v>0</v>
      </c>
      <c r="H229" s="291">
        <f>H224+H227+H228</f>
        <v>0</v>
      </c>
      <c r="I229" s="291">
        <f>I224+I227+I228</f>
        <v>0</v>
      </c>
      <c r="J229" s="296"/>
      <c r="K229" s="296"/>
      <c r="L229" s="296"/>
      <c r="M229" s="296"/>
      <c r="N229" s="252"/>
      <c r="O229" s="252"/>
      <c r="P229" s="252"/>
      <c r="Q229" s="253"/>
    </row>
    <row r="230" spans="1:17" s="3" customFormat="1" ht="25" customHeight="1" x14ac:dyDescent="0.25">
      <c r="A230" s="359" t="s">
        <v>169</v>
      </c>
      <c r="B230" s="360" t="s">
        <v>170</v>
      </c>
      <c r="C230" s="352"/>
      <c r="D230" s="352"/>
      <c r="E230" s="352"/>
      <c r="F230" s="295"/>
      <c r="G230" s="295"/>
      <c r="H230" s="295"/>
      <c r="I230" s="296"/>
      <c r="J230" s="296"/>
      <c r="K230" s="296"/>
      <c r="L230" s="296"/>
      <c r="M230" s="296"/>
      <c r="N230" s="252"/>
      <c r="O230" s="252"/>
      <c r="P230" s="252"/>
      <c r="Q230" s="253"/>
    </row>
    <row r="231" spans="1:17" s="3" customFormat="1" ht="25" customHeight="1" x14ac:dyDescent="0.25">
      <c r="A231" s="354"/>
      <c r="B231" s="361" t="s">
        <v>438</v>
      </c>
      <c r="C231" s="364">
        <f>C229+C230</f>
        <v>0</v>
      </c>
      <c r="D231" s="364">
        <f>D226+D229+D230</f>
        <v>0</v>
      </c>
      <c r="E231" s="364">
        <f>E226+E229+E230</f>
        <v>0</v>
      </c>
      <c r="F231" s="295"/>
      <c r="G231" s="295"/>
      <c r="H231" s="295"/>
      <c r="I231" s="296"/>
      <c r="J231" s="296"/>
      <c r="K231" s="296"/>
      <c r="L231" s="296"/>
      <c r="M231" s="296"/>
      <c r="N231" s="252"/>
      <c r="O231" s="252"/>
      <c r="P231" s="252"/>
      <c r="Q231" s="253"/>
    </row>
    <row r="232" spans="1:17" s="3" customFormat="1" ht="25" customHeight="1" x14ac:dyDescent="0.25">
      <c r="A232" s="423" t="s">
        <v>8</v>
      </c>
      <c r="B232" s="423" t="s">
        <v>224</v>
      </c>
      <c r="C232" s="352"/>
      <c r="D232" s="352"/>
      <c r="E232" s="352"/>
      <c r="F232" s="295"/>
      <c r="G232" s="295"/>
      <c r="H232" s="295"/>
      <c r="I232" s="296"/>
      <c r="J232" s="296"/>
      <c r="K232" s="296"/>
      <c r="L232" s="296"/>
      <c r="M232" s="296"/>
      <c r="N232" s="252"/>
      <c r="O232" s="252"/>
      <c r="P232" s="252"/>
      <c r="Q232" s="253"/>
    </row>
    <row r="233" spans="1:17" s="3" customFormat="1" ht="25" customHeight="1" x14ac:dyDescent="0.25">
      <c r="A233" s="423">
        <v>1</v>
      </c>
      <c r="B233" s="357" t="s">
        <v>225</v>
      </c>
      <c r="C233" s="352"/>
      <c r="D233" s="352"/>
      <c r="E233" s="352"/>
      <c r="F233" s="254">
        <f t="shared" ref="F233:F238" si="31">I233+J233+K233</f>
        <v>0</v>
      </c>
      <c r="G233" s="295">
        <v>60</v>
      </c>
      <c r="H233" s="249">
        <f t="shared" ref="H233:H238" si="32">C233*D233*E233*G233</f>
        <v>0</v>
      </c>
      <c r="I233" s="251">
        <f t="shared" ref="I233:I238" si="33">IF(G233&lt;70, C233*E233*16.5*1, C233*E233*16.5*1.3)</f>
        <v>0</v>
      </c>
      <c r="J233" s="296"/>
      <c r="K233" s="296"/>
      <c r="L233" s="296"/>
      <c r="M233" s="296"/>
      <c r="N233" s="252"/>
      <c r="O233" s="252"/>
      <c r="P233" s="252"/>
      <c r="Q233" s="253"/>
    </row>
    <row r="234" spans="1:17" s="3" customFormat="1" ht="25" customHeight="1" x14ac:dyDescent="0.25">
      <c r="A234" s="423" t="s">
        <v>147</v>
      </c>
      <c r="B234" s="357" t="s">
        <v>163</v>
      </c>
      <c r="C234" s="352"/>
      <c r="D234" s="352"/>
      <c r="E234" s="352"/>
      <c r="F234" s="254">
        <f t="shared" si="31"/>
        <v>0</v>
      </c>
      <c r="G234" s="295">
        <v>60</v>
      </c>
      <c r="H234" s="249">
        <f t="shared" si="32"/>
        <v>0</v>
      </c>
      <c r="I234" s="251">
        <f t="shared" si="33"/>
        <v>0</v>
      </c>
      <c r="J234" s="296"/>
      <c r="K234" s="296"/>
      <c r="L234" s="296"/>
      <c r="M234" s="296"/>
      <c r="N234" s="252"/>
      <c r="O234" s="252"/>
      <c r="P234" s="252"/>
      <c r="Q234" s="253"/>
    </row>
    <row r="235" spans="1:17" s="3" customFormat="1" ht="25" customHeight="1" x14ac:dyDescent="0.25">
      <c r="A235" s="354" t="s">
        <v>226</v>
      </c>
      <c r="B235" s="350" t="s">
        <v>697</v>
      </c>
      <c r="C235" s="352">
        <v>5</v>
      </c>
      <c r="D235" s="352">
        <v>1</v>
      </c>
      <c r="E235" s="352">
        <v>16</v>
      </c>
      <c r="F235" s="254">
        <f t="shared" si="31"/>
        <v>1320</v>
      </c>
      <c r="G235" s="295">
        <v>60</v>
      </c>
      <c r="H235" s="249">
        <f t="shared" si="32"/>
        <v>4800</v>
      </c>
      <c r="I235" s="251">
        <f t="shared" si="33"/>
        <v>1320</v>
      </c>
      <c r="J235" s="296"/>
      <c r="K235" s="296"/>
      <c r="L235" s="296"/>
      <c r="M235" s="296"/>
      <c r="N235" s="252"/>
      <c r="O235" s="252"/>
      <c r="P235" s="252"/>
      <c r="Q235" s="253"/>
    </row>
    <row r="236" spans="1:17" s="3" customFormat="1" ht="25" customHeight="1" x14ac:dyDescent="0.25">
      <c r="A236" s="354" t="s">
        <v>227</v>
      </c>
      <c r="B236" s="350" t="s">
        <v>436</v>
      </c>
      <c r="C236" s="352">
        <v>5</v>
      </c>
      <c r="D236" s="352">
        <v>1</v>
      </c>
      <c r="E236" s="352">
        <v>7</v>
      </c>
      <c r="F236" s="254">
        <f t="shared" si="31"/>
        <v>577.5</v>
      </c>
      <c r="G236" s="295">
        <v>60</v>
      </c>
      <c r="H236" s="249">
        <f t="shared" si="32"/>
        <v>2100</v>
      </c>
      <c r="I236" s="251">
        <f t="shared" si="33"/>
        <v>577.5</v>
      </c>
      <c r="J236" s="296"/>
      <c r="K236" s="296"/>
      <c r="L236" s="296"/>
      <c r="M236" s="296"/>
      <c r="N236" s="252"/>
      <c r="O236" s="252"/>
      <c r="P236" s="252"/>
      <c r="Q236" s="253"/>
    </row>
    <row r="237" spans="1:17" s="3" customFormat="1" ht="25" customHeight="1" x14ac:dyDescent="0.25">
      <c r="A237" s="354" t="s">
        <v>228</v>
      </c>
      <c r="B237" s="350" t="s">
        <v>425</v>
      </c>
      <c r="C237" s="352">
        <v>3</v>
      </c>
      <c r="D237" s="352">
        <v>1</v>
      </c>
      <c r="E237" s="352">
        <v>16</v>
      </c>
      <c r="F237" s="254">
        <f t="shared" si="31"/>
        <v>792</v>
      </c>
      <c r="G237" s="259">
        <v>50</v>
      </c>
      <c r="H237" s="249">
        <f t="shared" si="32"/>
        <v>2400</v>
      </c>
      <c r="I237" s="251">
        <f t="shared" si="33"/>
        <v>792</v>
      </c>
      <c r="J237" s="296"/>
      <c r="K237" s="296"/>
      <c r="L237" s="296"/>
      <c r="M237" s="296"/>
      <c r="N237" s="252"/>
      <c r="O237" s="252"/>
      <c r="P237" s="252"/>
      <c r="Q237" s="253"/>
    </row>
    <row r="238" spans="1:17" s="3" customFormat="1" ht="25" customHeight="1" x14ac:dyDescent="0.25">
      <c r="A238" s="354" t="s">
        <v>229</v>
      </c>
      <c r="B238" s="350" t="s">
        <v>437</v>
      </c>
      <c r="C238" s="352">
        <v>3</v>
      </c>
      <c r="D238" s="352">
        <v>1</v>
      </c>
      <c r="E238" s="352">
        <v>7</v>
      </c>
      <c r="F238" s="254">
        <f t="shared" si="31"/>
        <v>346.5</v>
      </c>
      <c r="G238" s="259">
        <v>50</v>
      </c>
      <c r="H238" s="249">
        <f t="shared" si="32"/>
        <v>1050</v>
      </c>
      <c r="I238" s="251">
        <f t="shared" si="33"/>
        <v>346.5</v>
      </c>
      <c r="J238" s="296"/>
      <c r="K238" s="296"/>
      <c r="L238" s="296"/>
      <c r="M238" s="296"/>
      <c r="N238" s="252"/>
      <c r="O238" s="252"/>
      <c r="P238" s="252"/>
      <c r="Q238" s="253"/>
    </row>
    <row r="239" spans="1:17" s="3" customFormat="1" ht="25" customHeight="1" x14ac:dyDescent="0.25">
      <c r="A239" s="354" t="s">
        <v>230</v>
      </c>
      <c r="B239" s="350" t="s">
        <v>505</v>
      </c>
      <c r="C239" s="352">
        <v>5</v>
      </c>
      <c r="D239" s="352">
        <v>1</v>
      </c>
      <c r="E239" s="352">
        <v>7</v>
      </c>
      <c r="F239" s="271">
        <f>SUM(F233:F238)</f>
        <v>3036</v>
      </c>
      <c r="G239" s="279">
        <f>SUM(G233:G238)</f>
        <v>340</v>
      </c>
      <c r="H239" s="279">
        <f>SUM(H233:H238)</f>
        <v>10350</v>
      </c>
      <c r="I239" s="279">
        <f>SUM(I233:I238)</f>
        <v>3036</v>
      </c>
      <c r="J239" s="252"/>
      <c r="K239" s="252"/>
      <c r="L239" s="252"/>
      <c r="M239" s="252"/>
      <c r="N239" s="252"/>
      <c r="O239" s="252"/>
      <c r="P239" s="252"/>
      <c r="Q239" s="253"/>
    </row>
    <row r="240" spans="1:17" s="3" customFormat="1" ht="25" customHeight="1" x14ac:dyDescent="0.25">
      <c r="A240" s="354" t="s">
        <v>231</v>
      </c>
      <c r="B240" s="350" t="s">
        <v>506</v>
      </c>
      <c r="C240" s="352">
        <v>5</v>
      </c>
      <c r="D240" s="352">
        <v>1</v>
      </c>
      <c r="E240" s="352">
        <v>16</v>
      </c>
      <c r="F240" s="317">
        <f>F211+F223+F229+F239</f>
        <v>5070.45</v>
      </c>
      <c r="G240" s="282">
        <f>G211+G223+G229+G239</f>
        <v>895</v>
      </c>
      <c r="H240" s="282">
        <f>H211+H223+H229+H239</f>
        <v>16230</v>
      </c>
      <c r="I240" s="282">
        <f>I211+I223+I229+I239</f>
        <v>5070.45</v>
      </c>
      <c r="J240" s="300">
        <v>0</v>
      </c>
      <c r="K240" s="301">
        <v>0</v>
      </c>
      <c r="L240" s="264">
        <f>'Bieu3 GDH'!F20</f>
        <v>1080</v>
      </c>
      <c r="M240" s="264">
        <f>'Bieu3 GDH'!N20</f>
        <v>1039.5</v>
      </c>
      <c r="N240" s="260">
        <f>I240-M240</f>
        <v>4030.95</v>
      </c>
      <c r="O240" s="264">
        <f>'Bieu3 GDH'!O20</f>
        <v>805.25</v>
      </c>
      <c r="P240" s="264">
        <f>'Bieu3 GDH'!P20</f>
        <v>370</v>
      </c>
      <c r="Q240" s="265"/>
    </row>
    <row r="241" spans="1:17" s="3" customFormat="1" ht="25" customHeight="1" x14ac:dyDescent="0.25">
      <c r="A241" s="354"/>
      <c r="B241" s="361" t="s">
        <v>380</v>
      </c>
      <c r="C241" s="364">
        <f>SUM(C235:C240)</f>
        <v>26</v>
      </c>
      <c r="D241" s="364">
        <f>SUM(D235:D240)</f>
        <v>6</v>
      </c>
      <c r="E241" s="364">
        <f>SUM(E235:E240)</f>
        <v>69</v>
      </c>
      <c r="F241" s="439"/>
      <c r="G241" s="438"/>
      <c r="H241" s="438"/>
      <c r="I241" s="438"/>
      <c r="J241" s="440"/>
      <c r="K241" s="441"/>
      <c r="L241" s="370"/>
      <c r="M241" s="370"/>
      <c r="N241" s="365"/>
      <c r="O241" s="370"/>
      <c r="P241" s="370"/>
      <c r="Q241" s="371"/>
    </row>
    <row r="242" spans="1:17" s="3" customFormat="1" ht="25" customHeight="1" x14ac:dyDescent="0.25">
      <c r="A242" s="393"/>
      <c r="B242" s="442" t="s">
        <v>439</v>
      </c>
      <c r="C242" s="388">
        <f>C4+C212+C225+C231+C241</f>
        <v>67</v>
      </c>
      <c r="D242" s="388">
        <f>D212+D225+D231+D241</f>
        <v>19</v>
      </c>
      <c r="E242" s="388">
        <f>E212+E225+E231+E241</f>
        <v>120</v>
      </c>
      <c r="F242" s="439"/>
      <c r="G242" s="438"/>
      <c r="H242" s="438"/>
      <c r="I242" s="438"/>
      <c r="J242" s="440"/>
      <c r="K242" s="441"/>
      <c r="L242" s="370"/>
      <c r="M242" s="370"/>
      <c r="N242" s="365"/>
      <c r="O242" s="370"/>
      <c r="P242" s="370"/>
      <c r="Q242" s="371"/>
    </row>
    <row r="243" spans="1:17" s="3" customFormat="1" ht="25" customHeight="1" x14ac:dyDescent="0.25">
      <c r="A243" s="242" t="s">
        <v>6</v>
      </c>
      <c r="B243" s="242" t="s">
        <v>483</v>
      </c>
      <c r="C243" s="243"/>
      <c r="D243" s="243"/>
      <c r="E243" s="243"/>
      <c r="F243" s="315"/>
      <c r="G243" s="243"/>
      <c r="H243" s="243"/>
      <c r="I243" s="243"/>
      <c r="J243" s="243"/>
      <c r="K243" s="283"/>
      <c r="L243" s="284"/>
      <c r="M243" s="257"/>
      <c r="N243" s="257"/>
      <c r="O243" s="257"/>
      <c r="P243" s="257"/>
      <c r="Q243" s="257"/>
    </row>
    <row r="244" spans="1:17" s="3" customFormat="1" ht="25" customHeight="1" x14ac:dyDescent="0.25">
      <c r="A244" s="242" t="s">
        <v>7</v>
      </c>
      <c r="B244" s="242" t="s">
        <v>223</v>
      </c>
      <c r="C244" s="243"/>
      <c r="D244" s="243"/>
      <c r="E244" s="243"/>
      <c r="F244" s="315"/>
      <c r="G244" s="243"/>
      <c r="H244" s="243"/>
      <c r="I244" s="243"/>
      <c r="J244" s="243"/>
      <c r="K244" s="283"/>
      <c r="L244" s="284"/>
      <c r="M244" s="257"/>
      <c r="N244" s="257"/>
      <c r="O244" s="257"/>
      <c r="P244" s="257"/>
      <c r="Q244" s="257"/>
    </row>
    <row r="245" spans="1:17" s="3" customFormat="1" ht="25" customHeight="1" x14ac:dyDescent="0.25">
      <c r="A245" s="242">
        <v>1</v>
      </c>
      <c r="B245" s="242" t="s">
        <v>4</v>
      </c>
      <c r="C245" s="243"/>
      <c r="D245" s="243"/>
      <c r="E245" s="243"/>
      <c r="F245" s="315"/>
      <c r="G245" s="243"/>
      <c r="H245" s="243"/>
      <c r="I245" s="243"/>
      <c r="J245" s="243"/>
      <c r="K245" s="283"/>
      <c r="L245" s="284"/>
      <c r="M245" s="257"/>
      <c r="N245" s="257"/>
      <c r="O245" s="257"/>
      <c r="P245" s="257"/>
      <c r="Q245" s="257"/>
    </row>
    <row r="246" spans="1:17" s="3" customFormat="1" ht="25" customHeight="1" x14ac:dyDescent="0.25">
      <c r="A246" s="244" t="s">
        <v>147</v>
      </c>
      <c r="B246" s="245" t="s">
        <v>161</v>
      </c>
      <c r="C246" s="246"/>
      <c r="D246" s="246"/>
      <c r="E246" s="246"/>
      <c r="F246" s="249"/>
      <c r="G246" s="246"/>
      <c r="H246" s="246"/>
      <c r="I246" s="247"/>
      <c r="J246" s="247"/>
      <c r="K246" s="283"/>
      <c r="L246" s="284"/>
      <c r="M246" s="257"/>
      <c r="N246" s="257"/>
      <c r="O246" s="257"/>
      <c r="P246" s="257"/>
      <c r="Q246" s="257"/>
    </row>
    <row r="247" spans="1:17" s="3" customFormat="1" ht="25" customHeight="1" x14ac:dyDescent="0.25">
      <c r="A247" s="358" t="s">
        <v>226</v>
      </c>
      <c r="B247" s="372" t="s">
        <v>440</v>
      </c>
      <c r="C247" s="352">
        <v>2</v>
      </c>
      <c r="D247" s="351">
        <v>1</v>
      </c>
      <c r="E247" s="352">
        <v>1</v>
      </c>
      <c r="F247" s="254">
        <f t="shared" ref="F247:F272" si="34">I247+J247+K247</f>
        <v>33</v>
      </c>
      <c r="G247" s="249">
        <v>40</v>
      </c>
      <c r="H247" s="249">
        <f t="shared" ref="H247:H271" si="35">C247*D247*E247*G247</f>
        <v>80</v>
      </c>
      <c r="I247" s="251">
        <f t="shared" ref="I247:I272" si="36">IF(G247&lt;70, C247*E247*16.5*1, C247*E247*16.5*1.3)</f>
        <v>33</v>
      </c>
      <c r="J247" s="247"/>
      <c r="K247" s="283"/>
      <c r="L247" s="284"/>
      <c r="M247" s="257"/>
      <c r="N247" s="257"/>
      <c r="O247" s="257"/>
      <c r="P247" s="257"/>
      <c r="Q247" s="257"/>
    </row>
    <row r="248" spans="1:17" s="3" customFormat="1" ht="25" customHeight="1" x14ac:dyDescent="0.25">
      <c r="A248" s="358" t="s">
        <v>227</v>
      </c>
      <c r="B248" s="390" t="s">
        <v>441</v>
      </c>
      <c r="C248" s="352">
        <v>3</v>
      </c>
      <c r="D248" s="352">
        <v>1</v>
      </c>
      <c r="E248" s="352">
        <v>1</v>
      </c>
      <c r="F248" s="254">
        <f t="shared" si="34"/>
        <v>49.5</v>
      </c>
      <c r="G248" s="249">
        <v>20</v>
      </c>
      <c r="H248" s="249">
        <f t="shared" si="35"/>
        <v>60</v>
      </c>
      <c r="I248" s="251">
        <f t="shared" si="36"/>
        <v>49.5</v>
      </c>
      <c r="J248" s="247"/>
      <c r="K248" s="283"/>
      <c r="L248" s="284"/>
      <c r="M248" s="257"/>
      <c r="N248" s="257"/>
      <c r="O248" s="257"/>
      <c r="P248" s="257"/>
      <c r="Q248" s="257"/>
    </row>
    <row r="249" spans="1:17" s="3" customFormat="1" ht="25" customHeight="1" x14ac:dyDescent="0.25">
      <c r="A249" s="358" t="s">
        <v>228</v>
      </c>
      <c r="B249" s="350" t="s">
        <v>442</v>
      </c>
      <c r="C249" s="352">
        <v>2</v>
      </c>
      <c r="D249" s="352">
        <v>1</v>
      </c>
      <c r="E249" s="352">
        <v>3</v>
      </c>
      <c r="F249" s="254">
        <f t="shared" si="34"/>
        <v>128.70000000000002</v>
      </c>
      <c r="G249" s="249">
        <v>80</v>
      </c>
      <c r="H249" s="249">
        <f t="shared" si="35"/>
        <v>480</v>
      </c>
      <c r="I249" s="251">
        <f t="shared" si="36"/>
        <v>128.70000000000002</v>
      </c>
      <c r="J249" s="252"/>
      <c r="K249" s="283"/>
      <c r="L249" s="284"/>
      <c r="M249" s="257"/>
      <c r="N249" s="257"/>
      <c r="O249" s="257"/>
      <c r="P249" s="257"/>
      <c r="Q249" s="257"/>
    </row>
    <row r="250" spans="1:17" s="3" customFormat="1" ht="25" customHeight="1" x14ac:dyDescent="0.25">
      <c r="A250" s="358" t="s">
        <v>229</v>
      </c>
      <c r="B250" s="372" t="s">
        <v>443</v>
      </c>
      <c r="C250" s="352">
        <v>3</v>
      </c>
      <c r="D250" s="352">
        <v>1</v>
      </c>
      <c r="E250" s="352">
        <v>1</v>
      </c>
      <c r="F250" s="254">
        <f t="shared" si="34"/>
        <v>64.350000000000009</v>
      </c>
      <c r="G250" s="249">
        <v>80</v>
      </c>
      <c r="H250" s="249">
        <f t="shared" si="35"/>
        <v>240</v>
      </c>
      <c r="I250" s="251">
        <f t="shared" si="36"/>
        <v>64.350000000000009</v>
      </c>
      <c r="J250" s="247"/>
      <c r="K250" s="283"/>
      <c r="L250" s="284"/>
      <c r="M250" s="257"/>
      <c r="N250" s="257"/>
      <c r="O250" s="257"/>
      <c r="P250" s="257"/>
      <c r="Q250" s="257"/>
    </row>
    <row r="251" spans="1:17" s="3" customFormat="1" ht="25" customHeight="1" x14ac:dyDescent="0.25">
      <c r="A251" s="358" t="s">
        <v>230</v>
      </c>
      <c r="B251" s="350" t="s">
        <v>442</v>
      </c>
      <c r="C251" s="352">
        <v>2</v>
      </c>
      <c r="D251" s="352">
        <v>1</v>
      </c>
      <c r="E251" s="352">
        <v>2</v>
      </c>
      <c r="F251" s="254">
        <f t="shared" si="34"/>
        <v>85.8</v>
      </c>
      <c r="G251" s="249">
        <v>80</v>
      </c>
      <c r="H251" s="249">
        <f t="shared" si="35"/>
        <v>320</v>
      </c>
      <c r="I251" s="251">
        <f t="shared" si="36"/>
        <v>85.8</v>
      </c>
      <c r="J251" s="247"/>
      <c r="K251" s="283"/>
      <c r="L251" s="284"/>
      <c r="M251" s="257"/>
      <c r="N251" s="257"/>
      <c r="O251" s="257"/>
      <c r="P251" s="257"/>
      <c r="Q251" s="257"/>
    </row>
    <row r="252" spans="1:17" s="3" customFormat="1" ht="25" customHeight="1" x14ac:dyDescent="0.25">
      <c r="A252" s="358" t="s">
        <v>231</v>
      </c>
      <c r="B252" s="372" t="s">
        <v>440</v>
      </c>
      <c r="C252" s="352">
        <v>2</v>
      </c>
      <c r="D252" s="352">
        <v>1</v>
      </c>
      <c r="E252" s="352">
        <v>1</v>
      </c>
      <c r="F252" s="254">
        <f t="shared" si="34"/>
        <v>42.9</v>
      </c>
      <c r="G252" s="249">
        <v>80</v>
      </c>
      <c r="H252" s="249">
        <f t="shared" si="35"/>
        <v>160</v>
      </c>
      <c r="I252" s="251">
        <f t="shared" si="36"/>
        <v>42.9</v>
      </c>
      <c r="J252" s="247"/>
      <c r="K252" s="283"/>
      <c r="L252" s="284"/>
      <c r="M252" s="257"/>
      <c r="N252" s="257"/>
      <c r="O252" s="257"/>
      <c r="P252" s="257"/>
      <c r="Q252" s="257"/>
    </row>
    <row r="253" spans="1:17" s="3" customFormat="1" ht="25" customHeight="1" x14ac:dyDescent="0.25">
      <c r="A253" s="358" t="s">
        <v>282</v>
      </c>
      <c r="B253" s="350" t="s">
        <v>444</v>
      </c>
      <c r="C253" s="351">
        <v>3</v>
      </c>
      <c r="D253" s="351">
        <v>1</v>
      </c>
      <c r="E253" s="351">
        <v>1</v>
      </c>
      <c r="F253" s="254">
        <f t="shared" si="34"/>
        <v>49.5</v>
      </c>
      <c r="G253" s="251">
        <v>40</v>
      </c>
      <c r="H253" s="249">
        <f t="shared" si="35"/>
        <v>120</v>
      </c>
      <c r="I253" s="251">
        <f t="shared" si="36"/>
        <v>49.5</v>
      </c>
      <c r="J253" s="247"/>
      <c r="K253" s="283"/>
      <c r="L253" s="284"/>
      <c r="M253" s="257"/>
      <c r="N253" s="257"/>
      <c r="O253" s="257"/>
      <c r="P253" s="257"/>
      <c r="Q253" s="257"/>
    </row>
    <row r="254" spans="1:17" s="3" customFormat="1" ht="25" customHeight="1" x14ac:dyDescent="0.25">
      <c r="A254" s="358" t="s">
        <v>283</v>
      </c>
      <c r="B254" s="350" t="s">
        <v>445</v>
      </c>
      <c r="C254" s="351">
        <v>2</v>
      </c>
      <c r="D254" s="351">
        <v>1</v>
      </c>
      <c r="E254" s="351">
        <v>1</v>
      </c>
      <c r="F254" s="254">
        <f t="shared" si="34"/>
        <v>33</v>
      </c>
      <c r="G254" s="251">
        <v>40</v>
      </c>
      <c r="H254" s="249">
        <f t="shared" si="35"/>
        <v>80</v>
      </c>
      <c r="I254" s="251">
        <f t="shared" si="36"/>
        <v>33</v>
      </c>
      <c r="J254" s="247"/>
      <c r="K254" s="283"/>
      <c r="L254" s="284"/>
      <c r="M254" s="257"/>
      <c r="N254" s="257"/>
      <c r="O254" s="257"/>
      <c r="P254" s="257"/>
      <c r="Q254" s="257"/>
    </row>
    <row r="255" spans="1:17" s="3" customFormat="1" ht="25" customHeight="1" x14ac:dyDescent="0.25">
      <c r="A255" s="358" t="s">
        <v>284</v>
      </c>
      <c r="B255" s="350" t="s">
        <v>446</v>
      </c>
      <c r="C255" s="351">
        <v>3</v>
      </c>
      <c r="D255" s="351">
        <v>1</v>
      </c>
      <c r="E255" s="351">
        <v>1</v>
      </c>
      <c r="F255" s="254">
        <f t="shared" si="34"/>
        <v>49.5</v>
      </c>
      <c r="G255" s="251">
        <v>30</v>
      </c>
      <c r="H255" s="249">
        <f t="shared" si="35"/>
        <v>90</v>
      </c>
      <c r="I255" s="251">
        <f t="shared" si="36"/>
        <v>49.5</v>
      </c>
      <c r="J255" s="247"/>
      <c r="K255" s="283"/>
      <c r="L255" s="284"/>
      <c r="M255" s="257"/>
      <c r="N255" s="257"/>
      <c r="O255" s="257"/>
      <c r="P255" s="257"/>
      <c r="Q255" s="257"/>
    </row>
    <row r="256" spans="1:17" s="3" customFormat="1" ht="25" customHeight="1" x14ac:dyDescent="0.25">
      <c r="A256" s="358" t="s">
        <v>285</v>
      </c>
      <c r="B256" s="350" t="s">
        <v>447</v>
      </c>
      <c r="C256" s="351">
        <v>4</v>
      </c>
      <c r="D256" s="351">
        <v>1</v>
      </c>
      <c r="E256" s="351">
        <v>1</v>
      </c>
      <c r="F256" s="254">
        <f t="shared" si="34"/>
        <v>66</v>
      </c>
      <c r="G256" s="251">
        <v>30</v>
      </c>
      <c r="H256" s="249">
        <f t="shared" si="35"/>
        <v>120</v>
      </c>
      <c r="I256" s="251">
        <f t="shared" si="36"/>
        <v>66</v>
      </c>
      <c r="J256" s="247"/>
      <c r="K256" s="283"/>
      <c r="L256" s="284"/>
      <c r="M256" s="257"/>
      <c r="N256" s="257"/>
      <c r="O256" s="257"/>
      <c r="P256" s="257"/>
      <c r="Q256" s="257"/>
    </row>
    <row r="257" spans="1:17" s="3" customFormat="1" ht="25" customHeight="1" x14ac:dyDescent="0.25">
      <c r="A257" s="358" t="s">
        <v>286</v>
      </c>
      <c r="B257" s="372" t="s">
        <v>440</v>
      </c>
      <c r="C257" s="351">
        <v>2</v>
      </c>
      <c r="D257" s="351">
        <v>1</v>
      </c>
      <c r="E257" s="351">
        <v>1</v>
      </c>
      <c r="F257" s="254">
        <f t="shared" si="34"/>
        <v>42.9</v>
      </c>
      <c r="G257" s="251">
        <v>80</v>
      </c>
      <c r="H257" s="249">
        <f t="shared" si="35"/>
        <v>160</v>
      </c>
      <c r="I257" s="251">
        <f t="shared" si="36"/>
        <v>42.9</v>
      </c>
      <c r="J257" s="247"/>
      <c r="K257" s="283"/>
      <c r="L257" s="284"/>
      <c r="M257" s="257"/>
      <c r="N257" s="257"/>
      <c r="O257" s="257"/>
      <c r="P257" s="257"/>
      <c r="Q257" s="257"/>
    </row>
    <row r="258" spans="1:17" s="3" customFormat="1" ht="25" customHeight="1" x14ac:dyDescent="0.25">
      <c r="A258" s="358" t="s">
        <v>289</v>
      </c>
      <c r="B258" s="350" t="s">
        <v>442</v>
      </c>
      <c r="C258" s="352">
        <v>2</v>
      </c>
      <c r="D258" s="352">
        <v>1</v>
      </c>
      <c r="E258" s="351">
        <v>1</v>
      </c>
      <c r="F258" s="254">
        <f t="shared" si="34"/>
        <v>42.9</v>
      </c>
      <c r="G258" s="249">
        <v>80</v>
      </c>
      <c r="H258" s="249">
        <f t="shared" si="35"/>
        <v>160</v>
      </c>
      <c r="I258" s="251">
        <f t="shared" si="36"/>
        <v>42.9</v>
      </c>
      <c r="J258" s="247"/>
      <c r="K258" s="283"/>
      <c r="L258" s="284"/>
      <c r="M258" s="257"/>
      <c r="N258" s="257"/>
      <c r="O258" s="257"/>
      <c r="P258" s="257"/>
      <c r="Q258" s="257"/>
    </row>
    <row r="259" spans="1:17" s="3" customFormat="1" ht="25" customHeight="1" x14ac:dyDescent="0.25">
      <c r="A259" s="358" t="s">
        <v>290</v>
      </c>
      <c r="B259" s="350" t="s">
        <v>448</v>
      </c>
      <c r="C259" s="352">
        <v>4</v>
      </c>
      <c r="D259" s="352">
        <v>1</v>
      </c>
      <c r="E259" s="352">
        <v>1</v>
      </c>
      <c r="F259" s="254">
        <f t="shared" si="34"/>
        <v>66</v>
      </c>
      <c r="G259" s="249">
        <v>30</v>
      </c>
      <c r="H259" s="249">
        <f t="shared" si="35"/>
        <v>120</v>
      </c>
      <c r="I259" s="251">
        <f t="shared" si="36"/>
        <v>66</v>
      </c>
      <c r="J259" s="247"/>
      <c r="K259" s="283"/>
      <c r="L259" s="284"/>
      <c r="M259" s="257"/>
      <c r="N259" s="257"/>
      <c r="O259" s="257"/>
      <c r="P259" s="257"/>
      <c r="Q259" s="257"/>
    </row>
    <row r="260" spans="1:17" s="3" customFormat="1" ht="25" customHeight="1" x14ac:dyDescent="0.25">
      <c r="A260" s="358" t="s">
        <v>291</v>
      </c>
      <c r="B260" s="350" t="s">
        <v>449</v>
      </c>
      <c r="C260" s="391">
        <v>4</v>
      </c>
      <c r="D260" s="376">
        <v>1</v>
      </c>
      <c r="E260" s="376">
        <v>1</v>
      </c>
      <c r="F260" s="254">
        <f t="shared" si="34"/>
        <v>66</v>
      </c>
      <c r="G260" s="322">
        <v>40</v>
      </c>
      <c r="H260" s="249">
        <f t="shared" si="35"/>
        <v>160</v>
      </c>
      <c r="I260" s="251">
        <f t="shared" si="36"/>
        <v>66</v>
      </c>
      <c r="J260" s="247"/>
      <c r="K260" s="283"/>
      <c r="L260" s="284"/>
      <c r="M260" s="257"/>
      <c r="N260" s="257"/>
      <c r="O260" s="257"/>
      <c r="P260" s="257"/>
      <c r="Q260" s="257"/>
    </row>
    <row r="261" spans="1:17" s="3" customFormat="1" ht="25" customHeight="1" x14ac:dyDescent="0.25">
      <c r="A261" s="358" t="s">
        <v>292</v>
      </c>
      <c r="B261" s="372" t="s">
        <v>440</v>
      </c>
      <c r="C261" s="391">
        <v>2</v>
      </c>
      <c r="D261" s="376">
        <v>1</v>
      </c>
      <c r="E261" s="376">
        <v>1</v>
      </c>
      <c r="F261" s="254">
        <f t="shared" si="34"/>
        <v>42.9</v>
      </c>
      <c r="G261" s="322">
        <v>89</v>
      </c>
      <c r="H261" s="249">
        <f t="shared" si="35"/>
        <v>178</v>
      </c>
      <c r="I261" s="251">
        <f t="shared" si="36"/>
        <v>42.9</v>
      </c>
      <c r="J261" s="247"/>
      <c r="K261" s="283"/>
      <c r="L261" s="284"/>
      <c r="M261" s="257"/>
      <c r="N261" s="257"/>
      <c r="O261" s="257"/>
      <c r="P261" s="257"/>
      <c r="Q261" s="257"/>
    </row>
    <row r="262" spans="1:17" s="3" customFormat="1" ht="25" customHeight="1" x14ac:dyDescent="0.25">
      <c r="A262" s="358" t="s">
        <v>394</v>
      </c>
      <c r="B262" s="350" t="s">
        <v>450</v>
      </c>
      <c r="C262" s="391">
        <v>3</v>
      </c>
      <c r="D262" s="376">
        <v>1</v>
      </c>
      <c r="E262" s="376">
        <v>1</v>
      </c>
      <c r="F262" s="254">
        <f t="shared" si="34"/>
        <v>49.5</v>
      </c>
      <c r="G262" s="322">
        <v>40</v>
      </c>
      <c r="H262" s="249">
        <f t="shared" si="35"/>
        <v>120</v>
      </c>
      <c r="I262" s="251">
        <f t="shared" si="36"/>
        <v>49.5</v>
      </c>
      <c r="J262" s="252"/>
      <c r="K262" s="283"/>
      <c r="L262" s="284"/>
      <c r="M262" s="257"/>
      <c r="N262" s="257"/>
      <c r="O262" s="257"/>
      <c r="P262" s="257"/>
      <c r="Q262" s="257"/>
    </row>
    <row r="263" spans="1:17" s="3" customFormat="1" ht="25" customHeight="1" x14ac:dyDescent="0.25">
      <c r="A263" s="358" t="s">
        <v>395</v>
      </c>
      <c r="B263" s="350" t="s">
        <v>442</v>
      </c>
      <c r="C263" s="352">
        <v>2</v>
      </c>
      <c r="D263" s="352">
        <v>1</v>
      </c>
      <c r="E263" s="352">
        <v>1</v>
      </c>
      <c r="F263" s="254">
        <f t="shared" si="34"/>
        <v>42.9</v>
      </c>
      <c r="G263" s="249">
        <v>80</v>
      </c>
      <c r="H263" s="249">
        <f t="shared" si="35"/>
        <v>160</v>
      </c>
      <c r="I263" s="251">
        <f t="shared" si="36"/>
        <v>42.9</v>
      </c>
      <c r="J263" s="252"/>
      <c r="K263" s="283"/>
      <c r="L263" s="284"/>
      <c r="M263" s="257"/>
      <c r="N263" s="257"/>
      <c r="O263" s="257"/>
      <c r="P263" s="257"/>
      <c r="Q263" s="257"/>
    </row>
    <row r="264" spans="1:17" s="3" customFormat="1" ht="25" customHeight="1" x14ac:dyDescent="0.25">
      <c r="A264" s="358" t="s">
        <v>396</v>
      </c>
      <c r="B264" s="375" t="s">
        <v>451</v>
      </c>
      <c r="C264" s="352">
        <v>2</v>
      </c>
      <c r="D264" s="352">
        <v>1</v>
      </c>
      <c r="E264" s="352">
        <v>1</v>
      </c>
      <c r="F264" s="254">
        <f t="shared" si="34"/>
        <v>33</v>
      </c>
      <c r="G264" s="249">
        <v>40</v>
      </c>
      <c r="H264" s="249">
        <f t="shared" si="35"/>
        <v>80</v>
      </c>
      <c r="I264" s="251">
        <f t="shared" si="36"/>
        <v>33</v>
      </c>
      <c r="J264" s="252"/>
      <c r="K264" s="283"/>
      <c r="L264" s="284"/>
      <c r="M264" s="257"/>
      <c r="N264" s="257"/>
      <c r="O264" s="257"/>
      <c r="P264" s="257"/>
      <c r="Q264" s="257"/>
    </row>
    <row r="265" spans="1:17" s="3" customFormat="1" ht="25" customHeight="1" x14ac:dyDescent="0.25">
      <c r="A265" s="358" t="s">
        <v>397</v>
      </c>
      <c r="B265" s="350" t="s">
        <v>452</v>
      </c>
      <c r="C265" s="352">
        <v>3</v>
      </c>
      <c r="D265" s="352">
        <v>1</v>
      </c>
      <c r="E265" s="352">
        <v>1</v>
      </c>
      <c r="F265" s="254">
        <f t="shared" si="34"/>
        <v>49.5</v>
      </c>
      <c r="G265" s="249">
        <v>40</v>
      </c>
      <c r="H265" s="249">
        <f t="shared" si="35"/>
        <v>120</v>
      </c>
      <c r="I265" s="251">
        <f t="shared" si="36"/>
        <v>49.5</v>
      </c>
      <c r="J265" s="252"/>
      <c r="K265" s="283"/>
      <c r="L265" s="284"/>
      <c r="M265" s="257"/>
      <c r="N265" s="257"/>
      <c r="O265" s="257"/>
      <c r="P265" s="257"/>
      <c r="Q265" s="257"/>
    </row>
    <row r="266" spans="1:17" s="3" customFormat="1" ht="25" customHeight="1" x14ac:dyDescent="0.25">
      <c r="A266" s="358" t="s">
        <v>398</v>
      </c>
      <c r="B266" s="350" t="s">
        <v>453</v>
      </c>
      <c r="C266" s="352">
        <v>2</v>
      </c>
      <c r="D266" s="352">
        <v>1</v>
      </c>
      <c r="E266" s="352">
        <v>1</v>
      </c>
      <c r="F266" s="254">
        <f t="shared" si="34"/>
        <v>42.9</v>
      </c>
      <c r="G266" s="249">
        <v>80</v>
      </c>
      <c r="H266" s="249">
        <f t="shared" si="35"/>
        <v>160</v>
      </c>
      <c r="I266" s="251">
        <f t="shared" si="36"/>
        <v>42.9</v>
      </c>
      <c r="J266" s="252"/>
      <c r="K266" s="283"/>
      <c r="L266" s="284"/>
      <c r="M266" s="257"/>
      <c r="N266" s="257"/>
      <c r="O266" s="257"/>
      <c r="P266" s="257"/>
      <c r="Q266" s="257"/>
    </row>
    <row r="267" spans="1:17" s="3" customFormat="1" ht="25" customHeight="1" x14ac:dyDescent="0.25">
      <c r="A267" s="358" t="s">
        <v>399</v>
      </c>
      <c r="B267" s="350" t="s">
        <v>445</v>
      </c>
      <c r="C267" s="351">
        <v>2</v>
      </c>
      <c r="D267" s="377">
        <v>1</v>
      </c>
      <c r="E267" s="377">
        <v>1</v>
      </c>
      <c r="F267" s="254">
        <f t="shared" si="34"/>
        <v>33</v>
      </c>
      <c r="G267" s="255">
        <v>40</v>
      </c>
      <c r="H267" s="249">
        <f t="shared" si="35"/>
        <v>80</v>
      </c>
      <c r="I267" s="251">
        <f t="shared" si="36"/>
        <v>33</v>
      </c>
      <c r="J267" s="252"/>
      <c r="K267" s="283"/>
      <c r="L267" s="284"/>
      <c r="M267" s="257"/>
      <c r="N267" s="257"/>
      <c r="O267" s="257"/>
      <c r="P267" s="257"/>
      <c r="Q267" s="257"/>
    </row>
    <row r="268" spans="1:17" s="3" customFormat="1" ht="25" customHeight="1" x14ac:dyDescent="0.25">
      <c r="A268" s="358" t="s">
        <v>400</v>
      </c>
      <c r="B268" s="350" t="s">
        <v>453</v>
      </c>
      <c r="C268" s="352">
        <v>2</v>
      </c>
      <c r="D268" s="352">
        <v>1.3</v>
      </c>
      <c r="E268" s="352">
        <v>1</v>
      </c>
      <c r="F268" s="254">
        <f t="shared" si="34"/>
        <v>33</v>
      </c>
      <c r="G268" s="249">
        <v>40</v>
      </c>
      <c r="H268" s="249">
        <f t="shared" si="35"/>
        <v>104</v>
      </c>
      <c r="I268" s="251">
        <f t="shared" si="36"/>
        <v>33</v>
      </c>
      <c r="J268" s="252"/>
      <c r="K268" s="283"/>
      <c r="L268" s="284"/>
      <c r="M268" s="257"/>
      <c r="N268" s="257"/>
      <c r="O268" s="257"/>
      <c r="P268" s="257"/>
      <c r="Q268" s="257"/>
    </row>
    <row r="269" spans="1:17" s="3" customFormat="1" ht="25" customHeight="1" x14ac:dyDescent="0.25">
      <c r="A269" s="358" t="s">
        <v>401</v>
      </c>
      <c r="B269" s="350" t="s">
        <v>454</v>
      </c>
      <c r="C269" s="352">
        <v>4</v>
      </c>
      <c r="D269" s="352">
        <v>1</v>
      </c>
      <c r="E269" s="352">
        <v>1</v>
      </c>
      <c r="F269" s="254">
        <f t="shared" si="34"/>
        <v>66</v>
      </c>
      <c r="G269" s="249">
        <v>40</v>
      </c>
      <c r="H269" s="249">
        <f t="shared" si="35"/>
        <v>160</v>
      </c>
      <c r="I269" s="251">
        <f t="shared" si="36"/>
        <v>66</v>
      </c>
      <c r="J269" s="252"/>
      <c r="K269" s="283"/>
      <c r="L269" s="284"/>
      <c r="M269" s="257"/>
      <c r="N269" s="257"/>
      <c r="O269" s="257"/>
      <c r="P269" s="257"/>
      <c r="Q269" s="257"/>
    </row>
    <row r="270" spans="1:17" s="3" customFormat="1" ht="25" customHeight="1" x14ac:dyDescent="0.25">
      <c r="A270" s="358" t="s">
        <v>402</v>
      </c>
      <c r="B270" s="350" t="s">
        <v>455</v>
      </c>
      <c r="C270" s="352">
        <v>4</v>
      </c>
      <c r="D270" s="352">
        <v>1</v>
      </c>
      <c r="E270" s="352">
        <v>1</v>
      </c>
      <c r="F270" s="254">
        <f t="shared" si="34"/>
        <v>66</v>
      </c>
      <c r="G270" s="249">
        <v>40</v>
      </c>
      <c r="H270" s="249">
        <f t="shared" si="35"/>
        <v>160</v>
      </c>
      <c r="I270" s="251">
        <f t="shared" si="36"/>
        <v>66</v>
      </c>
      <c r="J270" s="252"/>
      <c r="K270" s="283"/>
      <c r="L270" s="284"/>
      <c r="M270" s="257"/>
      <c r="N270" s="257"/>
      <c r="O270" s="257"/>
      <c r="P270" s="257"/>
      <c r="Q270" s="257"/>
    </row>
    <row r="271" spans="1:17" s="3" customFormat="1" ht="25" customHeight="1" x14ac:dyDescent="0.25">
      <c r="A271" s="358" t="s">
        <v>403</v>
      </c>
      <c r="B271" s="350" t="s">
        <v>456</v>
      </c>
      <c r="C271" s="352">
        <v>3</v>
      </c>
      <c r="D271" s="352">
        <v>1</v>
      </c>
      <c r="E271" s="352">
        <v>1</v>
      </c>
      <c r="F271" s="254">
        <f t="shared" si="34"/>
        <v>49.5</v>
      </c>
      <c r="G271" s="249">
        <v>40</v>
      </c>
      <c r="H271" s="249">
        <f t="shared" si="35"/>
        <v>120</v>
      </c>
      <c r="I271" s="251">
        <f t="shared" si="36"/>
        <v>49.5</v>
      </c>
      <c r="J271" s="252"/>
      <c r="K271" s="283"/>
      <c r="L271" s="284"/>
      <c r="M271" s="257"/>
      <c r="N271" s="257"/>
      <c r="O271" s="257"/>
      <c r="P271" s="257"/>
      <c r="Q271" s="257"/>
    </row>
    <row r="272" spans="1:17" s="3" customFormat="1" ht="25" customHeight="1" x14ac:dyDescent="0.25">
      <c r="A272" s="358" t="s">
        <v>404</v>
      </c>
      <c r="B272" s="350" t="s">
        <v>457</v>
      </c>
      <c r="C272" s="352">
        <v>1</v>
      </c>
      <c r="D272" s="352">
        <v>1.3</v>
      </c>
      <c r="E272" s="352">
        <v>1</v>
      </c>
      <c r="F272" s="254">
        <f t="shared" si="34"/>
        <v>16.5</v>
      </c>
      <c r="G272" s="249">
        <v>40</v>
      </c>
      <c r="H272" s="249">
        <f>C272*D272*E272*G272</f>
        <v>52</v>
      </c>
      <c r="I272" s="251">
        <f t="shared" si="36"/>
        <v>16.5</v>
      </c>
      <c r="J272" s="252"/>
      <c r="K272" s="283"/>
      <c r="L272" s="284"/>
      <c r="M272" s="257"/>
      <c r="N272" s="257"/>
      <c r="O272" s="257"/>
      <c r="P272" s="257"/>
      <c r="Q272" s="257"/>
    </row>
    <row r="273" spans="1:17" s="3" customFormat="1" ht="25" customHeight="1" x14ac:dyDescent="0.25">
      <c r="A273" s="349"/>
      <c r="B273" s="392" t="s">
        <v>380</v>
      </c>
      <c r="C273" s="351">
        <f>SUM(C247:C272)</f>
        <v>68</v>
      </c>
      <c r="D273" s="351">
        <f t="shared" ref="D273:I273" si="37">SUM(D247:D272)</f>
        <v>26.6</v>
      </c>
      <c r="E273" s="351">
        <f t="shared" si="37"/>
        <v>29</v>
      </c>
      <c r="F273" s="269">
        <f t="shared" si="37"/>
        <v>1344.75</v>
      </c>
      <c r="G273" s="269">
        <f t="shared" si="37"/>
        <v>1359</v>
      </c>
      <c r="H273" s="269">
        <f t="shared" si="37"/>
        <v>3844</v>
      </c>
      <c r="I273" s="269">
        <f t="shared" si="37"/>
        <v>1344.75</v>
      </c>
      <c r="J273" s="252"/>
      <c r="K273" s="283"/>
      <c r="L273" s="284"/>
      <c r="M273" s="257"/>
      <c r="N273" s="257"/>
      <c r="O273" s="257"/>
      <c r="P273" s="257"/>
      <c r="Q273" s="257"/>
    </row>
    <row r="274" spans="1:17" s="3" customFormat="1" ht="25" customHeight="1" x14ac:dyDescent="0.25">
      <c r="A274" s="359" t="s">
        <v>148</v>
      </c>
      <c r="B274" s="360" t="s">
        <v>151</v>
      </c>
      <c r="C274" s="352"/>
      <c r="D274" s="352"/>
      <c r="E274" s="352"/>
      <c r="F274" s="249"/>
      <c r="G274" s="249"/>
      <c r="H274" s="249"/>
      <c r="I274" s="252"/>
      <c r="J274" s="252"/>
      <c r="K274" s="283"/>
      <c r="L274" s="284"/>
      <c r="M274" s="257"/>
      <c r="N274" s="257"/>
      <c r="O274" s="257"/>
      <c r="P274" s="257"/>
      <c r="Q274" s="257"/>
    </row>
    <row r="275" spans="1:17" s="3" customFormat="1" ht="25" customHeight="1" x14ac:dyDescent="0.25">
      <c r="A275" s="354" t="s">
        <v>232</v>
      </c>
      <c r="B275" s="349" t="s">
        <v>154</v>
      </c>
      <c r="C275" s="352"/>
      <c r="D275" s="352"/>
      <c r="E275" s="352"/>
      <c r="F275" s="249"/>
      <c r="G275" s="249"/>
      <c r="H275" s="249"/>
      <c r="I275" s="252"/>
      <c r="J275" s="252"/>
      <c r="K275" s="283"/>
      <c r="L275" s="284"/>
      <c r="M275" s="257"/>
      <c r="N275" s="257"/>
      <c r="O275" s="257"/>
      <c r="P275" s="257"/>
      <c r="Q275" s="257"/>
    </row>
    <row r="276" spans="1:17" s="3" customFormat="1" ht="25" customHeight="1" x14ac:dyDescent="0.25">
      <c r="A276" s="354" t="s">
        <v>233</v>
      </c>
      <c r="B276" s="349" t="s">
        <v>153</v>
      </c>
      <c r="C276" s="352"/>
      <c r="D276" s="352"/>
      <c r="E276" s="352"/>
      <c r="F276" s="249"/>
      <c r="G276" s="249"/>
      <c r="H276" s="249"/>
      <c r="I276" s="252"/>
      <c r="J276" s="252"/>
      <c r="K276" s="283"/>
      <c r="L276" s="284"/>
      <c r="M276" s="257"/>
      <c r="N276" s="257"/>
      <c r="O276" s="257"/>
      <c r="P276" s="257"/>
      <c r="Q276" s="257"/>
    </row>
    <row r="277" spans="1:17" s="3" customFormat="1" ht="25" customHeight="1" x14ac:dyDescent="0.25">
      <c r="A277" s="393" t="s">
        <v>234</v>
      </c>
      <c r="B277" s="394" t="s">
        <v>155</v>
      </c>
      <c r="C277" s="395">
        <v>5</v>
      </c>
      <c r="D277" s="395" t="s">
        <v>665</v>
      </c>
      <c r="E277" s="395">
        <v>21</v>
      </c>
      <c r="F277" s="249"/>
      <c r="G277" s="249"/>
      <c r="H277" s="249"/>
      <c r="I277" s="252"/>
      <c r="J277" s="252"/>
      <c r="K277" s="283"/>
      <c r="L277" s="284"/>
      <c r="M277" s="257"/>
      <c r="N277" s="257"/>
      <c r="O277" s="257"/>
      <c r="P277" s="257"/>
      <c r="Q277" s="257"/>
    </row>
    <row r="278" spans="1:17" s="3" customFormat="1" ht="25" customHeight="1" x14ac:dyDescent="0.25">
      <c r="A278" s="393" t="s">
        <v>235</v>
      </c>
      <c r="B278" s="394" t="s">
        <v>156</v>
      </c>
      <c r="C278" s="395">
        <v>5</v>
      </c>
      <c r="D278" s="395" t="s">
        <v>665</v>
      </c>
      <c r="E278" s="395">
        <v>21</v>
      </c>
      <c r="F278" s="249"/>
      <c r="G278" s="249"/>
      <c r="H278" s="249"/>
      <c r="I278" s="252"/>
      <c r="J278" s="252"/>
      <c r="K278" s="283"/>
      <c r="L278" s="284"/>
      <c r="M278" s="257"/>
      <c r="N278" s="257"/>
      <c r="O278" s="257"/>
      <c r="P278" s="257"/>
      <c r="Q278" s="257"/>
    </row>
    <row r="279" spans="1:17" s="3" customFormat="1" ht="25" customHeight="1" x14ac:dyDescent="0.25">
      <c r="A279" s="354" t="s">
        <v>236</v>
      </c>
      <c r="B279" s="349" t="s">
        <v>157</v>
      </c>
      <c r="C279" s="352"/>
      <c r="D279" s="352"/>
      <c r="E279" s="352"/>
      <c r="F279" s="249"/>
      <c r="G279" s="249"/>
      <c r="H279" s="249"/>
      <c r="I279" s="252"/>
      <c r="J279" s="252"/>
      <c r="K279" s="283"/>
      <c r="L279" s="284"/>
      <c r="M279" s="257"/>
      <c r="N279" s="257"/>
      <c r="O279" s="257"/>
      <c r="P279" s="257"/>
      <c r="Q279" s="257"/>
    </row>
    <row r="280" spans="1:17" s="3" customFormat="1" ht="25" customHeight="1" x14ac:dyDescent="0.25">
      <c r="A280" s="385">
        <v>2</v>
      </c>
      <c r="B280" s="385" t="s">
        <v>164</v>
      </c>
      <c r="C280" s="352"/>
      <c r="D280" s="352"/>
      <c r="E280" s="352"/>
      <c r="F280" s="249"/>
      <c r="G280" s="249"/>
      <c r="H280" s="249"/>
      <c r="I280" s="252"/>
      <c r="J280" s="252"/>
      <c r="K280" s="283"/>
      <c r="L280" s="284"/>
      <c r="M280" s="257"/>
      <c r="N280" s="257"/>
      <c r="O280" s="257"/>
      <c r="P280" s="257"/>
      <c r="Q280" s="257"/>
    </row>
    <row r="281" spans="1:17" s="3" customFormat="1" ht="25" customHeight="1" x14ac:dyDescent="0.25">
      <c r="A281" s="356" t="s">
        <v>147</v>
      </c>
      <c r="B281" s="357" t="s">
        <v>165</v>
      </c>
      <c r="C281" s="352"/>
      <c r="D281" s="352"/>
      <c r="E281" s="352"/>
      <c r="F281" s="249"/>
      <c r="G281" s="249"/>
      <c r="H281" s="249"/>
      <c r="I281" s="252"/>
      <c r="J281" s="252"/>
      <c r="K281" s="283"/>
      <c r="L281" s="284"/>
      <c r="M281" s="257"/>
      <c r="N281" s="257"/>
      <c r="O281" s="257"/>
      <c r="P281" s="257"/>
      <c r="Q281" s="257"/>
    </row>
    <row r="282" spans="1:17" s="3" customFormat="1" ht="25" customHeight="1" x14ac:dyDescent="0.25">
      <c r="A282" s="349" t="s">
        <v>226</v>
      </c>
      <c r="B282" s="350" t="s">
        <v>458</v>
      </c>
      <c r="C282" s="352">
        <v>3</v>
      </c>
      <c r="D282" s="352">
        <v>1</v>
      </c>
      <c r="E282" s="352">
        <v>6</v>
      </c>
      <c r="F282" s="254">
        <f t="shared" ref="F282:F294" si="38">I282+J282+K282</f>
        <v>445.5</v>
      </c>
      <c r="G282" s="249">
        <v>30</v>
      </c>
      <c r="H282" s="249">
        <f t="shared" ref="H282:H294" si="39">C282*D282*E282*G282</f>
        <v>540</v>
      </c>
      <c r="I282" s="251">
        <f>IF(G282&lt;70, C282*E282*16.5*1.5, C282*E282*16.5*1.5)</f>
        <v>445.5</v>
      </c>
      <c r="J282" s="252"/>
      <c r="K282" s="283"/>
      <c r="L282" s="284"/>
      <c r="M282" s="257"/>
      <c r="N282" s="257"/>
      <c r="O282" s="257"/>
      <c r="P282" s="257"/>
      <c r="Q282" s="257"/>
    </row>
    <row r="283" spans="1:17" s="3" customFormat="1" ht="25" customHeight="1" x14ac:dyDescent="0.25">
      <c r="A283" s="349" t="s">
        <v>227</v>
      </c>
      <c r="B283" s="350" t="s">
        <v>459</v>
      </c>
      <c r="C283" s="352">
        <v>3</v>
      </c>
      <c r="D283" s="352">
        <v>1</v>
      </c>
      <c r="E283" s="352">
        <v>6</v>
      </c>
      <c r="F283" s="254">
        <f t="shared" si="38"/>
        <v>445.5</v>
      </c>
      <c r="G283" s="249">
        <v>30</v>
      </c>
      <c r="H283" s="249">
        <f t="shared" si="39"/>
        <v>540</v>
      </c>
      <c r="I283" s="251">
        <f t="shared" ref="I283:I289" si="40">IF(G283&lt;70, C283*E283*16.5*1.5, C283*E283*16.5*1.5)</f>
        <v>445.5</v>
      </c>
      <c r="J283" s="252"/>
      <c r="K283" s="283"/>
      <c r="L283" s="284"/>
      <c r="M283" s="257"/>
      <c r="N283" s="257"/>
      <c r="O283" s="257"/>
      <c r="P283" s="257"/>
      <c r="Q283" s="257"/>
    </row>
    <row r="284" spans="1:17" s="3" customFormat="1" ht="25" customHeight="1" x14ac:dyDescent="0.25">
      <c r="A284" s="349" t="s">
        <v>228</v>
      </c>
      <c r="B284" s="350" t="s">
        <v>460</v>
      </c>
      <c r="C284" s="352">
        <v>3</v>
      </c>
      <c r="D284" s="352">
        <v>1</v>
      </c>
      <c r="E284" s="352">
        <v>1</v>
      </c>
      <c r="F284" s="254">
        <f t="shared" si="38"/>
        <v>74.25</v>
      </c>
      <c r="G284" s="249">
        <v>30</v>
      </c>
      <c r="H284" s="249">
        <f t="shared" si="39"/>
        <v>90</v>
      </c>
      <c r="I284" s="251">
        <f t="shared" si="40"/>
        <v>74.25</v>
      </c>
      <c r="J284" s="252"/>
      <c r="K284" s="283"/>
      <c r="L284" s="284"/>
      <c r="M284" s="257"/>
      <c r="N284" s="257"/>
      <c r="O284" s="257"/>
      <c r="P284" s="257"/>
      <c r="Q284" s="257"/>
    </row>
    <row r="285" spans="1:17" s="3" customFormat="1" ht="25" customHeight="1" x14ac:dyDescent="0.25">
      <c r="A285" s="349" t="s">
        <v>229</v>
      </c>
      <c r="B285" s="350" t="s">
        <v>461</v>
      </c>
      <c r="C285" s="352">
        <v>3</v>
      </c>
      <c r="D285" s="352">
        <v>1</v>
      </c>
      <c r="E285" s="352">
        <v>1</v>
      </c>
      <c r="F285" s="254">
        <f t="shared" si="38"/>
        <v>74.25</v>
      </c>
      <c r="G285" s="249">
        <v>30</v>
      </c>
      <c r="H285" s="249">
        <f t="shared" si="39"/>
        <v>90</v>
      </c>
      <c r="I285" s="251">
        <f t="shared" si="40"/>
        <v>74.25</v>
      </c>
      <c r="J285" s="252"/>
      <c r="K285" s="283"/>
      <c r="L285" s="284"/>
      <c r="M285" s="257"/>
      <c r="N285" s="257"/>
      <c r="O285" s="257"/>
      <c r="P285" s="257"/>
      <c r="Q285" s="257"/>
    </row>
    <row r="286" spans="1:17" s="3" customFormat="1" ht="25" customHeight="1" x14ac:dyDescent="0.25">
      <c r="A286" s="349" t="s">
        <v>230</v>
      </c>
      <c r="B286" s="353" t="s">
        <v>462</v>
      </c>
      <c r="C286" s="352">
        <v>3</v>
      </c>
      <c r="D286" s="352">
        <v>1</v>
      </c>
      <c r="E286" s="352">
        <v>6</v>
      </c>
      <c r="F286" s="254">
        <f t="shared" si="38"/>
        <v>445.5</v>
      </c>
      <c r="G286" s="249">
        <v>30</v>
      </c>
      <c r="H286" s="249">
        <f t="shared" si="39"/>
        <v>540</v>
      </c>
      <c r="I286" s="251">
        <f t="shared" si="40"/>
        <v>445.5</v>
      </c>
      <c r="J286" s="252"/>
      <c r="K286" s="283"/>
      <c r="L286" s="284"/>
      <c r="M286" s="257"/>
      <c r="N286" s="257"/>
      <c r="O286" s="257"/>
      <c r="P286" s="257"/>
      <c r="Q286" s="257"/>
    </row>
    <row r="287" spans="1:17" s="3" customFormat="1" ht="25" customHeight="1" x14ac:dyDescent="0.25">
      <c r="A287" s="349" t="s">
        <v>231</v>
      </c>
      <c r="B287" s="353" t="s">
        <v>463</v>
      </c>
      <c r="C287" s="352">
        <v>3</v>
      </c>
      <c r="D287" s="352">
        <v>1</v>
      </c>
      <c r="E287" s="352">
        <v>6</v>
      </c>
      <c r="F287" s="254">
        <f t="shared" si="38"/>
        <v>445.5</v>
      </c>
      <c r="G287" s="249">
        <v>30</v>
      </c>
      <c r="H287" s="249">
        <f t="shared" si="39"/>
        <v>540</v>
      </c>
      <c r="I287" s="251">
        <f t="shared" si="40"/>
        <v>445.5</v>
      </c>
      <c r="J287" s="252"/>
      <c r="K287" s="256"/>
      <c r="L287" s="245"/>
      <c r="M287" s="302"/>
      <c r="N287" s="302"/>
      <c r="O287" s="302"/>
      <c r="P287" s="302"/>
      <c r="Q287" s="302"/>
    </row>
    <row r="288" spans="1:17" s="3" customFormat="1" ht="25" customHeight="1" x14ac:dyDescent="0.25">
      <c r="A288" s="349" t="s">
        <v>282</v>
      </c>
      <c r="B288" s="353" t="s">
        <v>464</v>
      </c>
      <c r="C288" s="352">
        <v>3</v>
      </c>
      <c r="D288" s="352">
        <v>1</v>
      </c>
      <c r="E288" s="352">
        <v>1</v>
      </c>
      <c r="F288" s="254">
        <f t="shared" si="38"/>
        <v>74.25</v>
      </c>
      <c r="G288" s="249">
        <v>30</v>
      </c>
      <c r="H288" s="249">
        <f t="shared" si="39"/>
        <v>90</v>
      </c>
      <c r="I288" s="251">
        <f t="shared" si="40"/>
        <v>74.25</v>
      </c>
      <c r="J288" s="252"/>
      <c r="K288" s="242"/>
      <c r="L288" s="242"/>
      <c r="M288" s="302"/>
      <c r="N288" s="302"/>
      <c r="O288" s="302"/>
      <c r="P288" s="302"/>
      <c r="Q288" s="302"/>
    </row>
    <row r="289" spans="1:17" s="3" customFormat="1" ht="25" customHeight="1" x14ac:dyDescent="0.25">
      <c r="A289" s="349" t="s">
        <v>283</v>
      </c>
      <c r="B289" s="353" t="s">
        <v>465</v>
      </c>
      <c r="C289" s="352">
        <v>3</v>
      </c>
      <c r="D289" s="352">
        <v>1</v>
      </c>
      <c r="E289" s="352">
        <v>1</v>
      </c>
      <c r="F289" s="254">
        <f t="shared" si="38"/>
        <v>74.25</v>
      </c>
      <c r="G289" s="249">
        <v>30</v>
      </c>
      <c r="H289" s="249">
        <f t="shared" si="39"/>
        <v>90</v>
      </c>
      <c r="I289" s="251">
        <f t="shared" si="40"/>
        <v>74.25</v>
      </c>
      <c r="J289" s="252"/>
      <c r="K289" s="256"/>
      <c r="L289" s="242"/>
      <c r="M289" s="302"/>
      <c r="N289" s="302"/>
      <c r="O289" s="302"/>
      <c r="P289" s="302"/>
      <c r="Q289" s="302"/>
    </row>
    <row r="290" spans="1:17" s="3" customFormat="1" ht="25" customHeight="1" x14ac:dyDescent="0.25">
      <c r="A290" s="349" t="s">
        <v>284</v>
      </c>
      <c r="B290" s="353" t="s">
        <v>466</v>
      </c>
      <c r="C290" s="352">
        <v>3</v>
      </c>
      <c r="D290" s="352">
        <v>1</v>
      </c>
      <c r="E290" s="352">
        <v>6</v>
      </c>
      <c r="F290" s="254">
        <f t="shared" si="38"/>
        <v>445.5</v>
      </c>
      <c r="G290" s="249">
        <v>30</v>
      </c>
      <c r="H290" s="249">
        <f t="shared" si="39"/>
        <v>540</v>
      </c>
      <c r="I290" s="300"/>
      <c r="J290" s="251">
        <f>IF(G290&lt;70, C290*E290*16.5*1.5, C290*E290*16.5*1.5)</f>
        <v>445.5</v>
      </c>
      <c r="K290" s="242"/>
      <c r="L290" s="242"/>
      <c r="M290" s="302"/>
      <c r="N290" s="302"/>
      <c r="O290" s="302"/>
      <c r="P290" s="302"/>
      <c r="Q290" s="302"/>
    </row>
    <row r="291" spans="1:17" s="3" customFormat="1" ht="25" customHeight="1" x14ac:dyDescent="0.25">
      <c r="A291" s="349" t="s">
        <v>285</v>
      </c>
      <c r="B291" s="353" t="s">
        <v>467</v>
      </c>
      <c r="C291" s="352">
        <v>3</v>
      </c>
      <c r="D291" s="352">
        <v>1</v>
      </c>
      <c r="E291" s="352">
        <v>6</v>
      </c>
      <c r="F291" s="254">
        <f t="shared" si="38"/>
        <v>445.5</v>
      </c>
      <c r="G291" s="249">
        <v>30</v>
      </c>
      <c r="H291" s="249">
        <f t="shared" si="39"/>
        <v>540</v>
      </c>
      <c r="I291" s="300"/>
      <c r="J291" s="251">
        <f>IF(G291&lt;70, C291*E291*16.5*1.5, C291*E291*16.5*1.5)</f>
        <v>445.5</v>
      </c>
      <c r="K291" s="242"/>
      <c r="L291" s="242"/>
      <c r="M291" s="302"/>
      <c r="N291" s="302"/>
      <c r="O291" s="302"/>
      <c r="P291" s="302"/>
      <c r="Q291" s="302"/>
    </row>
    <row r="292" spans="1:17" s="324" customFormat="1" ht="25" customHeight="1" x14ac:dyDescent="0.25">
      <c r="A292" s="349" t="s">
        <v>286</v>
      </c>
      <c r="B292" s="353" t="s">
        <v>468</v>
      </c>
      <c r="C292" s="352">
        <v>3</v>
      </c>
      <c r="D292" s="352">
        <v>1</v>
      </c>
      <c r="E292" s="352">
        <v>1</v>
      </c>
      <c r="F292" s="254">
        <f t="shared" si="38"/>
        <v>74.25</v>
      </c>
      <c r="G292" s="249">
        <v>30</v>
      </c>
      <c r="H292" s="249">
        <f t="shared" si="39"/>
        <v>90</v>
      </c>
      <c r="I292" s="322"/>
      <c r="J292" s="251">
        <f>IF(G292&lt;70, C292*E292*16.5*1.5, C292*E292*16.5*1.5)</f>
        <v>74.25</v>
      </c>
      <c r="K292" s="238"/>
      <c r="L292" s="258"/>
      <c r="M292" s="302"/>
      <c r="N292" s="302"/>
      <c r="O292" s="302"/>
      <c r="P292" s="302"/>
      <c r="Q292" s="302"/>
    </row>
    <row r="293" spans="1:17" s="324" customFormat="1" ht="25" customHeight="1" x14ac:dyDescent="0.25">
      <c r="A293" s="349" t="s">
        <v>289</v>
      </c>
      <c r="B293" s="353" t="s">
        <v>469</v>
      </c>
      <c r="C293" s="352">
        <v>3</v>
      </c>
      <c r="D293" s="352">
        <v>1</v>
      </c>
      <c r="E293" s="352">
        <v>1</v>
      </c>
      <c r="F293" s="254">
        <f t="shared" si="38"/>
        <v>74.25</v>
      </c>
      <c r="G293" s="249">
        <v>30</v>
      </c>
      <c r="H293" s="249">
        <f t="shared" si="39"/>
        <v>90</v>
      </c>
      <c r="I293" s="322"/>
      <c r="J293" s="251">
        <f>IF(G293&lt;70, C293*E293*16.5*1.5, C293*E293*16.5*1.5)</f>
        <v>74.25</v>
      </c>
      <c r="K293" s="238"/>
      <c r="L293" s="258"/>
      <c r="M293" s="302"/>
      <c r="N293" s="302"/>
      <c r="O293" s="302"/>
      <c r="P293" s="302"/>
      <c r="Q293" s="302"/>
    </row>
    <row r="294" spans="1:17" s="324" customFormat="1" ht="25" customHeight="1" x14ac:dyDescent="0.3">
      <c r="A294" s="349" t="s">
        <v>290</v>
      </c>
      <c r="B294" s="353" t="s">
        <v>463</v>
      </c>
      <c r="C294" s="352">
        <v>3</v>
      </c>
      <c r="D294" s="352">
        <v>1</v>
      </c>
      <c r="E294" s="352">
        <v>1</v>
      </c>
      <c r="F294" s="254">
        <f t="shared" si="38"/>
        <v>74.25</v>
      </c>
      <c r="G294" s="249">
        <v>30</v>
      </c>
      <c r="H294" s="249">
        <f t="shared" si="39"/>
        <v>90</v>
      </c>
      <c r="I294" s="252"/>
      <c r="J294" s="251">
        <f>IF(G294&lt;70, C294*E294*16.5*1.5, C294*E294*16.5*1.5)</f>
        <v>74.25</v>
      </c>
      <c r="K294" s="303"/>
      <c r="L294" s="303"/>
      <c r="M294" s="304"/>
      <c r="N294" s="304"/>
      <c r="O294" s="304"/>
      <c r="P294" s="304"/>
      <c r="Q294" s="304"/>
    </row>
    <row r="295" spans="1:17" s="324" customFormat="1" ht="25" customHeight="1" x14ac:dyDescent="0.3">
      <c r="A295" s="396"/>
      <c r="B295" s="361" t="s">
        <v>380</v>
      </c>
      <c r="C295" s="364">
        <f>SUM(C282:C294)</f>
        <v>39</v>
      </c>
      <c r="D295" s="364">
        <f t="shared" ref="D295:J295" si="41">SUM(D282:D294)</f>
        <v>13</v>
      </c>
      <c r="E295" s="364">
        <f t="shared" si="41"/>
        <v>43</v>
      </c>
      <c r="F295" s="246">
        <f t="shared" si="41"/>
        <v>3192.75</v>
      </c>
      <c r="G295" s="246">
        <f t="shared" si="41"/>
        <v>390</v>
      </c>
      <c r="H295" s="246">
        <f t="shared" si="41"/>
        <v>3870</v>
      </c>
      <c r="I295" s="246">
        <f t="shared" si="41"/>
        <v>2079</v>
      </c>
      <c r="J295" s="246">
        <f t="shared" si="41"/>
        <v>1113.75</v>
      </c>
      <c r="K295" s="303"/>
      <c r="L295" s="303"/>
      <c r="M295" s="304"/>
      <c r="N295" s="304"/>
      <c r="O295" s="304"/>
      <c r="P295" s="304"/>
      <c r="Q295" s="304"/>
    </row>
    <row r="296" spans="1:17" s="324" customFormat="1" ht="25" customHeight="1" x14ac:dyDescent="0.3">
      <c r="A296" s="359" t="s">
        <v>148</v>
      </c>
      <c r="B296" s="360" t="s">
        <v>507</v>
      </c>
      <c r="C296" s="352"/>
      <c r="D296" s="352"/>
      <c r="E296" s="352"/>
      <c r="F296" s="249"/>
      <c r="G296" s="249"/>
      <c r="H296" s="249"/>
      <c r="I296" s="252"/>
      <c r="J296" s="252"/>
      <c r="K296" s="303"/>
      <c r="L296" s="303"/>
      <c r="M296" s="304"/>
      <c r="N296" s="304"/>
      <c r="O296" s="304"/>
      <c r="P296" s="304"/>
      <c r="Q296" s="304"/>
    </row>
    <row r="297" spans="1:17" s="324" customFormat="1" ht="25" customHeight="1" x14ac:dyDescent="0.3">
      <c r="A297" s="354" t="s">
        <v>512</v>
      </c>
      <c r="B297" s="349" t="s">
        <v>471</v>
      </c>
      <c r="C297" s="352">
        <v>15</v>
      </c>
      <c r="D297" s="352">
        <v>1</v>
      </c>
      <c r="E297" s="352">
        <v>1</v>
      </c>
      <c r="F297" s="254">
        <f>I297+J297+K297</f>
        <v>175</v>
      </c>
      <c r="G297" s="249">
        <v>5</v>
      </c>
      <c r="H297" s="249">
        <f>C297*G297</f>
        <v>75</v>
      </c>
      <c r="I297" s="251">
        <f>G297*35</f>
        <v>175</v>
      </c>
      <c r="J297" s="252"/>
      <c r="K297" s="303"/>
      <c r="L297" s="305"/>
      <c r="M297" s="305"/>
      <c r="N297" s="305"/>
      <c r="O297" s="305"/>
      <c r="P297" s="305"/>
      <c r="Q297" s="305"/>
    </row>
    <row r="298" spans="1:17" s="324" customFormat="1" ht="25" customHeight="1" x14ac:dyDescent="0.3">
      <c r="A298" s="354" t="s">
        <v>513</v>
      </c>
      <c r="B298" s="349" t="s">
        <v>666</v>
      </c>
      <c r="C298" s="352">
        <v>15</v>
      </c>
      <c r="D298" s="352">
        <v>1</v>
      </c>
      <c r="E298" s="352">
        <v>1</v>
      </c>
      <c r="F298" s="254">
        <f t="shared" ref="F298:F307" si="42">I298+J298+K298</f>
        <v>175</v>
      </c>
      <c r="G298" s="249">
        <v>5</v>
      </c>
      <c r="H298" s="249">
        <f>C298*G298</f>
        <v>75</v>
      </c>
      <c r="I298" s="251"/>
      <c r="J298" s="251">
        <f>G298*35</f>
        <v>175</v>
      </c>
      <c r="K298" s="303"/>
      <c r="L298" s="306"/>
      <c r="M298" s="306"/>
      <c r="N298" s="306"/>
      <c r="O298" s="306"/>
      <c r="P298" s="306"/>
      <c r="Q298" s="306"/>
    </row>
    <row r="299" spans="1:17" s="324" customFormat="1" ht="25" customHeight="1" x14ac:dyDescent="0.3">
      <c r="A299" s="354" t="s">
        <v>514</v>
      </c>
      <c r="B299" s="349" t="s">
        <v>472</v>
      </c>
      <c r="C299" s="352">
        <v>15</v>
      </c>
      <c r="D299" s="352">
        <v>1</v>
      </c>
      <c r="E299" s="352">
        <v>1</v>
      </c>
      <c r="F299" s="254">
        <f t="shared" si="42"/>
        <v>175</v>
      </c>
      <c r="G299" s="249">
        <v>5</v>
      </c>
      <c r="H299" s="249">
        <f>C299*G299*E299*D299</f>
        <v>75</v>
      </c>
      <c r="I299" s="251">
        <f>G299*35</f>
        <v>175</v>
      </c>
      <c r="J299" s="251"/>
      <c r="K299" s="303"/>
      <c r="L299" s="307"/>
      <c r="M299" s="307"/>
      <c r="N299" s="307"/>
      <c r="O299" s="307"/>
      <c r="P299" s="307"/>
      <c r="Q299" s="307"/>
    </row>
    <row r="300" spans="1:17" s="324" customFormat="1" ht="25" customHeight="1" x14ac:dyDescent="0.3">
      <c r="A300" s="354" t="s">
        <v>515</v>
      </c>
      <c r="B300" s="349" t="s">
        <v>473</v>
      </c>
      <c r="C300" s="352">
        <v>15</v>
      </c>
      <c r="D300" s="352">
        <v>1</v>
      </c>
      <c r="E300" s="352">
        <v>1</v>
      </c>
      <c r="F300" s="254">
        <f t="shared" si="42"/>
        <v>175</v>
      </c>
      <c r="G300" s="249">
        <v>5</v>
      </c>
      <c r="H300" s="249">
        <f t="shared" ref="H300:H307" si="43">C300*G300*E300*D300</f>
        <v>75</v>
      </c>
      <c r="I300" s="252"/>
      <c r="J300" s="251">
        <f>G300*35</f>
        <v>175</v>
      </c>
      <c r="K300" s="303"/>
      <c r="L300" s="303"/>
      <c r="M300" s="1449"/>
      <c r="N300" s="1449"/>
      <c r="O300" s="1449"/>
      <c r="P300" s="1449"/>
      <c r="Q300" s="1449"/>
    </row>
    <row r="301" spans="1:17" s="324" customFormat="1" ht="25" customHeight="1" x14ac:dyDescent="0.3">
      <c r="A301" s="354" t="s">
        <v>516</v>
      </c>
      <c r="B301" s="349" t="s">
        <v>474</v>
      </c>
      <c r="C301" s="352">
        <v>15</v>
      </c>
      <c r="D301" s="352">
        <v>1</v>
      </c>
      <c r="E301" s="352">
        <v>1</v>
      </c>
      <c r="F301" s="254">
        <f t="shared" si="42"/>
        <v>175</v>
      </c>
      <c r="G301" s="249">
        <v>5</v>
      </c>
      <c r="H301" s="249">
        <f t="shared" si="43"/>
        <v>75</v>
      </c>
      <c r="I301" s="252"/>
      <c r="J301" s="251">
        <f>G301*35</f>
        <v>175</v>
      </c>
      <c r="K301" s="303"/>
      <c r="L301" s="303"/>
      <c r="M301" s="304"/>
      <c r="N301" s="304"/>
      <c r="O301" s="304"/>
      <c r="P301" s="304"/>
      <c r="Q301" s="304"/>
    </row>
    <row r="302" spans="1:17" ht="25" customHeight="1" x14ac:dyDescent="0.3">
      <c r="A302" s="354" t="s">
        <v>517</v>
      </c>
      <c r="B302" s="349" t="s">
        <v>508</v>
      </c>
      <c r="C302" s="352">
        <v>15</v>
      </c>
      <c r="D302" s="352">
        <v>1</v>
      </c>
      <c r="E302" s="352">
        <v>1</v>
      </c>
      <c r="F302" s="254">
        <f t="shared" si="42"/>
        <v>175</v>
      </c>
      <c r="G302" s="249">
        <v>5</v>
      </c>
      <c r="H302" s="249">
        <f t="shared" si="43"/>
        <v>75</v>
      </c>
      <c r="I302" s="251">
        <f>G302*35</f>
        <v>175</v>
      </c>
      <c r="J302" s="325"/>
      <c r="K302" s="303"/>
      <c r="L302" s="303"/>
      <c r="M302" s="304"/>
      <c r="N302" s="304"/>
      <c r="O302" s="304"/>
      <c r="P302" s="304"/>
      <c r="Q302" s="304"/>
    </row>
    <row r="303" spans="1:17" ht="25" customHeight="1" x14ac:dyDescent="0.3">
      <c r="A303" s="354" t="s">
        <v>518</v>
      </c>
      <c r="B303" s="349" t="s">
        <v>509</v>
      </c>
      <c r="C303" s="352">
        <v>15</v>
      </c>
      <c r="D303" s="352">
        <v>1</v>
      </c>
      <c r="E303" s="352">
        <v>1</v>
      </c>
      <c r="F303" s="254">
        <f t="shared" si="42"/>
        <v>175</v>
      </c>
      <c r="G303" s="249">
        <v>5</v>
      </c>
      <c r="H303" s="249">
        <f t="shared" si="43"/>
        <v>75</v>
      </c>
      <c r="I303" s="251">
        <f>G303*35</f>
        <v>175</v>
      </c>
      <c r="J303" s="325"/>
      <c r="K303" s="303"/>
      <c r="L303" s="303"/>
      <c r="M303" s="308"/>
      <c r="N303" s="308"/>
      <c r="O303" s="308"/>
      <c r="P303" s="308"/>
      <c r="Q303" s="308"/>
    </row>
    <row r="304" spans="1:17" ht="25" customHeight="1" x14ac:dyDescent="0.3">
      <c r="A304" s="354" t="s">
        <v>519</v>
      </c>
      <c r="B304" s="349" t="s">
        <v>510</v>
      </c>
      <c r="C304" s="352">
        <v>15</v>
      </c>
      <c r="D304" s="352">
        <v>1</v>
      </c>
      <c r="E304" s="352">
        <v>1</v>
      </c>
      <c r="F304" s="254">
        <f t="shared" si="42"/>
        <v>175</v>
      </c>
      <c r="G304" s="249">
        <v>5</v>
      </c>
      <c r="H304" s="249">
        <f t="shared" si="43"/>
        <v>75</v>
      </c>
      <c r="I304" s="251">
        <f>G304*35</f>
        <v>175</v>
      </c>
      <c r="J304" s="326"/>
      <c r="K304" s="303"/>
      <c r="L304" s="303"/>
      <c r="M304" s="308"/>
      <c r="N304" s="308"/>
      <c r="O304" s="308"/>
      <c r="P304" s="308"/>
      <c r="Q304" s="308"/>
    </row>
    <row r="305" spans="1:17" ht="25" customHeight="1" x14ac:dyDescent="0.3">
      <c r="A305" s="354" t="s">
        <v>520</v>
      </c>
      <c r="B305" s="349" t="s">
        <v>511</v>
      </c>
      <c r="C305" s="352">
        <v>15</v>
      </c>
      <c r="D305" s="352">
        <v>1</v>
      </c>
      <c r="E305" s="352">
        <v>1</v>
      </c>
      <c r="F305" s="254">
        <f t="shared" si="42"/>
        <v>175</v>
      </c>
      <c r="G305" s="249">
        <v>5</v>
      </c>
      <c r="H305" s="249">
        <f t="shared" si="43"/>
        <v>75</v>
      </c>
      <c r="I305" s="251">
        <f>G305*35</f>
        <v>175</v>
      </c>
      <c r="J305" s="251"/>
      <c r="K305" s="303"/>
      <c r="L305" s="303"/>
      <c r="M305" s="308"/>
      <c r="N305" s="308"/>
      <c r="O305" s="308"/>
      <c r="P305" s="308"/>
      <c r="Q305" s="308"/>
    </row>
    <row r="306" spans="1:17" ht="25" customHeight="1" x14ac:dyDescent="0.3">
      <c r="A306" s="354" t="s">
        <v>521</v>
      </c>
      <c r="B306" s="349" t="s">
        <v>566</v>
      </c>
      <c r="C306" s="352">
        <v>15</v>
      </c>
      <c r="D306" s="352">
        <v>1</v>
      </c>
      <c r="E306" s="352">
        <v>1</v>
      </c>
      <c r="F306" s="254">
        <f t="shared" si="42"/>
        <v>175</v>
      </c>
      <c r="G306" s="249">
        <v>5</v>
      </c>
      <c r="H306" s="249">
        <f t="shared" si="43"/>
        <v>75</v>
      </c>
      <c r="I306" s="251">
        <f>G306*35</f>
        <v>175</v>
      </c>
      <c r="J306" s="251"/>
      <c r="K306" s="303"/>
      <c r="L306" s="303"/>
      <c r="M306" s="308"/>
      <c r="N306" s="308"/>
      <c r="O306" s="308"/>
      <c r="P306" s="308"/>
      <c r="Q306" s="308"/>
    </row>
    <row r="307" spans="1:17" ht="25" customHeight="1" x14ac:dyDescent="0.3">
      <c r="A307" s="354" t="s">
        <v>667</v>
      </c>
      <c r="B307" s="349" t="s">
        <v>668</v>
      </c>
      <c r="C307" s="352">
        <v>15</v>
      </c>
      <c r="D307" s="352">
        <v>1</v>
      </c>
      <c r="E307" s="352">
        <v>1</v>
      </c>
      <c r="F307" s="254">
        <f t="shared" si="42"/>
        <v>4515</v>
      </c>
      <c r="G307" s="249">
        <v>129</v>
      </c>
      <c r="H307" s="249">
        <f t="shared" si="43"/>
        <v>1935</v>
      </c>
      <c r="I307" s="326"/>
      <c r="J307" s="251"/>
      <c r="K307" s="251">
        <f>G307*35</f>
        <v>4515</v>
      </c>
      <c r="L307" s="303"/>
      <c r="M307" s="308"/>
      <c r="N307" s="308"/>
      <c r="O307" s="308"/>
      <c r="P307" s="308"/>
      <c r="Q307" s="308"/>
    </row>
    <row r="308" spans="1:17" ht="25" customHeight="1" x14ac:dyDescent="0.3">
      <c r="A308" s="354" t="s">
        <v>669</v>
      </c>
      <c r="B308" s="349" t="s">
        <v>670</v>
      </c>
      <c r="C308" s="352">
        <v>15</v>
      </c>
      <c r="D308" s="352">
        <v>1</v>
      </c>
      <c r="E308" s="352">
        <v>1</v>
      </c>
      <c r="F308" s="246">
        <f t="shared" ref="F308:K308" si="44">SUM(F297:F307)</f>
        <v>6265</v>
      </c>
      <c r="G308" s="246">
        <f t="shared" si="44"/>
        <v>179</v>
      </c>
      <c r="H308" s="246">
        <f t="shared" si="44"/>
        <v>2685</v>
      </c>
      <c r="I308" s="246">
        <f t="shared" si="44"/>
        <v>1225</v>
      </c>
      <c r="J308" s="246">
        <f t="shared" si="44"/>
        <v>525</v>
      </c>
      <c r="K308" s="246">
        <f t="shared" si="44"/>
        <v>4515</v>
      </c>
      <c r="L308" s="303"/>
      <c r="M308" s="308"/>
      <c r="N308" s="308"/>
      <c r="O308" s="308"/>
      <c r="P308" s="308"/>
      <c r="Q308" s="308"/>
    </row>
    <row r="309" spans="1:17" ht="25" customHeight="1" x14ac:dyDescent="0.3">
      <c r="A309" s="354" t="s">
        <v>671</v>
      </c>
      <c r="B309" s="349" t="s">
        <v>672</v>
      </c>
      <c r="C309" s="352">
        <v>15</v>
      </c>
      <c r="D309" s="352">
        <v>1</v>
      </c>
      <c r="E309" s="352">
        <v>1</v>
      </c>
      <c r="F309" s="249"/>
      <c r="G309" s="249"/>
      <c r="H309" s="249"/>
      <c r="I309" s="252"/>
      <c r="J309" s="252"/>
      <c r="K309" s="303"/>
      <c r="L309" s="303"/>
      <c r="M309" s="309"/>
      <c r="N309" s="309"/>
      <c r="O309" s="309"/>
      <c r="P309" s="309"/>
      <c r="Q309" s="309"/>
    </row>
    <row r="310" spans="1:17" ht="25" customHeight="1" x14ac:dyDescent="0.3">
      <c r="A310" s="393"/>
      <c r="B310" s="394" t="s">
        <v>673</v>
      </c>
      <c r="C310" s="352">
        <v>15</v>
      </c>
      <c r="D310" s="352">
        <v>1</v>
      </c>
      <c r="E310" s="352">
        <v>1</v>
      </c>
      <c r="F310" s="249"/>
      <c r="G310" s="249"/>
      <c r="H310" s="249"/>
      <c r="I310" s="252"/>
      <c r="J310" s="252"/>
      <c r="K310" s="303"/>
      <c r="L310" s="303"/>
      <c r="M310" s="304"/>
      <c r="N310" s="304"/>
      <c r="O310" s="304"/>
      <c r="P310" s="304"/>
      <c r="Q310" s="304"/>
    </row>
    <row r="311" spans="1:17" ht="25" customHeight="1" x14ac:dyDescent="0.3">
      <c r="A311" s="354"/>
      <c r="B311" s="361" t="s">
        <v>380</v>
      </c>
      <c r="C311" s="364">
        <f>SUM(C297:C310)</f>
        <v>210</v>
      </c>
      <c r="D311" s="364">
        <f>SUM(D297:D310)</f>
        <v>14</v>
      </c>
      <c r="E311" s="364">
        <f>SUM(E297:E310)</f>
        <v>14</v>
      </c>
      <c r="F311" s="254">
        <f>I311+J311+K311</f>
        <v>97020</v>
      </c>
      <c r="G311" s="249">
        <v>11</v>
      </c>
      <c r="H311" s="249">
        <f>C311*D311*E311*G311</f>
        <v>452760</v>
      </c>
      <c r="I311" s="251">
        <f>IF(G311&lt;70, C311*E311*16.5*1*2, C311*E311*16.5*1.3*2)</f>
        <v>97020</v>
      </c>
      <c r="J311" s="252"/>
      <c r="K311" s="303"/>
      <c r="L311" s="303"/>
      <c r="M311" s="304"/>
      <c r="N311" s="304"/>
      <c r="O311" s="304"/>
      <c r="P311" s="304"/>
      <c r="Q311" s="304"/>
    </row>
    <row r="312" spans="1:17" ht="25" customHeight="1" x14ac:dyDescent="0.3">
      <c r="A312" s="385">
        <v>3</v>
      </c>
      <c r="B312" s="385" t="s">
        <v>166</v>
      </c>
      <c r="C312" s="352"/>
      <c r="D312" s="352"/>
      <c r="E312" s="352"/>
      <c r="F312" s="254">
        <f>I312+J312+K312</f>
        <v>0</v>
      </c>
      <c r="G312" s="249">
        <v>11</v>
      </c>
      <c r="H312" s="249">
        <f>C312*D312*E312*G312</f>
        <v>0</v>
      </c>
      <c r="I312" s="251">
        <f>IF(G312&lt;70, C312*E312*16.5*1*2, C312*E312*16.5*1.3*2)</f>
        <v>0</v>
      </c>
      <c r="J312" s="252"/>
      <c r="K312" s="303"/>
      <c r="L312" s="303"/>
      <c r="M312" s="304"/>
      <c r="N312" s="304"/>
      <c r="O312" s="304"/>
      <c r="P312" s="304"/>
      <c r="Q312" s="304"/>
    </row>
    <row r="313" spans="1:17" ht="25" customHeight="1" x14ac:dyDescent="0.3">
      <c r="A313" s="356" t="s">
        <v>147</v>
      </c>
      <c r="B313" s="357" t="s">
        <v>167</v>
      </c>
      <c r="C313" s="352"/>
      <c r="D313" s="352"/>
      <c r="E313" s="352"/>
      <c r="F313" s="254">
        <f>I313+J313+K313</f>
        <v>0</v>
      </c>
      <c r="G313" s="249">
        <v>11</v>
      </c>
      <c r="H313" s="249">
        <f>C313*D313*E313*G313</f>
        <v>0</v>
      </c>
      <c r="I313" s="251">
        <f>IF(G313&lt;70, C313*E313*16.5*1*2, C313*E313*16.5*1.3*2)</f>
        <v>0</v>
      </c>
      <c r="J313" s="252"/>
      <c r="K313" s="303"/>
      <c r="L313" s="303"/>
      <c r="M313" s="304"/>
      <c r="N313" s="304"/>
      <c r="O313" s="304"/>
      <c r="P313" s="304"/>
      <c r="Q313" s="304"/>
    </row>
    <row r="314" spans="1:17" ht="25" customHeight="1" x14ac:dyDescent="0.3">
      <c r="A314" s="349" t="s">
        <v>226</v>
      </c>
      <c r="B314" s="350" t="s">
        <v>475</v>
      </c>
      <c r="C314" s="352">
        <v>3</v>
      </c>
      <c r="D314" s="352">
        <v>1</v>
      </c>
      <c r="E314" s="352">
        <v>1</v>
      </c>
      <c r="F314" s="249"/>
      <c r="G314" s="249"/>
      <c r="H314" s="249"/>
      <c r="I314" s="252"/>
      <c r="J314" s="252"/>
      <c r="K314" s="303"/>
      <c r="L314" s="303"/>
      <c r="M314" s="304"/>
      <c r="N314" s="304"/>
      <c r="O314" s="304"/>
      <c r="P314" s="304"/>
      <c r="Q314" s="304"/>
    </row>
    <row r="315" spans="1:17" ht="25" customHeight="1" x14ac:dyDescent="0.3">
      <c r="A315" s="349" t="s">
        <v>227</v>
      </c>
      <c r="B315" s="350" t="s">
        <v>476</v>
      </c>
      <c r="C315" s="352">
        <v>3</v>
      </c>
      <c r="D315" s="352">
        <v>1</v>
      </c>
      <c r="E315" s="352">
        <v>1</v>
      </c>
      <c r="F315" s="249"/>
      <c r="G315" s="249"/>
      <c r="H315" s="249"/>
      <c r="I315" s="252"/>
      <c r="J315" s="252"/>
      <c r="K315" s="303"/>
      <c r="L315" s="303"/>
      <c r="M315" s="304"/>
      <c r="N315" s="304"/>
      <c r="O315" s="304"/>
      <c r="P315" s="304"/>
      <c r="Q315" s="304"/>
    </row>
    <row r="316" spans="1:17" ht="25" customHeight="1" x14ac:dyDescent="0.3">
      <c r="A316" s="354" t="s">
        <v>477</v>
      </c>
      <c r="B316" s="349" t="s">
        <v>478</v>
      </c>
      <c r="C316" s="352">
        <v>3</v>
      </c>
      <c r="D316" s="352">
        <v>1</v>
      </c>
      <c r="E316" s="352">
        <v>1</v>
      </c>
      <c r="F316" s="249"/>
      <c r="G316" s="249"/>
      <c r="H316" s="249"/>
      <c r="I316" s="252"/>
      <c r="J316" s="252"/>
      <c r="K316" s="303"/>
      <c r="L316" s="303"/>
      <c r="M316" s="304"/>
      <c r="N316" s="304"/>
      <c r="O316" s="304"/>
      <c r="P316" s="304"/>
      <c r="Q316" s="304"/>
    </row>
    <row r="317" spans="1:17" ht="25" customHeight="1" x14ac:dyDescent="0.3">
      <c r="A317" s="359" t="s">
        <v>148</v>
      </c>
      <c r="B317" s="360" t="s">
        <v>168</v>
      </c>
      <c r="C317" s="352"/>
      <c r="D317" s="352"/>
      <c r="E317" s="352"/>
      <c r="F317" s="254">
        <f>I317+J317+K317</f>
        <v>600</v>
      </c>
      <c r="G317" s="249"/>
      <c r="H317" s="249"/>
      <c r="I317" s="252">
        <v>600</v>
      </c>
      <c r="J317" s="252"/>
      <c r="K317" s="303"/>
      <c r="L317" s="303"/>
      <c r="M317" s="304"/>
      <c r="N317" s="304"/>
      <c r="O317" s="304"/>
      <c r="P317" s="304"/>
      <c r="Q317" s="304"/>
    </row>
    <row r="318" spans="1:17" ht="25" customHeight="1" x14ac:dyDescent="0.3">
      <c r="A318" s="359"/>
      <c r="B318" s="360" t="s">
        <v>674</v>
      </c>
      <c r="C318" s="352"/>
      <c r="D318" s="352"/>
      <c r="E318" s="352"/>
      <c r="F318" s="254">
        <f>I318+J318+K318</f>
        <v>300</v>
      </c>
      <c r="G318" s="249"/>
      <c r="H318" s="249"/>
      <c r="I318" s="252"/>
      <c r="J318" s="252">
        <v>300</v>
      </c>
      <c r="K318" s="303"/>
      <c r="L318" s="303"/>
      <c r="M318" s="304"/>
      <c r="N318" s="304"/>
      <c r="O318" s="304"/>
      <c r="P318" s="304"/>
      <c r="Q318" s="304"/>
    </row>
    <row r="319" spans="1:17" ht="25" customHeight="1" x14ac:dyDescent="0.3">
      <c r="A319" s="359"/>
      <c r="B319" s="360" t="s">
        <v>675</v>
      </c>
      <c r="C319" s="352"/>
      <c r="D319" s="352"/>
      <c r="E319" s="352"/>
      <c r="F319" s="249"/>
      <c r="G319" s="249"/>
      <c r="H319" s="249"/>
      <c r="I319" s="252"/>
      <c r="J319" s="252"/>
      <c r="K319" s="303"/>
      <c r="L319" s="303"/>
      <c r="M319" s="304"/>
      <c r="N319" s="304"/>
      <c r="O319" s="304"/>
      <c r="P319" s="304"/>
      <c r="Q319" s="304"/>
    </row>
    <row r="320" spans="1:17" ht="25" customHeight="1" x14ac:dyDescent="0.3">
      <c r="A320" s="359"/>
      <c r="B320" s="360" t="s">
        <v>479</v>
      </c>
      <c r="C320" s="352"/>
      <c r="D320" s="352"/>
      <c r="E320" s="352"/>
      <c r="F320" s="249"/>
      <c r="G320" s="249"/>
      <c r="H320" s="249"/>
      <c r="I320" s="252"/>
      <c r="J320" s="252"/>
      <c r="K320" s="303"/>
      <c r="L320" s="303"/>
      <c r="M320" s="304"/>
      <c r="N320" s="304"/>
      <c r="O320" s="304"/>
      <c r="P320" s="304"/>
      <c r="Q320" s="304"/>
    </row>
    <row r="321" spans="1:17" ht="25" customHeight="1" x14ac:dyDescent="0.3">
      <c r="A321" s="354"/>
      <c r="B321" s="349" t="s">
        <v>480</v>
      </c>
      <c r="C321" s="352"/>
      <c r="D321" s="352"/>
      <c r="E321" s="352"/>
      <c r="F321" s="254">
        <f>I321+J321+K321</f>
        <v>1120</v>
      </c>
      <c r="G321" s="249"/>
      <c r="H321" s="249"/>
      <c r="I321" s="252">
        <v>1120</v>
      </c>
      <c r="J321" s="252"/>
      <c r="K321" s="303"/>
      <c r="L321" s="303"/>
      <c r="M321" s="304"/>
      <c r="N321" s="304"/>
      <c r="O321" s="304"/>
      <c r="P321" s="304"/>
      <c r="Q321" s="304"/>
    </row>
    <row r="322" spans="1:17" ht="25" customHeight="1" x14ac:dyDescent="0.3">
      <c r="A322" s="359" t="s">
        <v>169</v>
      </c>
      <c r="B322" s="360" t="s">
        <v>170</v>
      </c>
      <c r="C322" s="352"/>
      <c r="D322" s="352"/>
      <c r="E322" s="352"/>
      <c r="F322" s="254">
        <f>I322+J322+K322</f>
        <v>680</v>
      </c>
      <c r="G322" s="249"/>
      <c r="H322" s="249"/>
      <c r="I322" s="252"/>
      <c r="J322" s="252">
        <v>680</v>
      </c>
      <c r="K322" s="303"/>
      <c r="L322" s="303"/>
      <c r="M322" s="304"/>
      <c r="N322" s="304"/>
      <c r="O322" s="304"/>
      <c r="P322" s="304"/>
      <c r="Q322" s="304"/>
    </row>
    <row r="323" spans="1:17" ht="25" customHeight="1" x14ac:dyDescent="0.3">
      <c r="A323" s="354"/>
      <c r="B323" s="349" t="s">
        <v>676</v>
      </c>
      <c r="C323" s="352"/>
      <c r="D323" s="352"/>
      <c r="E323" s="352"/>
      <c r="F323" s="249">
        <f>SUM(F311:F322)</f>
        <v>99720</v>
      </c>
      <c r="G323" s="246">
        <f>SUM(G311:G322)</f>
        <v>33</v>
      </c>
      <c r="H323" s="246">
        <f>SUM(H311:H322)</f>
        <v>452760</v>
      </c>
      <c r="I323" s="246">
        <f>SUM(I311:I322)</f>
        <v>98740</v>
      </c>
      <c r="J323" s="246">
        <f>SUM(J311:J322)</f>
        <v>980</v>
      </c>
      <c r="K323" s="303"/>
      <c r="L323" s="303"/>
      <c r="M323" s="304"/>
      <c r="N323" s="304"/>
      <c r="O323" s="304"/>
      <c r="P323" s="304"/>
      <c r="Q323" s="304"/>
    </row>
    <row r="324" spans="1:17" ht="25" customHeight="1" x14ac:dyDescent="0.3">
      <c r="A324" s="354"/>
      <c r="B324" s="349" t="s">
        <v>481</v>
      </c>
      <c r="C324" s="352"/>
      <c r="D324" s="352"/>
      <c r="E324" s="352"/>
      <c r="F324" s="249"/>
      <c r="G324" s="249"/>
      <c r="H324" s="249"/>
      <c r="I324" s="252"/>
      <c r="J324" s="252"/>
      <c r="K324" s="303"/>
      <c r="L324" s="303"/>
      <c r="M324" s="304"/>
      <c r="N324" s="304"/>
      <c r="O324" s="304"/>
      <c r="P324" s="304"/>
      <c r="Q324" s="304"/>
    </row>
    <row r="325" spans="1:17" ht="25" customHeight="1" x14ac:dyDescent="0.3">
      <c r="A325" s="354"/>
      <c r="B325" s="349" t="s">
        <v>480</v>
      </c>
      <c r="C325" s="352"/>
      <c r="D325" s="352"/>
      <c r="E325" s="352"/>
      <c r="F325" s="249"/>
      <c r="G325" s="249"/>
      <c r="H325" s="249"/>
      <c r="I325" s="252"/>
      <c r="J325" s="252"/>
      <c r="K325" s="303"/>
      <c r="L325" s="303"/>
      <c r="M325" s="304"/>
      <c r="N325" s="304"/>
      <c r="O325" s="304"/>
      <c r="P325" s="304"/>
      <c r="Q325" s="304"/>
    </row>
    <row r="326" spans="1:17" ht="25" customHeight="1" x14ac:dyDescent="0.3">
      <c r="A326" s="354"/>
      <c r="B326" s="361" t="s">
        <v>380</v>
      </c>
      <c r="C326" s="364">
        <f>SUM(C314:C325)</f>
        <v>9</v>
      </c>
      <c r="D326" s="364">
        <f>SUM(D314:D325)</f>
        <v>3</v>
      </c>
      <c r="E326" s="364">
        <f>SUM(E314:E325)</f>
        <v>3</v>
      </c>
      <c r="F326" s="249"/>
      <c r="G326" s="249"/>
      <c r="H326" s="249"/>
      <c r="I326" s="252"/>
      <c r="J326" s="252"/>
      <c r="K326" s="303"/>
      <c r="L326" s="303"/>
      <c r="M326" s="304"/>
      <c r="N326" s="304"/>
      <c r="O326" s="304"/>
      <c r="P326" s="304"/>
      <c r="Q326" s="304"/>
    </row>
    <row r="327" spans="1:17" ht="25" customHeight="1" x14ac:dyDescent="0.3">
      <c r="A327" s="355" t="s">
        <v>502</v>
      </c>
      <c r="B327" s="355" t="s">
        <v>503</v>
      </c>
      <c r="C327" s="352"/>
      <c r="D327" s="352"/>
      <c r="E327" s="352"/>
      <c r="F327" s="254">
        <f>I327+J327+K327</f>
        <v>0</v>
      </c>
      <c r="G327" s="259">
        <v>40</v>
      </c>
      <c r="H327" s="249">
        <f>C327*D327*E327*G327</f>
        <v>0</v>
      </c>
      <c r="I327" s="251">
        <f>IF(G327&lt;70, C327*E327*16.5*1, C327*E327*16.5*1.3)</f>
        <v>0</v>
      </c>
      <c r="J327" s="252"/>
      <c r="K327" s="303"/>
      <c r="L327" s="303"/>
      <c r="M327" s="304"/>
      <c r="N327" s="304"/>
      <c r="O327" s="304"/>
      <c r="P327" s="304"/>
      <c r="Q327" s="304"/>
    </row>
    <row r="328" spans="1:17" ht="25" customHeight="1" x14ac:dyDescent="0.3">
      <c r="A328" s="355">
        <v>1</v>
      </c>
      <c r="B328" s="357" t="s">
        <v>225</v>
      </c>
      <c r="C328" s="352"/>
      <c r="D328" s="352"/>
      <c r="E328" s="352"/>
      <c r="F328" s="254">
        <f>I328+J328+K328</f>
        <v>0</v>
      </c>
      <c r="G328" s="259">
        <v>40</v>
      </c>
      <c r="H328" s="249">
        <f>C328*D328*E328*G328</f>
        <v>0</v>
      </c>
      <c r="I328" s="251">
        <f>IF(G328&lt;70, C328*E328*16.5*1, C328*E328*16.5*1.3)</f>
        <v>0</v>
      </c>
      <c r="J328" s="252"/>
      <c r="K328" s="303"/>
      <c r="L328" s="303"/>
      <c r="M328" s="304"/>
      <c r="N328" s="304"/>
      <c r="O328" s="304"/>
      <c r="P328" s="304"/>
      <c r="Q328" s="304"/>
    </row>
    <row r="329" spans="1:17" ht="25" customHeight="1" x14ac:dyDescent="0.3">
      <c r="A329" s="355" t="s">
        <v>381</v>
      </c>
      <c r="B329" s="357" t="s">
        <v>163</v>
      </c>
      <c r="C329" s="352"/>
      <c r="D329" s="352"/>
      <c r="E329" s="352"/>
      <c r="F329" s="249">
        <f>SUM(F327:F328)</f>
        <v>0</v>
      </c>
      <c r="G329" s="246">
        <f>SUM(G327:G328)</f>
        <v>80</v>
      </c>
      <c r="H329" s="246">
        <f>SUM(H327:H328)</f>
        <v>0</v>
      </c>
      <c r="I329" s="246">
        <f>SUM(I327:I328)</f>
        <v>0</v>
      </c>
      <c r="J329" s="246">
        <f>SUM(J327:J328)</f>
        <v>0</v>
      </c>
      <c r="K329" s="303"/>
      <c r="L329" s="303"/>
      <c r="M329" s="304"/>
      <c r="N329" s="304"/>
      <c r="O329" s="304"/>
      <c r="P329" s="304"/>
      <c r="Q329" s="304"/>
    </row>
    <row r="330" spans="1:17" s="405" customFormat="1" ht="25" customHeight="1" x14ac:dyDescent="0.3">
      <c r="A330" s="399" t="s">
        <v>226</v>
      </c>
      <c r="B330" s="397" t="s">
        <v>677</v>
      </c>
      <c r="C330" s="400">
        <v>2</v>
      </c>
      <c r="D330" s="400">
        <v>1</v>
      </c>
      <c r="E330" s="400">
        <v>5</v>
      </c>
      <c r="F330" s="414">
        <f t="shared" ref="F330:K330" si="45">F273+F295+F308+F329+F323</f>
        <v>110522.5</v>
      </c>
      <c r="G330" s="415">
        <f t="shared" si="45"/>
        <v>2041</v>
      </c>
      <c r="H330" s="415">
        <f t="shared" si="45"/>
        <v>463159</v>
      </c>
      <c r="I330" s="415">
        <f t="shared" si="45"/>
        <v>103388.75</v>
      </c>
      <c r="J330" s="415">
        <f t="shared" si="45"/>
        <v>2618.75</v>
      </c>
      <c r="K330" s="415">
        <f t="shared" si="45"/>
        <v>4515</v>
      </c>
      <c r="L330" s="416">
        <f>'Bieu3 QLGD'!F25</f>
        <v>1890</v>
      </c>
      <c r="M330" s="417">
        <f>'Bieu3 QLGD'!N25</f>
        <v>1606.5</v>
      </c>
      <c r="N330" s="417">
        <f>I330-M330</f>
        <v>101782.25</v>
      </c>
      <c r="O330" s="417">
        <f>'Bieu3 QLGD'!O25</f>
        <v>1266.75</v>
      </c>
      <c r="P330" s="417">
        <f>'Bieu3 QLGD'!P25</f>
        <v>650</v>
      </c>
      <c r="Q330" s="417"/>
    </row>
    <row r="331" spans="1:17" s="405" customFormat="1" ht="25" customHeight="1" x14ac:dyDescent="0.3">
      <c r="A331" s="399" t="s">
        <v>226</v>
      </c>
      <c r="B331" s="397" t="s">
        <v>678</v>
      </c>
      <c r="C331" s="400">
        <v>2</v>
      </c>
      <c r="D331" s="400">
        <v>1</v>
      </c>
      <c r="E331" s="400">
        <v>4</v>
      </c>
      <c r="F331" s="418"/>
      <c r="G331" s="419"/>
      <c r="H331" s="419"/>
      <c r="I331" s="419"/>
      <c r="J331" s="419"/>
      <c r="K331" s="419"/>
      <c r="L331" s="420"/>
      <c r="M331" s="404"/>
      <c r="N331" s="404"/>
      <c r="O331" s="404"/>
      <c r="P331" s="404"/>
      <c r="Q331" s="404"/>
    </row>
    <row r="332" spans="1:17" s="405" customFormat="1" ht="25" customHeight="1" x14ac:dyDescent="0.3">
      <c r="A332" s="399" t="s">
        <v>227</v>
      </c>
      <c r="B332" s="397" t="s">
        <v>679</v>
      </c>
      <c r="C332" s="400">
        <v>2</v>
      </c>
      <c r="D332" s="400">
        <v>1</v>
      </c>
      <c r="E332" s="400">
        <v>4</v>
      </c>
      <c r="F332" s="401"/>
      <c r="G332" s="401"/>
      <c r="H332" s="401"/>
      <c r="I332" s="401"/>
      <c r="J332" s="401"/>
      <c r="K332" s="402"/>
      <c r="L332" s="403"/>
      <c r="M332" s="403"/>
      <c r="N332" s="403"/>
      <c r="O332" s="403"/>
      <c r="P332" s="403"/>
      <c r="Q332" s="404"/>
    </row>
    <row r="333" spans="1:17" s="405" customFormat="1" ht="25" customHeight="1" x14ac:dyDescent="0.3">
      <c r="A333" s="399"/>
      <c r="B333" s="406" t="s">
        <v>380</v>
      </c>
      <c r="C333" s="407">
        <f>SUM(C331:C332)</f>
        <v>4</v>
      </c>
      <c r="D333" s="407">
        <f>SUM(D331:D332)</f>
        <v>2</v>
      </c>
      <c r="E333" s="407">
        <f>SUM(E331:E332)</f>
        <v>8</v>
      </c>
      <c r="F333" s="408"/>
      <c r="G333" s="408"/>
      <c r="H333" s="408"/>
      <c r="I333" s="408"/>
      <c r="J333" s="408"/>
      <c r="K333" s="409"/>
      <c r="L333" s="410"/>
      <c r="M333" s="410"/>
      <c r="N333" s="410"/>
      <c r="O333" s="410"/>
      <c r="P333" s="410"/>
      <c r="Q333" s="404"/>
    </row>
    <row r="334" spans="1:17" s="405" customFormat="1" ht="25" customHeight="1" x14ac:dyDescent="0.3">
      <c r="A334" s="399"/>
      <c r="B334" s="406" t="s">
        <v>482</v>
      </c>
      <c r="C334" s="407">
        <f>C273+C295+C311+C333+C326</f>
        <v>330</v>
      </c>
      <c r="D334" s="407">
        <f>D273+D295+D311+D333+D326</f>
        <v>58.6</v>
      </c>
      <c r="E334" s="407">
        <f>E273+E295+E311+E333+E326</f>
        <v>97</v>
      </c>
      <c r="F334" s="408"/>
      <c r="G334" s="408"/>
      <c r="H334" s="408"/>
      <c r="I334" s="408"/>
      <c r="J334" s="408"/>
      <c r="K334" s="409"/>
      <c r="L334" s="410"/>
      <c r="M334" s="410"/>
      <c r="N334" s="410"/>
      <c r="O334" s="410"/>
      <c r="P334" s="410"/>
      <c r="Q334" s="404"/>
    </row>
    <row r="335" spans="1:17" s="405" customFormat="1" ht="25" customHeight="1" x14ac:dyDescent="0.3">
      <c r="A335" s="411"/>
      <c r="B335" s="412"/>
      <c r="C335" s="408"/>
      <c r="D335" s="408"/>
      <c r="E335" s="413"/>
      <c r="F335" s="408"/>
      <c r="G335" s="408"/>
      <c r="H335" s="408"/>
      <c r="I335" s="408"/>
      <c r="J335" s="408"/>
      <c r="K335" s="409"/>
      <c r="L335" s="410"/>
      <c r="M335" s="410"/>
      <c r="N335" s="410"/>
      <c r="O335" s="410"/>
      <c r="P335" s="410"/>
      <c r="Q335" s="404"/>
    </row>
    <row r="336" spans="1:17" ht="25" customHeight="1" x14ac:dyDescent="0.25">
      <c r="A336" s="242" t="s">
        <v>7</v>
      </c>
      <c r="B336" s="242" t="s">
        <v>162</v>
      </c>
      <c r="C336" s="246">
        <f t="shared" ref="C336:K336" si="46">C48+C185+C211+C273+C126</f>
        <v>76</v>
      </c>
      <c r="D336" s="246">
        <f t="shared" si="46"/>
        <v>29.6</v>
      </c>
      <c r="E336" s="246">
        <f t="shared" si="46"/>
        <v>38</v>
      </c>
      <c r="F336" s="246">
        <f t="shared" si="46"/>
        <v>45451.149999999994</v>
      </c>
      <c r="G336" s="246">
        <f t="shared" si="46"/>
        <v>5620</v>
      </c>
      <c r="H336" s="246">
        <f t="shared" si="46"/>
        <v>1371917.36</v>
      </c>
      <c r="I336" s="246">
        <f t="shared" si="46"/>
        <v>45253.149999999994</v>
      </c>
      <c r="J336" s="246">
        <f t="shared" si="46"/>
        <v>198</v>
      </c>
      <c r="K336" s="246">
        <f t="shared" si="46"/>
        <v>0</v>
      </c>
      <c r="L336" s="310" t="e">
        <f>L330+L240+#REF!+L165+L85</f>
        <v>#REF!</v>
      </c>
      <c r="M336" s="310" t="e">
        <f>M330+M240+#REF!+M165+M85</f>
        <v>#REF!</v>
      </c>
      <c r="N336" s="310" t="e">
        <f>N330+N240+#REF!+N165+N85</f>
        <v>#REF!</v>
      </c>
      <c r="O336" s="310" t="e">
        <f>O330+O240+#REF!+O165+O85</f>
        <v>#REF!</v>
      </c>
      <c r="P336" s="310" t="e">
        <f>P330+P240+#REF!+P165+P85</f>
        <v>#REF!</v>
      </c>
      <c r="Q336" s="253"/>
    </row>
    <row r="337" spans="1:17" ht="25" customHeight="1" x14ac:dyDescent="0.25">
      <c r="A337" s="256" t="s">
        <v>8</v>
      </c>
      <c r="B337" s="242" t="s">
        <v>172</v>
      </c>
      <c r="C337" s="246">
        <f t="shared" ref="C337:K337" si="47">C308+C295+C223+C195+C63+C146</f>
        <v>63</v>
      </c>
      <c r="D337" s="246">
        <f t="shared" si="47"/>
        <v>17</v>
      </c>
      <c r="E337" s="246">
        <f t="shared" si="47"/>
        <v>62</v>
      </c>
      <c r="F337" s="246">
        <f t="shared" si="47"/>
        <v>58648.25</v>
      </c>
      <c r="G337" s="246">
        <f t="shared" si="47"/>
        <v>928</v>
      </c>
      <c r="H337" s="246">
        <f t="shared" si="47"/>
        <v>217128</v>
      </c>
      <c r="I337" s="246">
        <f t="shared" si="47"/>
        <v>52494.5</v>
      </c>
      <c r="J337" s="246">
        <f t="shared" si="47"/>
        <v>1638.75</v>
      </c>
      <c r="K337" s="246">
        <f t="shared" si="47"/>
        <v>4515</v>
      </c>
      <c r="L337" s="246">
        <f>L308+L295+L223+L195+L146</f>
        <v>0</v>
      </c>
      <c r="M337" s="246">
        <f>M308+M295+M223+M195+M146</f>
        <v>0</v>
      </c>
      <c r="N337" s="246">
        <f>N308+N295+N223+N195+N146</f>
        <v>0</v>
      </c>
      <c r="O337" s="246">
        <f>O308+O295+O223+O195+O146</f>
        <v>0</v>
      </c>
      <c r="P337" s="246">
        <f>P308+P295+P223+P195+P146</f>
        <v>0</v>
      </c>
      <c r="Q337" s="253"/>
    </row>
    <row r="338" spans="1:17" ht="25" customHeight="1" x14ac:dyDescent="0.25">
      <c r="A338" s="256" t="s">
        <v>25</v>
      </c>
      <c r="B338" s="245" t="s">
        <v>166</v>
      </c>
      <c r="C338" s="246">
        <f t="shared" ref="C338:J338" si="48">C323+C229</f>
        <v>0</v>
      </c>
      <c r="D338" s="246">
        <f t="shared" si="48"/>
        <v>0</v>
      </c>
      <c r="E338" s="246">
        <f t="shared" si="48"/>
        <v>0</v>
      </c>
      <c r="F338" s="246">
        <f t="shared" si="48"/>
        <v>99720</v>
      </c>
      <c r="G338" s="246">
        <f t="shared" si="48"/>
        <v>33</v>
      </c>
      <c r="H338" s="246">
        <f t="shared" si="48"/>
        <v>452760</v>
      </c>
      <c r="I338" s="246">
        <f t="shared" si="48"/>
        <v>98740</v>
      </c>
      <c r="J338" s="246">
        <f t="shared" si="48"/>
        <v>980</v>
      </c>
      <c r="K338" s="246">
        <f t="shared" ref="K338:P338" si="49">K329+K229</f>
        <v>0</v>
      </c>
      <c r="L338" s="246">
        <f t="shared" si="49"/>
        <v>0</v>
      </c>
      <c r="M338" s="246">
        <f t="shared" si="49"/>
        <v>0</v>
      </c>
      <c r="N338" s="246">
        <f t="shared" si="49"/>
        <v>0</v>
      </c>
      <c r="O338" s="246">
        <f t="shared" si="49"/>
        <v>0</v>
      </c>
      <c r="P338" s="246">
        <f t="shared" si="49"/>
        <v>0</v>
      </c>
      <c r="Q338" s="253"/>
    </row>
    <row r="339" spans="1:17" ht="25" customHeight="1" x14ac:dyDescent="0.25">
      <c r="A339" s="256"/>
      <c r="B339" s="245" t="s">
        <v>542</v>
      </c>
      <c r="C339" s="246" t="e">
        <f>C329+C239+#REF!+C164+C83</f>
        <v>#REF!</v>
      </c>
      <c r="D339" s="246" t="e">
        <f>D329+D239+#REF!+D164+D83</f>
        <v>#REF!</v>
      </c>
      <c r="E339" s="246" t="e">
        <f>E329+E239+#REF!+E164+E83</f>
        <v>#REF!</v>
      </c>
      <c r="F339" s="246" t="e">
        <f>F329+F239+#REF!+F164+F83</f>
        <v>#REF!</v>
      </c>
      <c r="G339" s="246" t="e">
        <f>G329+G239+#REF!+G164+G83</f>
        <v>#REF!</v>
      </c>
      <c r="H339" s="246" t="e">
        <f>H329+H239+#REF!+H164+H83</f>
        <v>#REF!</v>
      </c>
      <c r="I339" s="246" t="e">
        <f>I329+I239+#REF!+I164+I83</f>
        <v>#REF!</v>
      </c>
      <c r="J339" s="246" t="e">
        <f>J329+J239+#REF!+J164+J83</f>
        <v>#REF!</v>
      </c>
      <c r="K339" s="246" t="e">
        <f>K329+K239+#REF!+K164+K83</f>
        <v>#REF!</v>
      </c>
      <c r="L339" s="246" t="e">
        <f>L329+L239+#REF!+L164+L83</f>
        <v>#REF!</v>
      </c>
      <c r="M339" s="246" t="e">
        <f>M329+M239+#REF!+M164+M83</f>
        <v>#REF!</v>
      </c>
      <c r="N339" s="246" t="e">
        <f>N329+N239+#REF!+N164+N83</f>
        <v>#REF!</v>
      </c>
      <c r="O339" s="246" t="e">
        <f>O329+O239+#REF!+O164+O83</f>
        <v>#REF!</v>
      </c>
      <c r="P339" s="246" t="e">
        <f>P329+P239+#REF!+P164+P83</f>
        <v>#REF!</v>
      </c>
      <c r="Q339" s="253"/>
    </row>
    <row r="340" spans="1:17" ht="25" customHeight="1" x14ac:dyDescent="0.25">
      <c r="A340" s="256"/>
      <c r="B340" s="245" t="s">
        <v>543</v>
      </c>
      <c r="C340" s="246"/>
      <c r="D340" s="246"/>
      <c r="E340" s="246"/>
      <c r="F340" s="246"/>
      <c r="G340" s="246"/>
      <c r="H340" s="246"/>
      <c r="I340" s="246"/>
      <c r="J340" s="246"/>
      <c r="K340" s="311"/>
      <c r="L340" s="311"/>
      <c r="M340" s="311"/>
      <c r="N340" s="311"/>
      <c r="O340" s="311"/>
      <c r="P340" s="311"/>
      <c r="Q340" s="253"/>
    </row>
    <row r="341" spans="1:17" ht="25" customHeight="1" x14ac:dyDescent="0.25">
      <c r="A341" s="238"/>
      <c r="B341" s="264" t="s">
        <v>484</v>
      </c>
      <c r="C341" s="260" t="e">
        <f>C330+C240+#REF!+C165+C85</f>
        <v>#REF!</v>
      </c>
      <c r="D341" s="260" t="e">
        <f>D330+D240+#REF!+D165+D85</f>
        <v>#REF!</v>
      </c>
      <c r="E341" s="260" t="e">
        <f>E330+E240+#REF!+E165+E85</f>
        <v>#REF!</v>
      </c>
      <c r="F341" s="260" t="e">
        <f>F330+F240+#REF!+F165+F85</f>
        <v>#REF!</v>
      </c>
      <c r="G341" s="260" t="e">
        <f>G330+G240+#REF!+G165+G85</f>
        <v>#REF!</v>
      </c>
      <c r="H341" s="260" t="e">
        <f>H330+H240+#REF!+H165+H85</f>
        <v>#REF!</v>
      </c>
      <c r="I341" s="260" t="e">
        <f>I330+I240+#REF!+I165+I85</f>
        <v>#REF!</v>
      </c>
      <c r="J341" s="260" t="e">
        <f>J330+J240+#REF!+J165+J85</f>
        <v>#REF!</v>
      </c>
      <c r="K341" s="260" t="e">
        <f>K330+K240+#REF!+K165+K85</f>
        <v>#REF!</v>
      </c>
      <c r="L341" s="312" t="e">
        <f>L330+L240+#REF!+L165+L85</f>
        <v>#REF!</v>
      </c>
      <c r="M341" s="313" t="e">
        <f>M330+M240+#REF!+M165+M85</f>
        <v>#REF!</v>
      </c>
      <c r="N341" s="313" t="e">
        <f>N330+N240+#REF!+N165+N85</f>
        <v>#REF!</v>
      </c>
      <c r="O341" s="312" t="e">
        <f>O330+O240+#REF!+O165+O85</f>
        <v>#REF!</v>
      </c>
      <c r="P341" s="312" t="e">
        <f>P330+P240+#REF!+P165+P85</f>
        <v>#REF!</v>
      </c>
      <c r="Q341" s="253"/>
    </row>
    <row r="342" spans="1:17" x14ac:dyDescent="0.3">
      <c r="C342" s="174"/>
      <c r="D342" s="1450" t="s">
        <v>570</v>
      </c>
      <c r="E342" s="1450"/>
      <c r="F342" s="1450"/>
      <c r="G342" s="1450"/>
      <c r="H342" s="1450"/>
      <c r="I342" s="1450"/>
      <c r="J342" s="241" t="e">
        <f>J341+K341</f>
        <v>#REF!</v>
      </c>
      <c r="K342" s="10"/>
      <c r="L342" s="10"/>
      <c r="M342" s="10"/>
      <c r="N342" s="1451" t="s">
        <v>589</v>
      </c>
      <c r="O342" s="1451"/>
      <c r="P342" s="1451"/>
      <c r="Q342" s="1451"/>
    </row>
    <row r="343" spans="1:17" ht="12.75" customHeight="1" x14ac:dyDescent="0.3">
      <c r="A343" s="14"/>
      <c r="B343" s="14"/>
      <c r="C343" s="174"/>
      <c r="D343" s="174"/>
      <c r="E343" s="174"/>
      <c r="F343" s="174"/>
      <c r="G343" s="174"/>
      <c r="H343" s="174"/>
      <c r="I343" s="174"/>
      <c r="J343" s="174"/>
      <c r="K343" s="10"/>
      <c r="L343" s="10"/>
      <c r="M343" s="10"/>
      <c r="N343" s="1442" t="s">
        <v>548</v>
      </c>
      <c r="O343" s="1442"/>
      <c r="P343" s="1442"/>
      <c r="Q343" s="1442"/>
    </row>
    <row r="344" spans="1:17" x14ac:dyDescent="0.3">
      <c r="A344" s="14"/>
      <c r="B344" s="1452" t="s">
        <v>150</v>
      </c>
      <c r="C344" s="1452"/>
      <c r="D344" s="1452"/>
      <c r="E344" s="1452"/>
      <c r="F344" s="1452"/>
      <c r="G344" s="1452"/>
      <c r="H344" s="1452"/>
      <c r="I344" s="1452"/>
      <c r="J344" s="1452"/>
      <c r="K344" s="1452"/>
      <c r="L344" s="10"/>
      <c r="M344" s="10"/>
      <c r="N344" s="10"/>
      <c r="O344" s="10"/>
      <c r="P344" s="10"/>
      <c r="Q344" s="153"/>
    </row>
    <row r="345" spans="1:17" ht="26.25" customHeight="1" x14ac:dyDescent="0.3">
      <c r="A345" s="14"/>
      <c r="B345" s="1463" t="s">
        <v>237</v>
      </c>
      <c r="C345" s="1463"/>
      <c r="D345" s="1463"/>
      <c r="E345" s="1463"/>
      <c r="F345" s="1463"/>
      <c r="G345" s="1463"/>
      <c r="H345" s="1463"/>
      <c r="I345" s="1463"/>
      <c r="J345" s="1463"/>
      <c r="K345" s="1463"/>
      <c r="L345" s="10"/>
      <c r="M345" s="10"/>
      <c r="N345" s="10"/>
      <c r="O345" s="10"/>
      <c r="P345" s="10"/>
      <c r="Q345" s="153"/>
    </row>
    <row r="346" spans="1:17" ht="30" customHeight="1" x14ac:dyDescent="0.3">
      <c r="A346" s="14"/>
      <c r="B346" s="1448" t="s">
        <v>74</v>
      </c>
      <c r="C346" s="1448"/>
      <c r="D346" s="1448"/>
      <c r="E346" s="1448"/>
      <c r="F346" s="1448"/>
      <c r="G346" s="1448"/>
      <c r="H346" s="1448"/>
      <c r="I346" s="1448"/>
      <c r="J346" s="1448"/>
      <c r="K346" s="1448"/>
      <c r="L346" s="10"/>
      <c r="M346" s="10"/>
      <c r="N346" s="1435" t="s">
        <v>549</v>
      </c>
      <c r="O346" s="1435"/>
      <c r="P346" s="1435"/>
      <c r="Q346" s="1435"/>
    </row>
  </sheetData>
  <mergeCells count="30">
    <mergeCell ref="A5:A6"/>
    <mergeCell ref="B5:B6"/>
    <mergeCell ref="C5:C6"/>
    <mergeCell ref="D5:D6"/>
    <mergeCell ref="E5:E6"/>
    <mergeCell ref="A1:C1"/>
    <mergeCell ref="I1:N1"/>
    <mergeCell ref="A2:C2"/>
    <mergeCell ref="I2:N2"/>
    <mergeCell ref="A3:Q3"/>
    <mergeCell ref="Q128:Q134"/>
    <mergeCell ref="F5:F6"/>
    <mergeCell ref="G5:G6"/>
    <mergeCell ref="H5:H6"/>
    <mergeCell ref="I5:K5"/>
    <mergeCell ref="L5:L6"/>
    <mergeCell ref="M5:M6"/>
    <mergeCell ref="N5:N6"/>
    <mergeCell ref="O5:O6"/>
    <mergeCell ref="P5:P6"/>
    <mergeCell ref="Q5:Q6"/>
    <mergeCell ref="Q50:Q52"/>
    <mergeCell ref="B346:K346"/>
    <mergeCell ref="N346:Q346"/>
    <mergeCell ref="M300:Q300"/>
    <mergeCell ref="D342:I342"/>
    <mergeCell ref="N342:Q342"/>
    <mergeCell ref="N343:Q343"/>
    <mergeCell ref="B344:K344"/>
    <mergeCell ref="B345:K345"/>
  </mergeCells>
  <pageMargins left="0.2" right="0.2" top="0.5" bottom="0.42" header="0.62" footer="0.6"/>
  <pageSetup paperSize="9" scale="8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defaultColWidth="9.1796875" defaultRowHeight="13" x14ac:dyDescent="0.3"/>
  <cols>
    <col min="1" max="1" width="5.453125" style="327" customWidth="1"/>
    <col min="2" max="2" width="41.1796875" style="327" customWidth="1"/>
    <col min="3" max="3" width="7" style="319" customWidth="1"/>
    <col min="4" max="4" width="7" style="319" hidden="1" customWidth="1"/>
    <col min="5" max="5" width="6" style="319" customWidth="1"/>
    <col min="6" max="6" width="7.453125" style="175" customWidth="1"/>
    <col min="7" max="7" width="6.81640625" style="319" customWidth="1"/>
    <col min="8" max="8" width="11.1796875" style="319" customWidth="1"/>
    <col min="9" max="10" width="8.36328125" style="319" customWidth="1"/>
    <col min="11" max="11" width="6.453125" style="328" customWidth="1"/>
    <col min="12" max="12" width="7.6328125" style="328" customWidth="1"/>
    <col min="13" max="13" width="9.453125" style="328" customWidth="1"/>
    <col min="14" max="14" width="11" style="328" customWidth="1"/>
    <col min="15" max="15" width="6.6328125" style="328" customWidth="1"/>
    <col min="16" max="16" width="9.6328125" style="328" customWidth="1"/>
    <col min="17" max="17" width="12.6328125" style="197" customWidth="1"/>
    <col min="18" max="16384" width="9.1796875" style="197"/>
  </cols>
  <sheetData>
    <row r="1" spans="1:17" ht="14.25" customHeight="1" x14ac:dyDescent="0.3">
      <c r="A1" s="1459" t="s">
        <v>3</v>
      </c>
      <c r="B1" s="1459"/>
      <c r="C1" s="1459"/>
      <c r="D1" s="14"/>
      <c r="E1" s="14"/>
      <c r="F1" s="14"/>
      <c r="G1" s="14"/>
      <c r="H1" s="174"/>
      <c r="I1" s="1435"/>
      <c r="J1" s="1435"/>
      <c r="K1" s="1435"/>
      <c r="L1" s="1435"/>
      <c r="M1" s="1435"/>
      <c r="N1" s="1435"/>
      <c r="O1" s="15"/>
      <c r="P1" s="15"/>
      <c r="Q1" s="320" t="s">
        <v>30</v>
      </c>
    </row>
    <row r="2" spans="1:17" x14ac:dyDescent="0.3">
      <c r="A2" s="1439" t="s">
        <v>530</v>
      </c>
      <c r="B2" s="1439"/>
      <c r="C2" s="1439"/>
      <c r="D2" s="153"/>
      <c r="E2" s="153"/>
      <c r="F2" s="14"/>
      <c r="G2" s="153"/>
      <c r="H2" s="174"/>
      <c r="I2" s="1435"/>
      <c r="J2" s="1435"/>
      <c r="K2" s="1435"/>
      <c r="L2" s="1435"/>
      <c r="M2" s="1435"/>
      <c r="N2" s="1435"/>
      <c r="O2" s="15"/>
      <c r="P2" s="15"/>
      <c r="Q2" s="15"/>
    </row>
    <row r="3" spans="1:17" ht="30" customHeight="1" x14ac:dyDescent="0.25">
      <c r="A3" s="1437" t="s">
        <v>590</v>
      </c>
      <c r="B3" s="1437"/>
      <c r="C3" s="1437"/>
      <c r="D3" s="1437"/>
      <c r="E3" s="1437"/>
      <c r="F3" s="1437"/>
      <c r="G3" s="1437"/>
      <c r="H3" s="1437"/>
      <c r="I3" s="1437"/>
      <c r="J3" s="1437"/>
      <c r="K3" s="1437"/>
      <c r="L3" s="1437"/>
      <c r="M3" s="1437"/>
      <c r="N3" s="1437"/>
      <c r="O3" s="1437"/>
      <c r="P3" s="1437"/>
      <c r="Q3" s="1437"/>
    </row>
    <row r="4" spans="1:17" x14ac:dyDescent="0.3">
      <c r="A4" s="51"/>
      <c r="B4" s="51"/>
      <c r="C4" s="61"/>
      <c r="D4" s="61"/>
      <c r="E4" s="61"/>
      <c r="F4" s="61"/>
      <c r="G4" s="61"/>
      <c r="H4" s="61"/>
      <c r="I4" s="61"/>
      <c r="J4" s="61"/>
      <c r="K4" s="51"/>
      <c r="L4" s="51"/>
      <c r="M4" s="51"/>
      <c r="N4" s="51" t="s">
        <v>20</v>
      </c>
      <c r="O4" s="51"/>
      <c r="P4" s="51"/>
      <c r="Q4" s="61"/>
    </row>
    <row r="5" spans="1:17" ht="133.5" customHeight="1" x14ac:dyDescent="0.25">
      <c r="A5" s="1469" t="s">
        <v>0</v>
      </c>
      <c r="B5" s="1464" t="s">
        <v>171</v>
      </c>
      <c r="C5" s="1464" t="s">
        <v>204</v>
      </c>
      <c r="D5" s="1464" t="s">
        <v>205</v>
      </c>
      <c r="E5" s="1464" t="s">
        <v>152</v>
      </c>
      <c r="F5" s="1464" t="s">
        <v>159</v>
      </c>
      <c r="G5" s="1464" t="s">
        <v>208</v>
      </c>
      <c r="H5" s="1464" t="s">
        <v>207</v>
      </c>
      <c r="I5" s="1466" t="s">
        <v>209</v>
      </c>
      <c r="J5" s="1467"/>
      <c r="K5" s="1468"/>
      <c r="L5" s="1464" t="s">
        <v>210</v>
      </c>
      <c r="M5" s="1464" t="s">
        <v>211</v>
      </c>
      <c r="N5" s="1464" t="s">
        <v>39</v>
      </c>
      <c r="O5" s="1464" t="s">
        <v>86</v>
      </c>
      <c r="P5" s="1464" t="s">
        <v>87</v>
      </c>
      <c r="Q5" s="1464" t="s">
        <v>2</v>
      </c>
    </row>
    <row r="6" spans="1:17" ht="50" customHeight="1" x14ac:dyDescent="0.25">
      <c r="A6" s="1470"/>
      <c r="B6" s="1465"/>
      <c r="C6" s="1465"/>
      <c r="D6" s="1465"/>
      <c r="E6" s="1465"/>
      <c r="F6" s="1465"/>
      <c r="G6" s="1465"/>
      <c r="H6" s="1465"/>
      <c r="I6" s="196" t="s">
        <v>160</v>
      </c>
      <c r="J6" s="196" t="s">
        <v>101</v>
      </c>
      <c r="K6" s="196" t="s">
        <v>158</v>
      </c>
      <c r="L6" s="1465"/>
      <c r="M6" s="1465"/>
      <c r="N6" s="1465"/>
      <c r="O6" s="1465"/>
      <c r="P6" s="1465"/>
      <c r="Q6" s="1465"/>
    </row>
    <row r="7" spans="1:17" s="321" customFormat="1" ht="30" customHeight="1" x14ac:dyDescent="0.25">
      <c r="A7" s="199" t="s">
        <v>115</v>
      </c>
      <c r="B7" s="200" t="s">
        <v>116</v>
      </c>
      <c r="C7" s="200" t="s">
        <v>117</v>
      </c>
      <c r="D7" s="201" t="s">
        <v>118</v>
      </c>
      <c r="E7" s="201" t="s">
        <v>118</v>
      </c>
      <c r="F7" s="201" t="s">
        <v>119</v>
      </c>
      <c r="G7" s="201" t="s">
        <v>120</v>
      </c>
      <c r="H7" s="201" t="s">
        <v>596</v>
      </c>
      <c r="I7" s="201" t="s">
        <v>123</v>
      </c>
      <c r="J7" s="201" t="s">
        <v>125</v>
      </c>
      <c r="K7" s="201" t="s">
        <v>134</v>
      </c>
      <c r="L7" s="201" t="s">
        <v>126</v>
      </c>
      <c r="M7" s="201" t="s">
        <v>127</v>
      </c>
      <c r="N7" s="201" t="s">
        <v>128</v>
      </c>
      <c r="O7" s="202" t="s">
        <v>129</v>
      </c>
      <c r="P7" s="202" t="s">
        <v>130</v>
      </c>
      <c r="Q7" s="201" t="s">
        <v>206</v>
      </c>
    </row>
    <row r="8" spans="1:17" ht="25" customHeight="1" x14ac:dyDescent="0.25">
      <c r="A8" s="209" t="s">
        <v>6</v>
      </c>
      <c r="B8" s="209" t="s">
        <v>294</v>
      </c>
      <c r="C8" s="210"/>
      <c r="D8" s="210"/>
      <c r="E8" s="210"/>
      <c r="F8" s="314"/>
      <c r="G8" s="210"/>
      <c r="H8" s="210"/>
      <c r="I8" s="210"/>
      <c r="J8" s="210"/>
      <c r="K8" s="209"/>
      <c r="L8" s="209"/>
      <c r="M8" s="209"/>
      <c r="N8" s="209"/>
      <c r="O8" s="209"/>
      <c r="P8" s="209"/>
      <c r="Q8" s="209"/>
    </row>
    <row r="9" spans="1:17" ht="25" customHeight="1" x14ac:dyDescent="0.25">
      <c r="A9" s="242" t="s">
        <v>7</v>
      </c>
      <c r="B9" s="242" t="s">
        <v>591</v>
      </c>
      <c r="C9" s="243"/>
      <c r="D9" s="243"/>
      <c r="E9" s="243"/>
      <c r="F9" s="315"/>
      <c r="G9" s="243"/>
      <c r="H9" s="243"/>
      <c r="I9" s="243"/>
      <c r="J9" s="243"/>
      <c r="K9" s="242"/>
      <c r="L9" s="242"/>
      <c r="M9" s="242"/>
      <c r="N9" s="242"/>
      <c r="O9" s="242"/>
      <c r="P9" s="242"/>
      <c r="Q9" s="242"/>
    </row>
    <row r="10" spans="1:17" ht="25" customHeight="1" x14ac:dyDescent="0.25">
      <c r="A10" s="242">
        <v>1</v>
      </c>
      <c r="B10" s="242" t="s">
        <v>4</v>
      </c>
      <c r="C10" s="243"/>
      <c r="D10" s="243"/>
      <c r="E10" s="243"/>
      <c r="F10" s="315"/>
      <c r="G10" s="243"/>
      <c r="H10" s="243"/>
      <c r="I10" s="243"/>
      <c r="J10" s="243"/>
      <c r="K10" s="242"/>
      <c r="L10" s="242"/>
      <c r="M10" s="242"/>
      <c r="N10" s="242"/>
      <c r="O10" s="242"/>
      <c r="P10" s="242"/>
      <c r="Q10" s="242"/>
    </row>
    <row r="11" spans="1:17" s="3" customFormat="1" ht="25" customHeight="1" x14ac:dyDescent="0.25">
      <c r="A11" s="244" t="s">
        <v>147</v>
      </c>
      <c r="B11" s="245" t="s">
        <v>161</v>
      </c>
      <c r="C11" s="246"/>
      <c r="D11" s="246"/>
      <c r="E11" s="246"/>
      <c r="F11" s="249"/>
      <c r="G11" s="246"/>
      <c r="H11" s="246"/>
      <c r="I11" s="247"/>
      <c r="J11" s="247"/>
      <c r="K11" s="247"/>
      <c r="L11" s="247"/>
      <c r="M11" s="247"/>
      <c r="N11" s="247"/>
      <c r="O11" s="247"/>
      <c r="P11" s="247"/>
      <c r="Q11" s="248"/>
    </row>
    <row r="12" spans="1:17" s="3" customFormat="1" ht="25" customHeight="1" x14ac:dyDescent="0.25">
      <c r="A12" s="349" t="s">
        <v>226</v>
      </c>
      <c r="B12" s="372" t="s">
        <v>250</v>
      </c>
      <c r="C12" s="352">
        <v>2</v>
      </c>
      <c r="D12" s="351">
        <v>1</v>
      </c>
      <c r="E12" s="352">
        <v>1</v>
      </c>
      <c r="F12" s="254">
        <f>I12+J12+K12</f>
        <v>33</v>
      </c>
      <c r="G12" s="249">
        <v>40</v>
      </c>
      <c r="H12" s="249">
        <f>C12*D12*E12*G12</f>
        <v>80</v>
      </c>
      <c r="I12" s="251">
        <f>IF(G12&lt;70, C12*E12*16.5*1, C12*E12*16.5*1.3)</f>
        <v>33</v>
      </c>
      <c r="J12" s="247"/>
      <c r="K12" s="247"/>
      <c r="L12" s="247"/>
      <c r="M12" s="247"/>
      <c r="N12" s="247"/>
      <c r="O12" s="247"/>
      <c r="P12" s="247"/>
      <c r="Q12" s="248"/>
    </row>
    <row r="13" spans="1:17" s="3" customFormat="1" ht="25" customHeight="1" x14ac:dyDescent="0.25">
      <c r="A13" s="349" t="s">
        <v>227</v>
      </c>
      <c r="B13" s="372" t="s">
        <v>635</v>
      </c>
      <c r="C13" s="352">
        <v>1</v>
      </c>
      <c r="D13" s="352">
        <v>1.4</v>
      </c>
      <c r="E13" s="352">
        <v>14</v>
      </c>
      <c r="F13" s="254">
        <f>I13+J13+K13</f>
        <v>231</v>
      </c>
      <c r="G13" s="249">
        <v>20</v>
      </c>
      <c r="H13" s="249">
        <f t="shared" ref="H13:H44" si="0">C13*D13*E13*G13</f>
        <v>391.99999999999994</v>
      </c>
      <c r="I13" s="251">
        <f t="shared" ref="I13:I45" si="1">IF(G13&lt;70, C13*E13*16.5*1, C13*E13*16.5*1.3)</f>
        <v>231</v>
      </c>
      <c r="J13" s="247"/>
      <c r="K13" s="247"/>
      <c r="L13" s="247"/>
      <c r="M13" s="247"/>
      <c r="N13" s="247"/>
      <c r="O13" s="247"/>
      <c r="P13" s="247"/>
      <c r="Q13" s="248"/>
    </row>
    <row r="14" spans="1:17" s="3" customFormat="1" ht="25" customHeight="1" x14ac:dyDescent="0.25">
      <c r="A14" s="349" t="s">
        <v>228</v>
      </c>
      <c r="B14" s="372" t="s">
        <v>251</v>
      </c>
      <c r="C14" s="352">
        <v>2</v>
      </c>
      <c r="D14" s="352">
        <v>1</v>
      </c>
      <c r="E14" s="352">
        <v>1</v>
      </c>
      <c r="F14" s="254">
        <f t="shared" ref="F14:F46" si="2">I14+J14+K14</f>
        <v>42.9</v>
      </c>
      <c r="G14" s="249">
        <v>80</v>
      </c>
      <c r="H14" s="249">
        <f t="shared" si="0"/>
        <v>160</v>
      </c>
      <c r="I14" s="251">
        <f t="shared" si="1"/>
        <v>42.9</v>
      </c>
      <c r="J14" s="247"/>
      <c r="K14" s="247"/>
      <c r="L14" s="247"/>
      <c r="M14" s="247"/>
      <c r="N14" s="247"/>
      <c r="O14" s="247"/>
      <c r="P14" s="247"/>
      <c r="Q14" s="248"/>
    </row>
    <row r="15" spans="1:17" s="3" customFormat="1" ht="25" customHeight="1" x14ac:dyDescent="0.25">
      <c r="A15" s="349" t="s">
        <v>229</v>
      </c>
      <c r="B15" s="372" t="s">
        <v>636</v>
      </c>
      <c r="C15" s="352">
        <v>2</v>
      </c>
      <c r="D15" s="352">
        <v>1</v>
      </c>
      <c r="E15" s="352">
        <v>3</v>
      </c>
      <c r="F15" s="254">
        <f t="shared" si="2"/>
        <v>128.70000000000002</v>
      </c>
      <c r="G15" s="249">
        <v>70</v>
      </c>
      <c r="H15" s="249">
        <f t="shared" si="0"/>
        <v>420</v>
      </c>
      <c r="I15" s="251">
        <f t="shared" si="1"/>
        <v>128.70000000000002</v>
      </c>
      <c r="J15" s="247"/>
      <c r="K15" s="247"/>
      <c r="L15" s="247"/>
      <c r="M15" s="247"/>
      <c r="N15" s="247"/>
      <c r="O15" s="247"/>
      <c r="P15" s="247"/>
      <c r="Q15" s="248"/>
    </row>
    <row r="16" spans="1:17" s="3" customFormat="1" ht="25" customHeight="1" x14ac:dyDescent="0.3">
      <c r="A16" s="349" t="s">
        <v>230</v>
      </c>
      <c r="B16" s="373" t="s">
        <v>637</v>
      </c>
      <c r="C16" s="352">
        <v>2</v>
      </c>
      <c r="D16" s="352">
        <v>1</v>
      </c>
      <c r="E16" s="352">
        <v>3</v>
      </c>
      <c r="F16" s="254">
        <f t="shared" si="2"/>
        <v>128.70000000000002</v>
      </c>
      <c r="G16" s="249">
        <v>70</v>
      </c>
      <c r="H16" s="249">
        <f t="shared" si="0"/>
        <v>420</v>
      </c>
      <c r="I16" s="251">
        <f t="shared" si="1"/>
        <v>128.70000000000002</v>
      </c>
      <c r="J16" s="247"/>
      <c r="K16" s="247"/>
      <c r="L16" s="247"/>
      <c r="M16" s="247"/>
      <c r="N16" s="247"/>
      <c r="O16" s="247"/>
      <c r="P16" s="247"/>
      <c r="Q16" s="248"/>
    </row>
    <row r="17" spans="1:17" s="3" customFormat="1" ht="25" customHeight="1" x14ac:dyDescent="0.25">
      <c r="A17" s="349" t="s">
        <v>231</v>
      </c>
      <c r="B17" s="372" t="s">
        <v>259</v>
      </c>
      <c r="C17" s="352">
        <v>5</v>
      </c>
      <c r="D17" s="352">
        <v>1</v>
      </c>
      <c r="E17" s="352">
        <v>4</v>
      </c>
      <c r="F17" s="254">
        <f t="shared" si="2"/>
        <v>429</v>
      </c>
      <c r="G17" s="249">
        <v>70</v>
      </c>
      <c r="H17" s="249">
        <f t="shared" si="0"/>
        <v>1400</v>
      </c>
      <c r="I17" s="251">
        <f t="shared" si="1"/>
        <v>429</v>
      </c>
      <c r="J17" s="247"/>
      <c r="K17" s="247"/>
      <c r="L17" s="247"/>
      <c r="M17" s="247"/>
      <c r="N17" s="247"/>
      <c r="O17" s="247"/>
      <c r="P17" s="247"/>
      <c r="Q17" s="248"/>
    </row>
    <row r="18" spans="1:17" s="3" customFormat="1" ht="25" customHeight="1" x14ac:dyDescent="0.25">
      <c r="A18" s="349" t="s">
        <v>282</v>
      </c>
      <c r="B18" s="372" t="s">
        <v>249</v>
      </c>
      <c r="C18" s="351">
        <v>2</v>
      </c>
      <c r="D18" s="351">
        <v>1</v>
      </c>
      <c r="E18" s="351">
        <v>1</v>
      </c>
      <c r="F18" s="254">
        <f t="shared" si="2"/>
        <v>33</v>
      </c>
      <c r="G18" s="251">
        <v>40</v>
      </c>
      <c r="H18" s="249">
        <f t="shared" si="0"/>
        <v>80</v>
      </c>
      <c r="I18" s="251">
        <f t="shared" si="1"/>
        <v>33</v>
      </c>
      <c r="J18" s="247"/>
      <c r="K18" s="247"/>
      <c r="L18" s="247"/>
      <c r="M18" s="247"/>
      <c r="N18" s="247"/>
      <c r="O18" s="247"/>
      <c r="P18" s="247"/>
      <c r="Q18" s="248"/>
    </row>
    <row r="19" spans="1:17" s="3" customFormat="1" ht="25" customHeight="1" x14ac:dyDescent="0.3">
      <c r="A19" s="349" t="s">
        <v>283</v>
      </c>
      <c r="B19" s="373" t="s">
        <v>638</v>
      </c>
      <c r="C19" s="352">
        <v>2</v>
      </c>
      <c r="D19" s="352">
        <v>1</v>
      </c>
      <c r="E19" s="352">
        <v>2</v>
      </c>
      <c r="F19" s="254">
        <f t="shared" si="2"/>
        <v>85.8</v>
      </c>
      <c r="G19" s="249">
        <v>80</v>
      </c>
      <c r="H19" s="249">
        <f t="shared" si="0"/>
        <v>320</v>
      </c>
      <c r="I19" s="251">
        <f t="shared" si="1"/>
        <v>85.8</v>
      </c>
      <c r="J19" s="247"/>
      <c r="K19" s="247"/>
      <c r="L19" s="247"/>
      <c r="M19" s="247"/>
      <c r="N19" s="247"/>
      <c r="O19" s="247"/>
      <c r="P19" s="247"/>
      <c r="Q19" s="248"/>
    </row>
    <row r="20" spans="1:17" s="3" customFormat="1" ht="25" customHeight="1" x14ac:dyDescent="0.25">
      <c r="A20" s="349" t="s">
        <v>284</v>
      </c>
      <c r="B20" s="372" t="s">
        <v>639</v>
      </c>
      <c r="C20" s="352">
        <v>1</v>
      </c>
      <c r="D20" s="352">
        <v>1.4</v>
      </c>
      <c r="E20" s="352">
        <v>6</v>
      </c>
      <c r="F20" s="254">
        <f t="shared" si="2"/>
        <v>99</v>
      </c>
      <c r="G20" s="249">
        <v>20</v>
      </c>
      <c r="H20" s="249">
        <f t="shared" si="0"/>
        <v>167.99999999999997</v>
      </c>
      <c r="I20" s="251">
        <f t="shared" si="1"/>
        <v>99</v>
      </c>
      <c r="J20" s="247"/>
      <c r="K20" s="247"/>
      <c r="L20" s="247"/>
      <c r="M20" s="247"/>
      <c r="N20" s="247"/>
      <c r="O20" s="247"/>
      <c r="P20" s="247"/>
      <c r="Q20" s="248"/>
    </row>
    <row r="21" spans="1:17" s="3" customFormat="1" ht="25" customHeight="1" x14ac:dyDescent="0.25">
      <c r="A21" s="349" t="s">
        <v>285</v>
      </c>
      <c r="B21" s="372" t="s">
        <v>640</v>
      </c>
      <c r="C21" s="352">
        <v>3</v>
      </c>
      <c r="D21" s="352">
        <v>1</v>
      </c>
      <c r="E21" s="352">
        <v>2</v>
      </c>
      <c r="F21" s="254">
        <f t="shared" si="2"/>
        <v>128.70000000000002</v>
      </c>
      <c r="G21" s="249">
        <v>80</v>
      </c>
      <c r="H21" s="249">
        <f t="shared" si="0"/>
        <v>480</v>
      </c>
      <c r="I21" s="251">
        <f t="shared" si="1"/>
        <v>128.70000000000002</v>
      </c>
      <c r="J21" s="252"/>
      <c r="K21" s="252"/>
      <c r="L21" s="252"/>
      <c r="M21" s="252"/>
      <c r="N21" s="252"/>
      <c r="O21" s="252"/>
      <c r="P21" s="252"/>
      <c r="Q21" s="253"/>
    </row>
    <row r="22" spans="1:17" s="3" customFormat="1" ht="25" customHeight="1" x14ac:dyDescent="0.25">
      <c r="A22" s="349" t="s">
        <v>286</v>
      </c>
      <c r="B22" s="372" t="s">
        <v>252</v>
      </c>
      <c r="C22" s="352">
        <v>2</v>
      </c>
      <c r="D22" s="352">
        <v>1</v>
      </c>
      <c r="E22" s="352">
        <v>1</v>
      </c>
      <c r="F22" s="254">
        <f t="shared" si="2"/>
        <v>33</v>
      </c>
      <c r="G22" s="249">
        <v>40</v>
      </c>
      <c r="H22" s="249">
        <f t="shared" si="0"/>
        <v>80</v>
      </c>
      <c r="I22" s="251">
        <f t="shared" si="1"/>
        <v>33</v>
      </c>
      <c r="J22" s="252"/>
      <c r="K22" s="252"/>
      <c r="L22" s="252"/>
      <c r="M22" s="252"/>
      <c r="N22" s="252"/>
      <c r="O22" s="252"/>
      <c r="P22" s="252"/>
      <c r="Q22" s="253"/>
    </row>
    <row r="23" spans="1:17" s="3" customFormat="1" ht="25" customHeight="1" x14ac:dyDescent="0.25">
      <c r="A23" s="349" t="s">
        <v>289</v>
      </c>
      <c r="B23" s="372" t="s">
        <v>253</v>
      </c>
      <c r="C23" s="352">
        <v>2</v>
      </c>
      <c r="D23" s="352">
        <v>1</v>
      </c>
      <c r="E23" s="352">
        <v>1</v>
      </c>
      <c r="F23" s="254">
        <f t="shared" si="2"/>
        <v>33</v>
      </c>
      <c r="G23" s="249">
        <v>40</v>
      </c>
      <c r="H23" s="249">
        <f t="shared" si="0"/>
        <v>80</v>
      </c>
      <c r="I23" s="251">
        <f t="shared" si="1"/>
        <v>33</v>
      </c>
      <c r="J23" s="252"/>
      <c r="K23" s="252"/>
      <c r="L23" s="252"/>
      <c r="M23" s="252"/>
      <c r="N23" s="252"/>
      <c r="O23" s="252"/>
      <c r="P23" s="252"/>
      <c r="Q23" s="253"/>
    </row>
    <row r="24" spans="1:17" s="3" customFormat="1" ht="25" customHeight="1" x14ac:dyDescent="0.25">
      <c r="A24" s="349" t="s">
        <v>290</v>
      </c>
      <c r="B24" s="372" t="s">
        <v>254</v>
      </c>
      <c r="C24" s="352">
        <v>4</v>
      </c>
      <c r="D24" s="352">
        <v>1.4</v>
      </c>
      <c r="E24" s="352">
        <v>6</v>
      </c>
      <c r="F24" s="254">
        <f t="shared" si="2"/>
        <v>240</v>
      </c>
      <c r="G24" s="249">
        <v>20</v>
      </c>
      <c r="H24" s="249">
        <f t="shared" si="0"/>
        <v>671.99999999999989</v>
      </c>
      <c r="I24" s="251">
        <f>E24*G24*2</f>
        <v>240</v>
      </c>
      <c r="J24" s="252"/>
      <c r="K24" s="252"/>
      <c r="L24" s="252"/>
      <c r="M24" s="252"/>
      <c r="N24" s="252"/>
      <c r="O24" s="252"/>
      <c r="P24" s="252"/>
      <c r="Q24" s="253"/>
    </row>
    <row r="25" spans="1:17" s="3" customFormat="1" ht="25" customHeight="1" x14ac:dyDescent="0.25">
      <c r="A25" s="349" t="s">
        <v>291</v>
      </c>
      <c r="B25" s="372" t="s">
        <v>255</v>
      </c>
      <c r="C25" s="352">
        <v>3</v>
      </c>
      <c r="D25" s="352">
        <v>1.3</v>
      </c>
      <c r="E25" s="352">
        <v>7</v>
      </c>
      <c r="F25" s="254">
        <f t="shared" si="2"/>
        <v>346.5</v>
      </c>
      <c r="G25" s="249">
        <v>20</v>
      </c>
      <c r="H25" s="249">
        <f t="shared" si="0"/>
        <v>546.00000000000011</v>
      </c>
      <c r="I25" s="251">
        <f t="shared" si="1"/>
        <v>346.5</v>
      </c>
      <c r="J25" s="252"/>
      <c r="K25" s="252"/>
      <c r="L25" s="252"/>
      <c r="M25" s="252"/>
      <c r="N25" s="252"/>
      <c r="O25" s="252"/>
      <c r="P25" s="252"/>
      <c r="Q25" s="253"/>
    </row>
    <row r="26" spans="1:17" s="3" customFormat="1" ht="25" customHeight="1" x14ac:dyDescent="0.25">
      <c r="A26" s="349" t="s">
        <v>292</v>
      </c>
      <c r="B26" s="372" t="s">
        <v>256</v>
      </c>
      <c r="C26" s="352">
        <v>3</v>
      </c>
      <c r="D26" s="352">
        <v>1</v>
      </c>
      <c r="E26" s="352">
        <v>2</v>
      </c>
      <c r="F26" s="254">
        <f t="shared" si="2"/>
        <v>128.70000000000002</v>
      </c>
      <c r="G26" s="249">
        <v>70</v>
      </c>
      <c r="H26" s="249">
        <f t="shared" si="0"/>
        <v>420</v>
      </c>
      <c r="I26" s="251">
        <f t="shared" si="1"/>
        <v>128.70000000000002</v>
      </c>
      <c r="J26" s="252"/>
      <c r="K26" s="252"/>
      <c r="L26" s="252"/>
      <c r="M26" s="252"/>
      <c r="N26" s="252"/>
      <c r="O26" s="252"/>
      <c r="P26" s="252"/>
      <c r="Q26" s="253"/>
    </row>
    <row r="27" spans="1:17" s="3" customFormat="1" ht="25" customHeight="1" x14ac:dyDescent="0.3">
      <c r="A27" s="349" t="s">
        <v>394</v>
      </c>
      <c r="B27" s="374" t="s">
        <v>641</v>
      </c>
      <c r="C27" s="352">
        <v>3</v>
      </c>
      <c r="D27" s="352">
        <v>1</v>
      </c>
      <c r="E27" s="352">
        <v>4</v>
      </c>
      <c r="F27" s="254">
        <f t="shared" si="2"/>
        <v>257.40000000000003</v>
      </c>
      <c r="G27" s="249">
        <v>70</v>
      </c>
      <c r="H27" s="249">
        <f t="shared" si="0"/>
        <v>840</v>
      </c>
      <c r="I27" s="251">
        <f t="shared" si="1"/>
        <v>257.40000000000003</v>
      </c>
      <c r="J27" s="252"/>
      <c r="K27" s="252"/>
      <c r="L27" s="252"/>
      <c r="M27" s="252"/>
      <c r="N27" s="252"/>
      <c r="O27" s="252"/>
      <c r="P27" s="252"/>
      <c r="Q27" s="253"/>
    </row>
    <row r="28" spans="1:17" s="3" customFormat="1" ht="25" customHeight="1" x14ac:dyDescent="0.25">
      <c r="A28" s="349" t="s">
        <v>395</v>
      </c>
      <c r="B28" s="372" t="s">
        <v>642</v>
      </c>
      <c r="C28" s="352">
        <v>5</v>
      </c>
      <c r="D28" s="352">
        <v>1.4</v>
      </c>
      <c r="E28" s="352">
        <v>6</v>
      </c>
      <c r="F28" s="254">
        <f t="shared" si="2"/>
        <v>495</v>
      </c>
      <c r="G28" s="249">
        <v>45</v>
      </c>
      <c r="H28" s="249">
        <f t="shared" si="0"/>
        <v>1890</v>
      </c>
      <c r="I28" s="251">
        <f t="shared" si="1"/>
        <v>495</v>
      </c>
      <c r="J28" s="252"/>
      <c r="K28" s="252"/>
      <c r="L28" s="252"/>
      <c r="M28" s="252"/>
      <c r="N28" s="252"/>
      <c r="O28" s="252"/>
      <c r="P28" s="252"/>
      <c r="Q28" s="253"/>
    </row>
    <row r="29" spans="1:17" s="3" customFormat="1" ht="25" customHeight="1" x14ac:dyDescent="0.25">
      <c r="A29" s="349" t="s">
        <v>396</v>
      </c>
      <c r="B29" s="372" t="s">
        <v>260</v>
      </c>
      <c r="C29" s="352">
        <v>2</v>
      </c>
      <c r="D29" s="352">
        <v>1</v>
      </c>
      <c r="E29" s="352">
        <v>4</v>
      </c>
      <c r="F29" s="254">
        <f t="shared" si="2"/>
        <v>132</v>
      </c>
      <c r="G29" s="249">
        <v>40</v>
      </c>
      <c r="H29" s="249">
        <f t="shared" si="0"/>
        <v>320</v>
      </c>
      <c r="I29" s="251">
        <f t="shared" si="1"/>
        <v>132</v>
      </c>
      <c r="J29" s="252"/>
      <c r="K29" s="252"/>
      <c r="L29" s="252"/>
      <c r="M29" s="252"/>
      <c r="N29" s="252"/>
      <c r="O29" s="252"/>
      <c r="P29" s="252"/>
      <c r="Q29" s="253"/>
    </row>
    <row r="30" spans="1:17" s="3" customFormat="1" ht="25" customHeight="1" x14ac:dyDescent="0.25">
      <c r="A30" s="349" t="s">
        <v>397</v>
      </c>
      <c r="B30" s="372" t="s">
        <v>643</v>
      </c>
      <c r="C30" s="352">
        <v>2</v>
      </c>
      <c r="D30" s="352">
        <v>1</v>
      </c>
      <c r="E30" s="352">
        <v>2</v>
      </c>
      <c r="F30" s="254">
        <f t="shared" si="2"/>
        <v>66</v>
      </c>
      <c r="G30" s="249">
        <v>65</v>
      </c>
      <c r="H30" s="249">
        <f t="shared" si="0"/>
        <v>260</v>
      </c>
      <c r="I30" s="251">
        <f t="shared" si="1"/>
        <v>66</v>
      </c>
      <c r="J30" s="252"/>
      <c r="K30" s="252"/>
      <c r="L30" s="252"/>
      <c r="M30" s="252"/>
      <c r="N30" s="252"/>
      <c r="O30" s="252"/>
      <c r="P30" s="252"/>
      <c r="Q30" s="253"/>
    </row>
    <row r="31" spans="1:17" s="3" customFormat="1" ht="25" customHeight="1" x14ac:dyDescent="0.25">
      <c r="A31" s="349" t="s">
        <v>398</v>
      </c>
      <c r="B31" s="372" t="s">
        <v>644</v>
      </c>
      <c r="C31" s="352">
        <v>4</v>
      </c>
      <c r="D31" s="352">
        <v>1</v>
      </c>
      <c r="E31" s="352">
        <v>2</v>
      </c>
      <c r="F31" s="254">
        <f t="shared" si="2"/>
        <v>171.6</v>
      </c>
      <c r="G31" s="249">
        <v>70</v>
      </c>
      <c r="H31" s="249">
        <f t="shared" si="0"/>
        <v>560</v>
      </c>
      <c r="I31" s="251">
        <f t="shared" si="1"/>
        <v>171.6</v>
      </c>
      <c r="J31" s="252"/>
      <c r="K31" s="252"/>
      <c r="L31" s="252"/>
      <c r="M31" s="252"/>
      <c r="N31" s="252"/>
      <c r="O31" s="252"/>
      <c r="P31" s="252"/>
      <c r="Q31" s="253"/>
    </row>
    <row r="32" spans="1:17" s="3" customFormat="1" ht="25" customHeight="1" x14ac:dyDescent="0.25">
      <c r="A32" s="349" t="s">
        <v>399</v>
      </c>
      <c r="B32" s="372" t="s">
        <v>645</v>
      </c>
      <c r="C32" s="352">
        <v>2</v>
      </c>
      <c r="D32" s="352">
        <v>1.08</v>
      </c>
      <c r="E32" s="352">
        <v>4</v>
      </c>
      <c r="F32" s="254">
        <f t="shared" si="2"/>
        <v>132</v>
      </c>
      <c r="G32" s="249">
        <v>50</v>
      </c>
      <c r="H32" s="249">
        <f t="shared" si="0"/>
        <v>432</v>
      </c>
      <c r="I32" s="251">
        <f t="shared" si="1"/>
        <v>132</v>
      </c>
      <c r="J32" s="252"/>
      <c r="K32" s="252"/>
      <c r="L32" s="252"/>
      <c r="M32" s="252"/>
      <c r="N32" s="252"/>
      <c r="O32" s="252"/>
      <c r="P32" s="252"/>
      <c r="Q32" s="253"/>
    </row>
    <row r="33" spans="1:17" s="3" customFormat="1" ht="25" customHeight="1" x14ac:dyDescent="0.25">
      <c r="A33" s="349" t="s">
        <v>400</v>
      </c>
      <c r="B33" s="375" t="s">
        <v>262</v>
      </c>
      <c r="C33" s="376">
        <v>4</v>
      </c>
      <c r="D33" s="352">
        <v>1.08</v>
      </c>
      <c r="E33" s="377">
        <v>2</v>
      </c>
      <c r="F33" s="254">
        <f t="shared" si="2"/>
        <v>171.6</v>
      </c>
      <c r="G33" s="255">
        <v>70</v>
      </c>
      <c r="H33" s="249">
        <f t="shared" si="0"/>
        <v>604.80000000000007</v>
      </c>
      <c r="I33" s="251">
        <f t="shared" si="1"/>
        <v>171.6</v>
      </c>
      <c r="J33" s="252"/>
      <c r="K33" s="252"/>
      <c r="L33" s="252"/>
      <c r="M33" s="252"/>
      <c r="N33" s="252"/>
      <c r="O33" s="252"/>
      <c r="P33" s="252"/>
      <c r="Q33" s="253"/>
    </row>
    <row r="34" spans="1:17" s="3" customFormat="1" ht="25" customHeight="1" x14ac:dyDescent="0.25">
      <c r="A34" s="349" t="s">
        <v>401</v>
      </c>
      <c r="B34" s="378" t="s">
        <v>646</v>
      </c>
      <c r="C34" s="352">
        <v>3</v>
      </c>
      <c r="D34" s="352">
        <v>1</v>
      </c>
      <c r="E34" s="352">
        <v>2</v>
      </c>
      <c r="F34" s="254">
        <f t="shared" si="2"/>
        <v>128.70000000000002</v>
      </c>
      <c r="G34" s="249">
        <v>80</v>
      </c>
      <c r="H34" s="249">
        <f t="shared" si="0"/>
        <v>480</v>
      </c>
      <c r="I34" s="251">
        <f t="shared" si="1"/>
        <v>128.70000000000002</v>
      </c>
      <c r="J34" s="252"/>
      <c r="K34" s="252"/>
      <c r="L34" s="252"/>
      <c r="M34" s="252"/>
      <c r="N34" s="252"/>
      <c r="O34" s="252"/>
      <c r="P34" s="252"/>
      <c r="Q34" s="253"/>
    </row>
    <row r="35" spans="1:17" s="3" customFormat="1" ht="25" customHeight="1" x14ac:dyDescent="0.25">
      <c r="A35" s="349" t="s">
        <v>402</v>
      </c>
      <c r="B35" s="372" t="s">
        <v>647</v>
      </c>
      <c r="C35" s="352">
        <v>3</v>
      </c>
      <c r="D35" s="352">
        <v>1</v>
      </c>
      <c r="E35" s="352">
        <v>2</v>
      </c>
      <c r="F35" s="254">
        <f t="shared" si="2"/>
        <v>128.70000000000002</v>
      </c>
      <c r="G35" s="249">
        <v>70</v>
      </c>
      <c r="H35" s="249">
        <f t="shared" si="0"/>
        <v>420</v>
      </c>
      <c r="I35" s="251">
        <f t="shared" si="1"/>
        <v>128.70000000000002</v>
      </c>
      <c r="J35" s="252"/>
      <c r="K35" s="252"/>
      <c r="L35" s="252"/>
      <c r="M35" s="252"/>
      <c r="N35" s="252"/>
      <c r="O35" s="252"/>
      <c r="P35" s="252"/>
      <c r="Q35" s="253"/>
    </row>
    <row r="36" spans="1:17" s="3" customFormat="1" ht="25" customHeight="1" x14ac:dyDescent="0.25">
      <c r="A36" s="349" t="s">
        <v>403</v>
      </c>
      <c r="B36" s="372" t="s">
        <v>264</v>
      </c>
      <c r="C36" s="352">
        <v>3</v>
      </c>
      <c r="D36" s="352">
        <v>1</v>
      </c>
      <c r="E36" s="352">
        <v>1</v>
      </c>
      <c r="F36" s="254">
        <f t="shared" si="2"/>
        <v>49.5</v>
      </c>
      <c r="G36" s="249">
        <v>21</v>
      </c>
      <c r="H36" s="249">
        <f t="shared" si="0"/>
        <v>63</v>
      </c>
      <c r="I36" s="251">
        <f t="shared" si="1"/>
        <v>49.5</v>
      </c>
      <c r="J36" s="252"/>
      <c r="K36" s="252"/>
      <c r="L36" s="252"/>
      <c r="M36" s="252"/>
      <c r="N36" s="252"/>
      <c r="O36" s="252"/>
      <c r="P36" s="252"/>
      <c r="Q36" s="253"/>
    </row>
    <row r="37" spans="1:17" s="3" customFormat="1" ht="25" customHeight="1" x14ac:dyDescent="0.25">
      <c r="A37" s="349" t="s">
        <v>404</v>
      </c>
      <c r="B37" s="372" t="s">
        <v>648</v>
      </c>
      <c r="C37" s="352">
        <v>4</v>
      </c>
      <c r="D37" s="352">
        <v>1</v>
      </c>
      <c r="E37" s="352">
        <v>5</v>
      </c>
      <c r="F37" s="254">
        <f t="shared" si="2"/>
        <v>429</v>
      </c>
      <c r="G37" s="249">
        <v>70</v>
      </c>
      <c r="H37" s="249">
        <f t="shared" si="0"/>
        <v>1400</v>
      </c>
      <c r="I37" s="251">
        <f t="shared" si="1"/>
        <v>429</v>
      </c>
      <c r="J37" s="252"/>
      <c r="K37" s="252"/>
      <c r="L37" s="252"/>
      <c r="M37" s="252"/>
      <c r="N37" s="252"/>
      <c r="O37" s="252"/>
      <c r="P37" s="252"/>
      <c r="Q37" s="253"/>
    </row>
    <row r="38" spans="1:17" s="3" customFormat="1" ht="25" customHeight="1" x14ac:dyDescent="0.25">
      <c r="A38" s="349" t="s">
        <v>405</v>
      </c>
      <c r="B38" s="372" t="s">
        <v>642</v>
      </c>
      <c r="C38" s="352">
        <v>2</v>
      </c>
      <c r="D38" s="352">
        <v>1.4</v>
      </c>
      <c r="E38" s="352">
        <v>6</v>
      </c>
      <c r="F38" s="254">
        <f t="shared" si="2"/>
        <v>90</v>
      </c>
      <c r="G38" s="249">
        <v>20</v>
      </c>
      <c r="H38" s="249">
        <f t="shared" si="0"/>
        <v>335.99999999999994</v>
      </c>
      <c r="I38" s="251">
        <f>E38*15</f>
        <v>90</v>
      </c>
      <c r="J38" s="252"/>
      <c r="K38" s="252"/>
      <c r="L38" s="252"/>
      <c r="M38" s="252"/>
      <c r="N38" s="252"/>
      <c r="O38" s="252"/>
      <c r="P38" s="252"/>
      <c r="Q38" s="253"/>
    </row>
    <row r="39" spans="1:17" s="3" customFormat="1" ht="25" customHeight="1" x14ac:dyDescent="0.25">
      <c r="A39" s="349" t="s">
        <v>406</v>
      </c>
      <c r="B39" s="372" t="s">
        <v>265</v>
      </c>
      <c r="C39" s="352">
        <v>3</v>
      </c>
      <c r="D39" s="352">
        <v>1</v>
      </c>
      <c r="E39" s="352">
        <v>6</v>
      </c>
      <c r="F39" s="254">
        <f t="shared" si="2"/>
        <v>297</v>
      </c>
      <c r="G39" s="249">
        <v>50</v>
      </c>
      <c r="H39" s="249">
        <f t="shared" si="0"/>
        <v>900</v>
      </c>
      <c r="I39" s="251">
        <f t="shared" si="1"/>
        <v>297</v>
      </c>
      <c r="J39" s="252"/>
      <c r="K39" s="252"/>
      <c r="L39" s="252"/>
      <c r="M39" s="252"/>
      <c r="N39" s="252"/>
      <c r="O39" s="252"/>
      <c r="P39" s="252"/>
      <c r="Q39" s="253"/>
    </row>
    <row r="40" spans="1:17" s="3" customFormat="1" ht="25" customHeight="1" x14ac:dyDescent="0.25">
      <c r="A40" s="349" t="s">
        <v>407</v>
      </c>
      <c r="B40" s="372" t="s">
        <v>266</v>
      </c>
      <c r="C40" s="352">
        <v>3</v>
      </c>
      <c r="D40" s="352">
        <v>1</v>
      </c>
      <c r="E40" s="352">
        <v>3</v>
      </c>
      <c r="F40" s="254">
        <f t="shared" si="2"/>
        <v>193.05</v>
      </c>
      <c r="G40" s="249">
        <v>70</v>
      </c>
      <c r="H40" s="249">
        <f t="shared" si="0"/>
        <v>630</v>
      </c>
      <c r="I40" s="251">
        <f t="shared" si="1"/>
        <v>193.05</v>
      </c>
      <c r="J40" s="252"/>
      <c r="K40" s="252"/>
      <c r="L40" s="252"/>
      <c r="M40" s="252"/>
      <c r="N40" s="252"/>
      <c r="O40" s="252"/>
      <c r="P40" s="252"/>
      <c r="Q40" s="253"/>
    </row>
    <row r="41" spans="1:17" s="3" customFormat="1" ht="25" customHeight="1" x14ac:dyDescent="0.25">
      <c r="A41" s="349" t="s">
        <v>408</v>
      </c>
      <c r="B41" s="372" t="s">
        <v>267</v>
      </c>
      <c r="C41" s="352">
        <v>2</v>
      </c>
      <c r="D41" s="352">
        <v>1</v>
      </c>
      <c r="E41" s="352">
        <v>1</v>
      </c>
      <c r="F41" s="254">
        <f t="shared" si="2"/>
        <v>33</v>
      </c>
      <c r="G41" s="249">
        <v>50</v>
      </c>
      <c r="H41" s="249">
        <f t="shared" si="0"/>
        <v>100</v>
      </c>
      <c r="I41" s="251">
        <f t="shared" si="1"/>
        <v>33</v>
      </c>
      <c r="J41" s="252"/>
      <c r="K41" s="252"/>
      <c r="L41" s="252"/>
      <c r="M41" s="252"/>
      <c r="N41" s="252"/>
      <c r="O41" s="252"/>
      <c r="P41" s="252"/>
      <c r="Q41" s="253"/>
    </row>
    <row r="42" spans="1:17" s="3" customFormat="1" ht="25" customHeight="1" x14ac:dyDescent="0.25">
      <c r="A42" s="349" t="s">
        <v>409</v>
      </c>
      <c r="B42" s="372" t="s">
        <v>268</v>
      </c>
      <c r="C42" s="352">
        <v>2</v>
      </c>
      <c r="D42" s="352">
        <v>1</v>
      </c>
      <c r="E42" s="352">
        <v>1</v>
      </c>
      <c r="F42" s="254">
        <f t="shared" si="2"/>
        <v>33</v>
      </c>
      <c r="G42" s="249">
        <v>50</v>
      </c>
      <c r="H42" s="249">
        <f t="shared" si="0"/>
        <v>100</v>
      </c>
      <c r="I42" s="251">
        <f t="shared" si="1"/>
        <v>33</v>
      </c>
      <c r="J42" s="252"/>
      <c r="K42" s="252"/>
      <c r="L42" s="252"/>
      <c r="M42" s="252"/>
      <c r="N42" s="252"/>
      <c r="O42" s="252"/>
      <c r="P42" s="252"/>
      <c r="Q42" s="253"/>
    </row>
    <row r="43" spans="1:17" s="3" customFormat="1" ht="25" customHeight="1" x14ac:dyDescent="0.25">
      <c r="A43" s="349" t="s">
        <v>410</v>
      </c>
      <c r="B43" s="375" t="s">
        <v>649</v>
      </c>
      <c r="C43" s="352">
        <v>2</v>
      </c>
      <c r="D43" s="352">
        <v>1</v>
      </c>
      <c r="E43" s="352">
        <v>5</v>
      </c>
      <c r="F43" s="254">
        <f t="shared" si="2"/>
        <v>165</v>
      </c>
      <c r="G43" s="249">
        <v>50</v>
      </c>
      <c r="H43" s="249">
        <f t="shared" si="0"/>
        <v>500</v>
      </c>
      <c r="I43" s="251">
        <f t="shared" si="1"/>
        <v>165</v>
      </c>
      <c r="J43" s="252"/>
      <c r="K43" s="252"/>
      <c r="L43" s="252"/>
      <c r="M43" s="252"/>
      <c r="N43" s="252"/>
      <c r="O43" s="252"/>
      <c r="P43" s="252"/>
      <c r="Q43" s="253"/>
    </row>
    <row r="44" spans="1:17" s="3" customFormat="1" ht="25" customHeight="1" x14ac:dyDescent="0.25">
      <c r="A44" s="349" t="s">
        <v>650</v>
      </c>
      <c r="B44" s="379" t="s">
        <v>651</v>
      </c>
      <c r="C44" s="380">
        <v>3</v>
      </c>
      <c r="D44" s="352">
        <v>1</v>
      </c>
      <c r="E44" s="352">
        <v>4</v>
      </c>
      <c r="F44" s="254">
        <f t="shared" si="2"/>
        <v>198</v>
      </c>
      <c r="G44" s="255">
        <v>40</v>
      </c>
      <c r="H44" s="249">
        <f t="shared" si="0"/>
        <v>480</v>
      </c>
      <c r="I44" s="251">
        <f t="shared" si="1"/>
        <v>198</v>
      </c>
      <c r="J44" s="252"/>
      <c r="K44" s="252"/>
      <c r="L44" s="252"/>
      <c r="M44" s="252"/>
      <c r="N44" s="252"/>
      <c r="O44" s="252"/>
      <c r="P44" s="252"/>
      <c r="Q44" s="253"/>
    </row>
    <row r="45" spans="1:17" s="3" customFormat="1" ht="25" customHeight="1" x14ac:dyDescent="0.25">
      <c r="A45" s="349" t="s">
        <v>652</v>
      </c>
      <c r="B45" s="381" t="s">
        <v>653</v>
      </c>
      <c r="C45" s="352">
        <v>5</v>
      </c>
      <c r="D45" s="352">
        <v>1</v>
      </c>
      <c r="E45" s="352">
        <v>4</v>
      </c>
      <c r="F45" s="254">
        <f t="shared" si="2"/>
        <v>330</v>
      </c>
      <c r="G45" s="249">
        <v>0</v>
      </c>
      <c r="H45" s="249">
        <v>0</v>
      </c>
      <c r="I45" s="251">
        <f t="shared" si="1"/>
        <v>330</v>
      </c>
      <c r="J45" s="252"/>
      <c r="K45" s="252"/>
      <c r="L45" s="252"/>
      <c r="M45" s="252"/>
      <c r="N45" s="252"/>
      <c r="O45" s="252"/>
      <c r="P45" s="252"/>
      <c r="Q45" s="253"/>
    </row>
    <row r="46" spans="1:17" s="3" customFormat="1" ht="25" customHeight="1" x14ac:dyDescent="0.25">
      <c r="A46" s="349" t="s">
        <v>654</v>
      </c>
      <c r="B46" s="381" t="s">
        <v>261</v>
      </c>
      <c r="C46" s="380">
        <v>4</v>
      </c>
      <c r="D46" s="352">
        <v>1</v>
      </c>
      <c r="E46" s="352">
        <v>4</v>
      </c>
      <c r="F46" s="254">
        <f t="shared" si="2"/>
        <v>160</v>
      </c>
      <c r="G46" s="257">
        <v>20</v>
      </c>
      <c r="H46" s="249">
        <f>C46*D46*E46*G46</f>
        <v>320</v>
      </c>
      <c r="I46" s="251">
        <f>E46*G46*2</f>
        <v>160</v>
      </c>
      <c r="J46" s="252"/>
      <c r="K46" s="252"/>
      <c r="L46" s="252"/>
      <c r="M46" s="252"/>
      <c r="N46" s="252"/>
      <c r="O46" s="252"/>
      <c r="P46" s="252"/>
      <c r="Q46" s="253"/>
    </row>
    <row r="47" spans="1:17" s="3" customFormat="1" ht="25" customHeight="1" x14ac:dyDescent="0.3">
      <c r="A47" s="349" t="s">
        <v>655</v>
      </c>
      <c r="B47" s="382" t="s">
        <v>258</v>
      </c>
      <c r="C47" s="380">
        <v>2</v>
      </c>
      <c r="D47" s="352">
        <v>1</v>
      </c>
      <c r="E47" s="352">
        <v>2</v>
      </c>
      <c r="F47" s="249"/>
      <c r="G47" s="249"/>
      <c r="H47" s="249"/>
      <c r="I47" s="252"/>
      <c r="J47" s="252"/>
      <c r="K47" s="252"/>
      <c r="L47" s="252"/>
      <c r="M47" s="252"/>
      <c r="N47" s="252"/>
      <c r="O47" s="252"/>
      <c r="P47" s="252"/>
      <c r="Q47" s="253"/>
    </row>
    <row r="48" spans="1:17" s="3" customFormat="1" ht="25" customHeight="1" x14ac:dyDescent="0.3">
      <c r="A48" s="349" t="s">
        <v>656</v>
      </c>
      <c r="B48" s="382" t="s">
        <v>257</v>
      </c>
      <c r="C48" s="380">
        <v>2</v>
      </c>
      <c r="D48" s="352">
        <v>1</v>
      </c>
      <c r="E48" s="352">
        <v>2</v>
      </c>
      <c r="F48" s="249">
        <f>SUM(F12:F47)</f>
        <v>5781.55</v>
      </c>
      <c r="G48" s="246">
        <f>SUM(G12:G47)</f>
        <v>1761</v>
      </c>
      <c r="H48" s="246">
        <f>SUM(H12:H47)</f>
        <v>16353.8</v>
      </c>
      <c r="I48" s="246">
        <f>SUM(I12:I47)</f>
        <v>5781.55</v>
      </c>
      <c r="J48" s="252">
        <v>0</v>
      </c>
      <c r="K48" s="252">
        <v>0</v>
      </c>
      <c r="L48" s="252"/>
      <c r="M48" s="252"/>
      <c r="N48" s="252"/>
      <c r="O48" s="252"/>
      <c r="P48" s="252"/>
      <c r="Q48" s="253"/>
    </row>
    <row r="49" spans="1:17" s="3" customFormat="1" ht="25" customHeight="1" x14ac:dyDescent="0.25">
      <c r="A49" s="349" t="s">
        <v>657</v>
      </c>
      <c r="B49" s="383" t="s">
        <v>658</v>
      </c>
      <c r="C49" s="380">
        <v>1</v>
      </c>
      <c r="D49" s="352">
        <v>1.4</v>
      </c>
      <c r="E49" s="352">
        <v>14</v>
      </c>
      <c r="F49" s="249"/>
      <c r="G49" s="249"/>
      <c r="H49" s="249"/>
      <c r="I49" s="249"/>
      <c r="J49" s="252"/>
      <c r="K49" s="252"/>
      <c r="L49" s="252"/>
      <c r="M49" s="252"/>
      <c r="N49" s="252"/>
      <c r="O49" s="252"/>
      <c r="P49" s="252"/>
      <c r="Q49" s="253"/>
    </row>
    <row r="50" spans="1:17" s="3" customFormat="1" ht="25" customHeight="1" x14ac:dyDescent="0.25">
      <c r="A50" s="349" t="s">
        <v>659</v>
      </c>
      <c r="B50" s="384" t="s">
        <v>413</v>
      </c>
      <c r="C50" s="377">
        <v>1</v>
      </c>
      <c r="D50" s="377">
        <v>1.4</v>
      </c>
      <c r="E50" s="377">
        <v>2</v>
      </c>
      <c r="F50" s="249"/>
      <c r="G50" s="249"/>
      <c r="H50" s="249"/>
      <c r="I50" s="249"/>
      <c r="J50" s="252">
        <v>10</v>
      </c>
      <c r="K50" s="252"/>
      <c r="L50" s="252"/>
      <c r="M50" s="252"/>
      <c r="N50" s="252"/>
      <c r="O50" s="252"/>
      <c r="P50" s="252"/>
      <c r="Q50" s="1447" t="s">
        <v>528</v>
      </c>
    </row>
    <row r="51" spans="1:17" s="3" customFormat="1" ht="25" customHeight="1" x14ac:dyDescent="0.25">
      <c r="A51" s="359" t="s">
        <v>148</v>
      </c>
      <c r="B51" s="360" t="s">
        <v>151</v>
      </c>
      <c r="C51" s="352">
        <v>0</v>
      </c>
      <c r="D51" s="352">
        <v>0</v>
      </c>
      <c r="E51" s="352">
        <v>0</v>
      </c>
      <c r="F51" s="249"/>
      <c r="G51" s="249"/>
      <c r="H51" s="249"/>
      <c r="I51" s="249"/>
      <c r="J51" s="252">
        <v>15</v>
      </c>
      <c r="K51" s="252"/>
      <c r="L51" s="252"/>
      <c r="M51" s="252"/>
      <c r="N51" s="252"/>
      <c r="O51" s="252"/>
      <c r="P51" s="252"/>
      <c r="Q51" s="1447"/>
    </row>
    <row r="52" spans="1:17" s="3" customFormat="1" ht="25" customHeight="1" x14ac:dyDescent="0.25">
      <c r="A52" s="354" t="s">
        <v>232</v>
      </c>
      <c r="B52" s="349" t="s">
        <v>156</v>
      </c>
      <c r="C52" s="352">
        <v>4</v>
      </c>
      <c r="D52" s="352">
        <v>1.4</v>
      </c>
      <c r="E52" s="352">
        <v>4</v>
      </c>
      <c r="F52" s="249"/>
      <c r="G52" s="249"/>
      <c r="H52" s="249"/>
      <c r="I52" s="249"/>
      <c r="J52" s="252">
        <v>5</v>
      </c>
      <c r="K52" s="252"/>
      <c r="L52" s="252"/>
      <c r="M52" s="252"/>
      <c r="N52" s="252"/>
      <c r="O52" s="252"/>
      <c r="P52" s="252"/>
      <c r="Q52" s="1447"/>
    </row>
    <row r="53" spans="1:17" s="3" customFormat="1" ht="25" customHeight="1" x14ac:dyDescent="0.25">
      <c r="A53" s="354" t="s">
        <v>233</v>
      </c>
      <c r="B53" s="349" t="s">
        <v>157</v>
      </c>
      <c r="C53" s="352"/>
      <c r="D53" s="352"/>
      <c r="E53" s="352"/>
      <c r="F53" s="249"/>
      <c r="G53" s="249"/>
      <c r="H53" s="249"/>
      <c r="I53" s="252"/>
      <c r="J53" s="252"/>
      <c r="K53" s="252"/>
      <c r="L53" s="252"/>
      <c r="M53" s="252"/>
      <c r="N53" s="252"/>
      <c r="O53" s="252"/>
      <c r="P53" s="252"/>
      <c r="Q53" s="253"/>
    </row>
    <row r="54" spans="1:17" s="3" customFormat="1" ht="25" customHeight="1" x14ac:dyDescent="0.25">
      <c r="A54" s="354"/>
      <c r="B54" s="361" t="s">
        <v>353</v>
      </c>
      <c r="C54" s="364">
        <f>SUM(C12:C53)</f>
        <v>107</v>
      </c>
      <c r="D54" s="364">
        <f>SUM(D12:D53)</f>
        <v>43.659999999999989</v>
      </c>
      <c r="E54" s="364">
        <f>SUM(E12:E53)</f>
        <v>146</v>
      </c>
      <c r="F54" s="249"/>
      <c r="G54" s="249"/>
      <c r="H54" s="249"/>
      <c r="I54" s="252"/>
      <c r="J54" s="252"/>
      <c r="K54" s="252"/>
      <c r="L54" s="252"/>
      <c r="M54" s="252"/>
      <c r="N54" s="252"/>
      <c r="O54" s="252"/>
      <c r="P54" s="252"/>
      <c r="Q54" s="253"/>
    </row>
    <row r="55" spans="1:17" s="3" customFormat="1" ht="25" customHeight="1" x14ac:dyDescent="0.25">
      <c r="A55" s="359"/>
      <c r="B55" s="361" t="s">
        <v>524</v>
      </c>
      <c r="C55" s="352"/>
      <c r="D55" s="352"/>
      <c r="E55" s="352"/>
      <c r="F55" s="254">
        <f t="shared" ref="F55:F62" si="3">I55+J55+K55</f>
        <v>0</v>
      </c>
      <c r="G55" s="249">
        <v>10</v>
      </c>
      <c r="H55" s="249">
        <f t="shared" ref="H55:H60" si="4">C55*D55*E55*G55</f>
        <v>0</v>
      </c>
      <c r="I55" s="251">
        <f t="shared" ref="I55:I60" si="5">IF(G55&lt;70, C55*E55*16.5*1.5, C55*E55*16.5*1.5)</f>
        <v>0</v>
      </c>
      <c r="J55" s="252"/>
      <c r="K55" s="252"/>
      <c r="L55" s="252"/>
      <c r="M55" s="252"/>
      <c r="N55" s="252"/>
      <c r="O55" s="252"/>
      <c r="P55" s="252"/>
      <c r="Q55" s="253"/>
    </row>
    <row r="56" spans="1:17" s="3" customFormat="1" ht="25" customHeight="1" x14ac:dyDescent="0.25">
      <c r="A56" s="354" t="s">
        <v>532</v>
      </c>
      <c r="B56" s="349" t="s">
        <v>525</v>
      </c>
      <c r="C56" s="352">
        <v>5</v>
      </c>
      <c r="D56" s="352"/>
      <c r="E56" s="352">
        <v>2</v>
      </c>
      <c r="F56" s="254">
        <f t="shared" si="3"/>
        <v>247.5</v>
      </c>
      <c r="G56" s="249">
        <v>10</v>
      </c>
      <c r="H56" s="249">
        <f t="shared" si="4"/>
        <v>0</v>
      </c>
      <c r="I56" s="251">
        <f t="shared" si="5"/>
        <v>247.5</v>
      </c>
      <c r="J56" s="252"/>
      <c r="K56" s="252"/>
      <c r="L56" s="252"/>
      <c r="M56" s="252"/>
      <c r="N56" s="252"/>
      <c r="O56" s="252"/>
      <c r="P56" s="252"/>
      <c r="Q56" s="253"/>
    </row>
    <row r="57" spans="1:17" s="3" customFormat="1" ht="25" customHeight="1" x14ac:dyDescent="0.25">
      <c r="A57" s="354" t="s">
        <v>533</v>
      </c>
      <c r="B57" s="349" t="s">
        <v>526</v>
      </c>
      <c r="C57" s="352">
        <v>5</v>
      </c>
      <c r="D57" s="352"/>
      <c r="E57" s="352">
        <v>3</v>
      </c>
      <c r="F57" s="254">
        <f t="shared" si="3"/>
        <v>371.25</v>
      </c>
      <c r="G57" s="249">
        <v>10</v>
      </c>
      <c r="H57" s="249">
        <f t="shared" si="4"/>
        <v>0</v>
      </c>
      <c r="I57" s="251">
        <f t="shared" si="5"/>
        <v>371.25</v>
      </c>
      <c r="J57" s="252"/>
      <c r="K57" s="252"/>
      <c r="L57" s="252"/>
      <c r="M57" s="252"/>
      <c r="N57" s="252"/>
      <c r="O57" s="252"/>
      <c r="P57" s="252"/>
      <c r="Q57" s="253"/>
    </row>
    <row r="58" spans="1:17" s="3" customFormat="1" ht="25" customHeight="1" x14ac:dyDescent="0.25">
      <c r="A58" s="354" t="s">
        <v>534</v>
      </c>
      <c r="B58" s="372" t="s">
        <v>527</v>
      </c>
      <c r="C58" s="352">
        <v>4</v>
      </c>
      <c r="D58" s="352"/>
      <c r="E58" s="352">
        <v>1</v>
      </c>
      <c r="F58" s="254">
        <f t="shared" si="3"/>
        <v>99</v>
      </c>
      <c r="G58" s="249">
        <v>10</v>
      </c>
      <c r="H58" s="249">
        <f t="shared" si="4"/>
        <v>0</v>
      </c>
      <c r="I58" s="251">
        <f t="shared" si="5"/>
        <v>99</v>
      </c>
      <c r="J58" s="252"/>
      <c r="K58" s="252"/>
      <c r="L58" s="252"/>
      <c r="M58" s="252"/>
      <c r="N58" s="252"/>
      <c r="O58" s="252"/>
      <c r="P58" s="252"/>
      <c r="Q58" s="253"/>
    </row>
    <row r="59" spans="1:17" s="3" customFormat="1" ht="25" customHeight="1" x14ac:dyDescent="0.25">
      <c r="A59" s="385">
        <v>2</v>
      </c>
      <c r="B59" s="385" t="s">
        <v>164</v>
      </c>
      <c r="C59" s="352"/>
      <c r="D59" s="352"/>
      <c r="E59" s="352"/>
      <c r="F59" s="254">
        <f t="shared" si="3"/>
        <v>0</v>
      </c>
      <c r="G59" s="249">
        <v>10</v>
      </c>
      <c r="H59" s="249">
        <f t="shared" si="4"/>
        <v>0</v>
      </c>
      <c r="I59" s="251">
        <f t="shared" si="5"/>
        <v>0</v>
      </c>
      <c r="J59" s="252"/>
      <c r="K59" s="252"/>
      <c r="L59" s="252"/>
      <c r="M59" s="252"/>
      <c r="N59" s="252"/>
      <c r="O59" s="252"/>
      <c r="P59" s="252"/>
      <c r="Q59" s="253"/>
    </row>
    <row r="60" spans="1:17" s="3" customFormat="1" ht="25" customHeight="1" x14ac:dyDescent="0.25">
      <c r="A60" s="356" t="s">
        <v>147</v>
      </c>
      <c r="B60" s="357" t="s">
        <v>165</v>
      </c>
      <c r="C60" s="352"/>
      <c r="D60" s="352"/>
      <c r="E60" s="352"/>
      <c r="F60" s="254">
        <f t="shared" si="3"/>
        <v>0</v>
      </c>
      <c r="G60" s="249">
        <v>15</v>
      </c>
      <c r="H60" s="249">
        <f t="shared" si="4"/>
        <v>0</v>
      </c>
      <c r="I60" s="251">
        <f t="shared" si="5"/>
        <v>0</v>
      </c>
      <c r="J60" s="252"/>
      <c r="K60" s="252"/>
      <c r="L60" s="252"/>
      <c r="M60" s="252"/>
      <c r="N60" s="252"/>
      <c r="O60" s="252"/>
      <c r="P60" s="252"/>
      <c r="Q60" s="253"/>
    </row>
    <row r="61" spans="1:17" s="3" customFormat="1" ht="25" customHeight="1" x14ac:dyDescent="0.25">
      <c r="A61" s="349" t="s">
        <v>226</v>
      </c>
      <c r="B61" s="350" t="s">
        <v>269</v>
      </c>
      <c r="C61" s="352">
        <v>3</v>
      </c>
      <c r="D61" s="352">
        <v>1</v>
      </c>
      <c r="E61" s="352">
        <v>1</v>
      </c>
      <c r="F61" s="254">
        <f t="shared" si="3"/>
        <v>49.5</v>
      </c>
      <c r="G61" s="259"/>
      <c r="H61" s="259"/>
      <c r="I61" s="251">
        <f>IF(G61&lt;70, C61*E61*16.5*1, C61*E61*16.5*1.3)</f>
        <v>49.5</v>
      </c>
      <c r="J61" s="252"/>
      <c r="K61" s="252"/>
      <c r="L61" s="252"/>
      <c r="M61" s="252"/>
      <c r="N61" s="252"/>
      <c r="O61" s="252"/>
      <c r="P61" s="252"/>
      <c r="Q61" s="253"/>
    </row>
    <row r="62" spans="1:17" s="3" customFormat="1" ht="25" customHeight="1" x14ac:dyDescent="0.25">
      <c r="A62" s="349" t="s">
        <v>227</v>
      </c>
      <c r="B62" s="350" t="s">
        <v>270</v>
      </c>
      <c r="C62" s="352">
        <v>3</v>
      </c>
      <c r="D62" s="352">
        <v>1</v>
      </c>
      <c r="E62" s="352">
        <v>1</v>
      </c>
      <c r="F62" s="254">
        <f t="shared" si="3"/>
        <v>385</v>
      </c>
      <c r="G62" s="259">
        <v>11</v>
      </c>
      <c r="H62" s="249">
        <f>C62*G62*D62</f>
        <v>33</v>
      </c>
      <c r="I62" s="251">
        <f>11*35</f>
        <v>385</v>
      </c>
      <c r="J62" s="252"/>
      <c r="K62" s="252"/>
      <c r="L62" s="252"/>
      <c r="M62" s="252"/>
      <c r="N62" s="252"/>
      <c r="O62" s="252"/>
      <c r="P62" s="252"/>
      <c r="Q62" s="253"/>
    </row>
    <row r="63" spans="1:17" s="3" customFormat="1" ht="25" customHeight="1" x14ac:dyDescent="0.25">
      <c r="A63" s="349" t="s">
        <v>228</v>
      </c>
      <c r="B63" s="350" t="s">
        <v>271</v>
      </c>
      <c r="C63" s="352">
        <v>3</v>
      </c>
      <c r="D63" s="352">
        <v>1</v>
      </c>
      <c r="E63" s="352">
        <v>1</v>
      </c>
      <c r="F63" s="249">
        <f>SUM(F55:F62)</f>
        <v>1152.25</v>
      </c>
      <c r="G63" s="246">
        <f>SUM(G55:G62)</f>
        <v>76</v>
      </c>
      <c r="H63" s="246">
        <f>SUM(H55:H62)</f>
        <v>33</v>
      </c>
      <c r="I63" s="246">
        <f>SUM(I55:I62)</f>
        <v>1152.25</v>
      </c>
      <c r="J63" s="252"/>
      <c r="K63" s="252"/>
      <c r="L63" s="252"/>
      <c r="M63" s="252"/>
      <c r="N63" s="252"/>
      <c r="O63" s="252"/>
      <c r="P63" s="252"/>
      <c r="Q63" s="253"/>
    </row>
    <row r="64" spans="1:17" s="3" customFormat="1" ht="25" customHeight="1" x14ac:dyDescent="0.25">
      <c r="A64" s="349" t="s">
        <v>229</v>
      </c>
      <c r="B64" s="350" t="s">
        <v>272</v>
      </c>
      <c r="C64" s="352">
        <v>3</v>
      </c>
      <c r="D64" s="352">
        <v>1</v>
      </c>
      <c r="E64" s="352">
        <v>1</v>
      </c>
      <c r="F64" s="249">
        <v>0</v>
      </c>
      <c r="G64" s="249">
        <v>0</v>
      </c>
      <c r="H64" s="249">
        <v>0</v>
      </c>
      <c r="I64" s="249">
        <v>0</v>
      </c>
      <c r="J64" s="252"/>
      <c r="K64" s="252"/>
      <c r="L64" s="252"/>
      <c r="M64" s="252"/>
      <c r="N64" s="252"/>
      <c r="O64" s="252"/>
      <c r="P64" s="252"/>
      <c r="Q64" s="253"/>
    </row>
    <row r="65" spans="1:17" s="3" customFormat="1" ht="25" customHeight="1" x14ac:dyDescent="0.25">
      <c r="A65" s="349" t="s">
        <v>230</v>
      </c>
      <c r="B65" s="353" t="s">
        <v>273</v>
      </c>
      <c r="C65" s="352">
        <v>3</v>
      </c>
      <c r="D65" s="352">
        <v>1</v>
      </c>
      <c r="E65" s="352">
        <v>1</v>
      </c>
      <c r="F65" s="249"/>
      <c r="G65" s="249"/>
      <c r="H65" s="249"/>
      <c r="I65" s="252"/>
      <c r="J65" s="252"/>
      <c r="K65" s="252"/>
      <c r="L65" s="252"/>
      <c r="M65" s="252"/>
      <c r="N65" s="252"/>
      <c r="O65" s="252"/>
      <c r="P65" s="252"/>
      <c r="Q65" s="253"/>
    </row>
    <row r="66" spans="1:17" s="3" customFormat="1" ht="25" customHeight="1" x14ac:dyDescent="0.25">
      <c r="A66" s="349" t="s">
        <v>231</v>
      </c>
      <c r="B66" s="350" t="s">
        <v>531</v>
      </c>
      <c r="C66" s="352">
        <v>3</v>
      </c>
      <c r="D66" s="352">
        <v>1</v>
      </c>
      <c r="E66" s="352">
        <v>1</v>
      </c>
      <c r="F66" s="249"/>
      <c r="G66" s="249"/>
      <c r="H66" s="249"/>
      <c r="I66" s="252"/>
      <c r="J66" s="252"/>
      <c r="K66" s="252"/>
      <c r="L66" s="252"/>
      <c r="M66" s="252"/>
      <c r="N66" s="252"/>
      <c r="O66" s="252"/>
      <c r="P66" s="252"/>
      <c r="Q66" s="253"/>
    </row>
    <row r="67" spans="1:17" s="3" customFormat="1" ht="25" customHeight="1" x14ac:dyDescent="0.25">
      <c r="A67" s="359" t="s">
        <v>148</v>
      </c>
      <c r="B67" s="360" t="s">
        <v>470</v>
      </c>
      <c r="C67" s="352"/>
      <c r="D67" s="352"/>
      <c r="E67" s="352"/>
      <c r="F67" s="249"/>
      <c r="G67" s="249"/>
      <c r="H67" s="249"/>
      <c r="I67" s="252"/>
      <c r="J67" s="252"/>
      <c r="K67" s="252"/>
      <c r="L67" s="252"/>
      <c r="M67" s="252"/>
      <c r="N67" s="252"/>
      <c r="O67" s="252"/>
      <c r="P67" s="252"/>
      <c r="Q67" s="253"/>
    </row>
    <row r="68" spans="1:17" s="3" customFormat="1" ht="25" customHeight="1" x14ac:dyDescent="0.25">
      <c r="A68" s="359"/>
      <c r="B68" s="349" t="s">
        <v>660</v>
      </c>
      <c r="C68" s="352">
        <v>15</v>
      </c>
      <c r="D68" s="352">
        <v>1</v>
      </c>
      <c r="E68" s="352">
        <v>1</v>
      </c>
      <c r="F68" s="254">
        <f t="shared" ref="F68:F82" si="6">I68+J68+K68</f>
        <v>247.5</v>
      </c>
      <c r="G68" s="249">
        <v>40</v>
      </c>
      <c r="H68" s="249">
        <f t="shared" ref="H68:H82" si="7">C68*D68*E68*G68</f>
        <v>600</v>
      </c>
      <c r="I68" s="251">
        <f t="shared" ref="I68:I82" si="8">IF(G68&lt;70, C68*E68*16.5*1, C68*E68*16.5*1.3)</f>
        <v>247.5</v>
      </c>
      <c r="J68" s="252"/>
      <c r="K68" s="252"/>
      <c r="L68" s="252"/>
      <c r="M68" s="252"/>
      <c r="N68" s="252"/>
      <c r="O68" s="252"/>
      <c r="P68" s="252"/>
      <c r="Q68" s="253"/>
    </row>
    <row r="69" spans="1:17" s="3" customFormat="1" ht="25" customHeight="1" x14ac:dyDescent="0.25">
      <c r="A69" s="349"/>
      <c r="B69" s="361" t="s">
        <v>353</v>
      </c>
      <c r="C69" s="364">
        <f>SUM(C61:C68)</f>
        <v>33</v>
      </c>
      <c r="D69" s="364">
        <f>SUM(D61:D68)</f>
        <v>7</v>
      </c>
      <c r="E69" s="364">
        <f>SUM(E61:E68)</f>
        <v>7</v>
      </c>
      <c r="F69" s="254">
        <f t="shared" si="6"/>
        <v>3811.5</v>
      </c>
      <c r="G69" s="249">
        <v>40</v>
      </c>
      <c r="H69" s="249">
        <f t="shared" si="7"/>
        <v>64680</v>
      </c>
      <c r="I69" s="251">
        <f t="shared" si="8"/>
        <v>3811.5</v>
      </c>
      <c r="J69" s="252"/>
      <c r="K69" s="252"/>
      <c r="L69" s="252"/>
      <c r="M69" s="252"/>
      <c r="N69" s="252"/>
      <c r="O69" s="252"/>
      <c r="P69" s="252"/>
      <c r="Q69" s="253"/>
    </row>
    <row r="70" spans="1:17" s="3" customFormat="1" ht="25" customHeight="1" x14ac:dyDescent="0.25">
      <c r="A70" s="385">
        <v>3</v>
      </c>
      <c r="B70" s="385" t="s">
        <v>166</v>
      </c>
      <c r="C70" s="352">
        <v>0</v>
      </c>
      <c r="D70" s="352">
        <v>0</v>
      </c>
      <c r="E70" s="352">
        <v>0</v>
      </c>
      <c r="F70" s="254">
        <f t="shared" si="6"/>
        <v>0</v>
      </c>
      <c r="G70" s="249">
        <v>40</v>
      </c>
      <c r="H70" s="249">
        <f t="shared" si="7"/>
        <v>0</v>
      </c>
      <c r="I70" s="251">
        <f t="shared" si="8"/>
        <v>0</v>
      </c>
      <c r="J70" s="252"/>
      <c r="K70" s="252"/>
      <c r="L70" s="252"/>
      <c r="M70" s="252"/>
      <c r="N70" s="252"/>
      <c r="O70" s="252"/>
      <c r="P70" s="252"/>
      <c r="Q70" s="253"/>
    </row>
    <row r="71" spans="1:17" s="3" customFormat="1" ht="25" customHeight="1" x14ac:dyDescent="0.25">
      <c r="A71" s="385" t="s">
        <v>8</v>
      </c>
      <c r="B71" s="385" t="s">
        <v>224</v>
      </c>
      <c r="C71" s="352"/>
      <c r="D71" s="352"/>
      <c r="E71" s="352"/>
      <c r="F71" s="254">
        <f t="shared" si="6"/>
        <v>0</v>
      </c>
      <c r="G71" s="249">
        <v>40</v>
      </c>
      <c r="H71" s="249">
        <f t="shared" si="7"/>
        <v>0</v>
      </c>
      <c r="I71" s="251">
        <f t="shared" si="8"/>
        <v>0</v>
      </c>
      <c r="J71" s="252"/>
      <c r="K71" s="252"/>
      <c r="L71" s="252"/>
      <c r="M71" s="252"/>
      <c r="N71" s="252"/>
      <c r="O71" s="252"/>
      <c r="P71" s="252"/>
      <c r="Q71" s="253"/>
    </row>
    <row r="72" spans="1:17" s="3" customFormat="1" ht="25" customHeight="1" x14ac:dyDescent="0.25">
      <c r="A72" s="385">
        <v>1</v>
      </c>
      <c r="B72" s="357" t="s">
        <v>225</v>
      </c>
      <c r="C72" s="352"/>
      <c r="D72" s="352"/>
      <c r="E72" s="352"/>
      <c r="F72" s="254">
        <f t="shared" si="6"/>
        <v>0</v>
      </c>
      <c r="G72" s="249">
        <v>40</v>
      </c>
      <c r="H72" s="249">
        <f t="shared" si="7"/>
        <v>0</v>
      </c>
      <c r="I72" s="251">
        <f t="shared" si="8"/>
        <v>0</v>
      </c>
      <c r="J72" s="252"/>
      <c r="K72" s="252"/>
      <c r="L72" s="252"/>
      <c r="M72" s="252"/>
      <c r="N72" s="252"/>
      <c r="O72" s="252"/>
      <c r="P72" s="252"/>
      <c r="Q72" s="253"/>
    </row>
    <row r="73" spans="1:17" s="3" customFormat="1" ht="25" customHeight="1" x14ac:dyDescent="0.25">
      <c r="A73" s="385" t="s">
        <v>147</v>
      </c>
      <c r="B73" s="357" t="s">
        <v>163</v>
      </c>
      <c r="C73" s="352"/>
      <c r="D73" s="352"/>
      <c r="E73" s="352"/>
      <c r="F73" s="254">
        <f t="shared" si="6"/>
        <v>0</v>
      </c>
      <c r="G73" s="249">
        <v>40</v>
      </c>
      <c r="H73" s="249">
        <f t="shared" si="7"/>
        <v>0</v>
      </c>
      <c r="I73" s="251">
        <f t="shared" si="8"/>
        <v>0</v>
      </c>
      <c r="J73" s="252"/>
      <c r="K73" s="252"/>
      <c r="L73" s="252"/>
      <c r="M73" s="252"/>
      <c r="N73" s="252"/>
      <c r="O73" s="252"/>
      <c r="P73" s="252"/>
      <c r="Q73" s="253"/>
    </row>
    <row r="74" spans="1:17" s="3" customFormat="1" ht="25" customHeight="1" x14ac:dyDescent="0.25">
      <c r="A74" s="354" t="s">
        <v>226</v>
      </c>
      <c r="B74" s="353" t="s">
        <v>266</v>
      </c>
      <c r="C74" s="352">
        <v>3</v>
      </c>
      <c r="D74" s="352">
        <v>1</v>
      </c>
      <c r="E74" s="352">
        <v>3</v>
      </c>
      <c r="F74" s="254">
        <f t="shared" si="6"/>
        <v>148.5</v>
      </c>
      <c r="G74" s="249">
        <v>40</v>
      </c>
      <c r="H74" s="249">
        <f t="shared" si="7"/>
        <v>360</v>
      </c>
      <c r="I74" s="251">
        <f t="shared" si="8"/>
        <v>148.5</v>
      </c>
      <c r="J74" s="252"/>
      <c r="K74" s="252"/>
      <c r="L74" s="252"/>
      <c r="M74" s="252"/>
      <c r="N74" s="252"/>
      <c r="O74" s="252"/>
      <c r="P74" s="252"/>
      <c r="Q74" s="253"/>
    </row>
    <row r="75" spans="1:17" s="3" customFormat="1" ht="25" customHeight="1" x14ac:dyDescent="0.25">
      <c r="A75" s="354" t="s">
        <v>227</v>
      </c>
      <c r="B75" s="353" t="s">
        <v>274</v>
      </c>
      <c r="C75" s="352">
        <v>5</v>
      </c>
      <c r="D75" s="352">
        <v>1</v>
      </c>
      <c r="E75" s="352">
        <v>3</v>
      </c>
      <c r="F75" s="254">
        <f t="shared" si="6"/>
        <v>247.5</v>
      </c>
      <c r="G75" s="249">
        <v>40</v>
      </c>
      <c r="H75" s="249">
        <f t="shared" si="7"/>
        <v>600</v>
      </c>
      <c r="I75" s="251">
        <f t="shared" si="8"/>
        <v>247.5</v>
      </c>
      <c r="J75" s="252"/>
      <c r="K75" s="252"/>
      <c r="L75" s="252"/>
      <c r="M75" s="252"/>
      <c r="N75" s="252"/>
      <c r="O75" s="252"/>
      <c r="P75" s="252"/>
      <c r="Q75" s="253"/>
    </row>
    <row r="76" spans="1:17" s="3" customFormat="1" ht="25" customHeight="1" x14ac:dyDescent="0.25">
      <c r="A76" s="354" t="s">
        <v>228</v>
      </c>
      <c r="B76" s="353" t="s">
        <v>275</v>
      </c>
      <c r="C76" s="352">
        <v>3</v>
      </c>
      <c r="D76" s="352">
        <v>1</v>
      </c>
      <c r="E76" s="352">
        <v>3</v>
      </c>
      <c r="F76" s="254">
        <f t="shared" si="6"/>
        <v>148.5</v>
      </c>
      <c r="G76" s="249">
        <v>40</v>
      </c>
      <c r="H76" s="249">
        <f t="shared" si="7"/>
        <v>360</v>
      </c>
      <c r="I76" s="251">
        <f t="shared" si="8"/>
        <v>148.5</v>
      </c>
      <c r="J76" s="252"/>
      <c r="K76" s="252"/>
      <c r="L76" s="252"/>
      <c r="M76" s="252"/>
      <c r="N76" s="252"/>
      <c r="O76" s="252"/>
      <c r="P76" s="252"/>
      <c r="Q76" s="253"/>
    </row>
    <row r="77" spans="1:17" s="3" customFormat="1" ht="25" customHeight="1" x14ac:dyDescent="0.25">
      <c r="A77" s="354" t="s">
        <v>229</v>
      </c>
      <c r="B77" s="353" t="s">
        <v>276</v>
      </c>
      <c r="C77" s="352">
        <v>2</v>
      </c>
      <c r="D77" s="352">
        <v>1</v>
      </c>
      <c r="E77" s="352">
        <v>3</v>
      </c>
      <c r="F77" s="254">
        <f t="shared" si="6"/>
        <v>99</v>
      </c>
      <c r="G77" s="249">
        <v>40</v>
      </c>
      <c r="H77" s="249">
        <f t="shared" si="7"/>
        <v>240</v>
      </c>
      <c r="I77" s="251">
        <f t="shared" si="8"/>
        <v>99</v>
      </c>
      <c r="J77" s="252"/>
      <c r="K77" s="252"/>
      <c r="L77" s="252"/>
      <c r="M77" s="252"/>
      <c r="N77" s="252"/>
      <c r="O77" s="252"/>
      <c r="P77" s="252"/>
      <c r="Q77" s="253"/>
    </row>
    <row r="78" spans="1:17" s="3" customFormat="1" ht="25" customHeight="1" x14ac:dyDescent="0.25">
      <c r="A78" s="354" t="s">
        <v>230</v>
      </c>
      <c r="B78" s="353" t="s">
        <v>277</v>
      </c>
      <c r="C78" s="352">
        <v>2</v>
      </c>
      <c r="D78" s="352">
        <v>1</v>
      </c>
      <c r="E78" s="352">
        <v>3</v>
      </c>
      <c r="F78" s="254">
        <f t="shared" si="6"/>
        <v>99</v>
      </c>
      <c r="G78" s="249">
        <v>40</v>
      </c>
      <c r="H78" s="249">
        <f t="shared" si="7"/>
        <v>240</v>
      </c>
      <c r="I78" s="251">
        <f t="shared" si="8"/>
        <v>99</v>
      </c>
      <c r="J78" s="252"/>
      <c r="K78" s="252"/>
      <c r="L78" s="252"/>
      <c r="M78" s="252"/>
      <c r="N78" s="252"/>
      <c r="O78" s="252"/>
      <c r="P78" s="252"/>
      <c r="Q78" s="253"/>
    </row>
    <row r="79" spans="1:17" s="3" customFormat="1" ht="25" customHeight="1" x14ac:dyDescent="0.25">
      <c r="A79" s="354" t="s">
        <v>231</v>
      </c>
      <c r="B79" s="353" t="s">
        <v>278</v>
      </c>
      <c r="C79" s="352">
        <v>5</v>
      </c>
      <c r="D79" s="352">
        <v>1</v>
      </c>
      <c r="E79" s="352">
        <v>3</v>
      </c>
      <c r="F79" s="254">
        <f t="shared" si="6"/>
        <v>247.5</v>
      </c>
      <c r="G79" s="249">
        <v>40</v>
      </c>
      <c r="H79" s="249">
        <f t="shared" si="7"/>
        <v>600</v>
      </c>
      <c r="I79" s="251">
        <f t="shared" si="8"/>
        <v>247.5</v>
      </c>
      <c r="J79" s="252"/>
      <c r="K79" s="252"/>
      <c r="L79" s="252"/>
      <c r="M79" s="252"/>
      <c r="N79" s="252"/>
      <c r="O79" s="252"/>
      <c r="P79" s="252"/>
      <c r="Q79" s="253"/>
    </row>
    <row r="80" spans="1:17" s="3" customFormat="1" ht="25" customHeight="1" x14ac:dyDescent="0.25">
      <c r="A80" s="354" t="s">
        <v>282</v>
      </c>
      <c r="B80" s="353" t="s">
        <v>279</v>
      </c>
      <c r="C80" s="352">
        <v>2</v>
      </c>
      <c r="D80" s="352">
        <v>1</v>
      </c>
      <c r="E80" s="352">
        <v>3</v>
      </c>
      <c r="F80" s="254">
        <f t="shared" si="6"/>
        <v>99</v>
      </c>
      <c r="G80" s="249">
        <v>40</v>
      </c>
      <c r="H80" s="249">
        <f t="shared" si="7"/>
        <v>240</v>
      </c>
      <c r="I80" s="251">
        <f t="shared" si="8"/>
        <v>99</v>
      </c>
      <c r="J80" s="252"/>
      <c r="K80" s="252"/>
      <c r="L80" s="252"/>
      <c r="M80" s="252"/>
      <c r="N80" s="252"/>
      <c r="O80" s="252"/>
      <c r="P80" s="252"/>
      <c r="Q80" s="253"/>
    </row>
    <row r="81" spans="1:17" s="3" customFormat="1" ht="25" customHeight="1" x14ac:dyDescent="0.25">
      <c r="A81" s="354" t="s">
        <v>283</v>
      </c>
      <c r="B81" s="350" t="s">
        <v>256</v>
      </c>
      <c r="C81" s="352">
        <v>3</v>
      </c>
      <c r="D81" s="352">
        <v>1</v>
      </c>
      <c r="E81" s="352">
        <v>5</v>
      </c>
      <c r="F81" s="254">
        <f t="shared" si="6"/>
        <v>247.5</v>
      </c>
      <c r="G81" s="249">
        <v>40</v>
      </c>
      <c r="H81" s="249">
        <f t="shared" si="7"/>
        <v>600</v>
      </c>
      <c r="I81" s="251">
        <f t="shared" si="8"/>
        <v>247.5</v>
      </c>
      <c r="J81" s="252"/>
      <c r="K81" s="252"/>
      <c r="L81" s="252"/>
      <c r="M81" s="252"/>
      <c r="N81" s="252"/>
      <c r="O81" s="252"/>
      <c r="P81" s="252"/>
      <c r="Q81" s="253"/>
    </row>
    <row r="82" spans="1:17" s="3" customFormat="1" ht="25" customHeight="1" x14ac:dyDescent="0.25">
      <c r="A82" s="354" t="s">
        <v>284</v>
      </c>
      <c r="B82" s="350" t="s">
        <v>262</v>
      </c>
      <c r="C82" s="352">
        <v>5</v>
      </c>
      <c r="D82" s="352">
        <v>1</v>
      </c>
      <c r="E82" s="352">
        <v>5</v>
      </c>
      <c r="F82" s="254">
        <f t="shared" si="6"/>
        <v>412.5</v>
      </c>
      <c r="G82" s="249">
        <v>40</v>
      </c>
      <c r="H82" s="249">
        <f t="shared" si="7"/>
        <v>1000</v>
      </c>
      <c r="I82" s="251">
        <f t="shared" si="8"/>
        <v>412.5</v>
      </c>
      <c r="J82" s="252"/>
      <c r="K82" s="252"/>
      <c r="L82" s="252"/>
      <c r="M82" s="252"/>
      <c r="N82" s="252"/>
      <c r="O82" s="252"/>
      <c r="P82" s="252"/>
      <c r="Q82" s="253"/>
    </row>
    <row r="83" spans="1:17" s="3" customFormat="1" ht="25" customHeight="1" x14ac:dyDescent="0.25">
      <c r="A83" s="354" t="s">
        <v>285</v>
      </c>
      <c r="B83" s="350" t="s">
        <v>280</v>
      </c>
      <c r="C83" s="352">
        <v>2</v>
      </c>
      <c r="D83" s="352">
        <v>1</v>
      </c>
      <c r="E83" s="352">
        <v>5</v>
      </c>
      <c r="F83" s="249">
        <f>SUM(F68:F82)</f>
        <v>5808</v>
      </c>
      <c r="G83" s="246">
        <f>SUM(G68:G82)</f>
        <v>600</v>
      </c>
      <c r="H83" s="246">
        <f>SUM(H68:H82)</f>
        <v>69520</v>
      </c>
      <c r="I83" s="246">
        <f>SUM(I68:I82)</f>
        <v>5808</v>
      </c>
      <c r="J83" s="252"/>
      <c r="K83" s="252"/>
      <c r="L83" s="252"/>
      <c r="M83" s="252"/>
      <c r="N83" s="252"/>
      <c r="O83" s="252"/>
      <c r="P83" s="252"/>
      <c r="Q83" s="253"/>
    </row>
    <row r="84" spans="1:17" s="3" customFormat="1" ht="25" customHeight="1" x14ac:dyDescent="0.25">
      <c r="A84" s="354" t="s">
        <v>286</v>
      </c>
      <c r="B84" s="353" t="s">
        <v>281</v>
      </c>
      <c r="C84" s="352">
        <v>5</v>
      </c>
      <c r="D84" s="352">
        <v>1</v>
      </c>
      <c r="E84" s="352">
        <v>5</v>
      </c>
      <c r="F84" s="249">
        <v>0</v>
      </c>
      <c r="G84" s="249">
        <v>0</v>
      </c>
      <c r="H84" s="249">
        <v>0</v>
      </c>
      <c r="I84" s="249">
        <v>0</v>
      </c>
      <c r="J84" s="252"/>
      <c r="K84" s="252"/>
      <c r="L84" s="252"/>
      <c r="M84" s="252"/>
      <c r="N84" s="252"/>
      <c r="O84" s="252"/>
      <c r="P84" s="252"/>
      <c r="Q84" s="253"/>
    </row>
    <row r="85" spans="1:17" s="3" customFormat="1" ht="25" customHeight="1" x14ac:dyDescent="0.25">
      <c r="A85" s="354" t="s">
        <v>289</v>
      </c>
      <c r="B85" s="350" t="s">
        <v>287</v>
      </c>
      <c r="C85" s="352">
        <v>3</v>
      </c>
      <c r="D85" s="352">
        <v>1</v>
      </c>
      <c r="E85" s="352">
        <v>3</v>
      </c>
      <c r="F85" s="316">
        <f>F48+F63+F83</f>
        <v>12741.8</v>
      </c>
      <c r="G85" s="260">
        <f>G48+G63+G83</f>
        <v>2437</v>
      </c>
      <c r="H85" s="260">
        <f>H48+H63+H83</f>
        <v>85906.8</v>
      </c>
      <c r="I85" s="260">
        <f>I48+I63+I83</f>
        <v>12741.8</v>
      </c>
      <c r="J85" s="261">
        <v>0</v>
      </c>
      <c r="K85" s="261">
        <v>0</v>
      </c>
      <c r="L85" s="262">
        <f>'Bieu3 GDTH'!F24</f>
        <v>2632</v>
      </c>
      <c r="M85" s="263">
        <f>'Bieu3 GDTH'!N24</f>
        <v>2402.5</v>
      </c>
      <c r="N85" s="263">
        <f>I85-M85</f>
        <v>10339.299999999999</v>
      </c>
      <c r="O85" s="264">
        <f>'Bieu3 GDTH'!O24</f>
        <v>1422.25</v>
      </c>
      <c r="P85" s="264">
        <f>'Bieu3 GDTH'!P24</f>
        <v>780</v>
      </c>
      <c r="Q85" s="265"/>
    </row>
    <row r="86" spans="1:17" s="3" customFormat="1" ht="25" customHeight="1" x14ac:dyDescent="0.25">
      <c r="A86" s="354" t="s">
        <v>290</v>
      </c>
      <c r="B86" s="350" t="s">
        <v>265</v>
      </c>
      <c r="C86" s="352">
        <v>3</v>
      </c>
      <c r="D86" s="352">
        <v>1</v>
      </c>
      <c r="E86" s="352">
        <v>3</v>
      </c>
      <c r="F86" s="366"/>
      <c r="G86" s="365"/>
      <c r="H86" s="365"/>
      <c r="I86" s="365"/>
      <c r="J86" s="367"/>
      <c r="K86" s="367"/>
      <c r="L86" s="368"/>
      <c r="M86" s="369"/>
      <c r="N86" s="369"/>
      <c r="O86" s="370"/>
      <c r="P86" s="370"/>
      <c r="Q86" s="371"/>
    </row>
    <row r="87" spans="1:17" s="3" customFormat="1" ht="25" customHeight="1" x14ac:dyDescent="0.25">
      <c r="A87" s="354" t="s">
        <v>291</v>
      </c>
      <c r="B87" s="350" t="s">
        <v>288</v>
      </c>
      <c r="C87" s="352">
        <v>5</v>
      </c>
      <c r="D87" s="352">
        <v>1</v>
      </c>
      <c r="E87" s="352">
        <v>3</v>
      </c>
      <c r="F87" s="366"/>
      <c r="G87" s="365"/>
      <c r="H87" s="365"/>
      <c r="I87" s="365"/>
      <c r="J87" s="367"/>
      <c r="K87" s="367"/>
      <c r="L87" s="368"/>
      <c r="M87" s="369"/>
      <c r="N87" s="369"/>
      <c r="O87" s="370"/>
      <c r="P87" s="370"/>
      <c r="Q87" s="371"/>
    </row>
    <row r="88" spans="1:17" s="3" customFormat="1" ht="25" customHeight="1" x14ac:dyDescent="0.25">
      <c r="A88" s="354" t="s">
        <v>292</v>
      </c>
      <c r="B88" s="350" t="s">
        <v>263</v>
      </c>
      <c r="C88" s="352">
        <v>3</v>
      </c>
      <c r="D88" s="352">
        <v>1</v>
      </c>
      <c r="E88" s="352">
        <v>3</v>
      </c>
      <c r="F88" s="366"/>
      <c r="G88" s="365"/>
      <c r="H88" s="365"/>
      <c r="I88" s="365"/>
      <c r="J88" s="367"/>
      <c r="K88" s="367"/>
      <c r="L88" s="368"/>
      <c r="M88" s="369"/>
      <c r="N88" s="369"/>
      <c r="O88" s="370"/>
      <c r="P88" s="370"/>
      <c r="Q88" s="371"/>
    </row>
    <row r="89" spans="1:17" s="3" customFormat="1" ht="25" customHeight="1" x14ac:dyDescent="0.25">
      <c r="A89" s="386"/>
      <c r="B89" s="361" t="s">
        <v>353</v>
      </c>
      <c r="C89" s="364">
        <f>SUM(C74:C88)</f>
        <v>51</v>
      </c>
      <c r="D89" s="364">
        <f>SUM(D74:D88)</f>
        <v>15</v>
      </c>
      <c r="E89" s="364">
        <f>SUM(E74:E88)</f>
        <v>53</v>
      </c>
      <c r="F89" s="366"/>
      <c r="G89" s="365"/>
      <c r="H89" s="365"/>
      <c r="I89" s="365"/>
      <c r="J89" s="367"/>
      <c r="K89" s="367"/>
      <c r="L89" s="368"/>
      <c r="M89" s="369"/>
      <c r="N89" s="369"/>
      <c r="O89" s="370"/>
      <c r="P89" s="370"/>
      <c r="Q89" s="371"/>
    </row>
    <row r="90" spans="1:17" s="3" customFormat="1" ht="25" customHeight="1" x14ac:dyDescent="0.25">
      <c r="A90" s="385">
        <v>2</v>
      </c>
      <c r="B90" s="385" t="s">
        <v>85</v>
      </c>
      <c r="C90" s="352">
        <v>0</v>
      </c>
      <c r="D90" s="352">
        <v>0</v>
      </c>
      <c r="E90" s="352">
        <v>0</v>
      </c>
      <c r="F90" s="366"/>
      <c r="G90" s="365"/>
      <c r="H90" s="365"/>
      <c r="I90" s="365"/>
      <c r="J90" s="367"/>
      <c r="K90" s="367"/>
      <c r="L90" s="368"/>
      <c r="M90" s="369"/>
      <c r="N90" s="369"/>
      <c r="O90" s="370"/>
      <c r="P90" s="370"/>
      <c r="Q90" s="371"/>
    </row>
    <row r="91" spans="1:17" s="3" customFormat="1" ht="25" customHeight="1" x14ac:dyDescent="0.25">
      <c r="A91" s="387"/>
      <c r="B91" s="387" t="s">
        <v>374</v>
      </c>
      <c r="C91" s="388">
        <f>C54+C69+C89</f>
        <v>191</v>
      </c>
      <c r="D91" s="388">
        <f>D54+D69+D89</f>
        <v>65.66</v>
      </c>
      <c r="E91" s="388">
        <f>E54+E69+E89</f>
        <v>206</v>
      </c>
      <c r="F91" s="366"/>
      <c r="G91" s="365"/>
      <c r="H91" s="365"/>
      <c r="I91" s="365"/>
      <c r="J91" s="367"/>
      <c r="K91" s="367"/>
      <c r="L91" s="368"/>
      <c r="M91" s="369"/>
      <c r="N91" s="369"/>
      <c r="O91" s="370"/>
      <c r="P91" s="370"/>
      <c r="Q91" s="371"/>
    </row>
    <row r="92" spans="1:17" s="3" customFormat="1" ht="25" customHeight="1" x14ac:dyDescent="0.25">
      <c r="A92" s="242" t="s">
        <v>19</v>
      </c>
      <c r="B92" s="242" t="s">
        <v>375</v>
      </c>
      <c r="C92" s="249"/>
      <c r="D92" s="249"/>
      <c r="E92" s="249"/>
      <c r="F92" s="249"/>
      <c r="G92" s="249"/>
      <c r="H92" s="249"/>
      <c r="I92" s="252"/>
      <c r="J92" s="252"/>
      <c r="K92" s="252"/>
      <c r="L92" s="252"/>
      <c r="M92" s="252"/>
      <c r="N92" s="252"/>
      <c r="O92" s="252"/>
      <c r="P92" s="252"/>
      <c r="Q92" s="253"/>
    </row>
    <row r="93" spans="1:17" s="3" customFormat="1" ht="25" customHeight="1" x14ac:dyDescent="0.25">
      <c r="A93" s="266" t="s">
        <v>377</v>
      </c>
      <c r="B93" s="266" t="s">
        <v>378</v>
      </c>
      <c r="C93" s="249"/>
      <c r="D93" s="249"/>
      <c r="E93" s="249"/>
      <c r="F93" s="249"/>
      <c r="G93" s="249"/>
      <c r="H93" s="249"/>
      <c r="I93" s="252"/>
      <c r="J93" s="252"/>
      <c r="K93" s="252"/>
      <c r="L93" s="252"/>
      <c r="M93" s="252"/>
      <c r="N93" s="252"/>
      <c r="O93" s="252"/>
      <c r="P93" s="252"/>
      <c r="Q93" s="253"/>
    </row>
    <row r="94" spans="1:17" s="3" customFormat="1" ht="25" customHeight="1" x14ac:dyDescent="0.25">
      <c r="A94" s="266">
        <v>1</v>
      </c>
      <c r="B94" s="266" t="s">
        <v>379</v>
      </c>
      <c r="C94" s="249"/>
      <c r="D94" s="249"/>
      <c r="E94" s="249"/>
      <c r="F94" s="249"/>
      <c r="G94" s="249"/>
      <c r="H94" s="249"/>
      <c r="I94" s="252"/>
      <c r="J94" s="252"/>
      <c r="K94" s="252"/>
      <c r="L94" s="252"/>
      <c r="M94" s="252"/>
      <c r="N94" s="252"/>
      <c r="O94" s="252"/>
      <c r="P94" s="252"/>
      <c r="Q94" s="253"/>
    </row>
    <row r="95" spans="1:17" s="3" customFormat="1" ht="25" customHeight="1" x14ac:dyDescent="0.25">
      <c r="A95" s="267" t="s">
        <v>147</v>
      </c>
      <c r="B95" s="268" t="s">
        <v>161</v>
      </c>
      <c r="C95" s="249"/>
      <c r="D95" s="249"/>
      <c r="E95" s="249"/>
      <c r="F95" s="249"/>
      <c r="G95" s="249"/>
      <c r="H95" s="249"/>
      <c r="I95" s="252"/>
      <c r="J95" s="252"/>
      <c r="K95" s="252"/>
      <c r="L95" s="252"/>
      <c r="M95" s="252"/>
      <c r="N95" s="252"/>
      <c r="O95" s="252"/>
      <c r="P95" s="252"/>
      <c r="Q95" s="253"/>
    </row>
    <row r="96" spans="1:17" s="3" customFormat="1" ht="25" customHeight="1" x14ac:dyDescent="0.25">
      <c r="A96" s="349" t="s">
        <v>226</v>
      </c>
      <c r="B96" s="350" t="s">
        <v>597</v>
      </c>
      <c r="C96" s="351">
        <v>3</v>
      </c>
      <c r="D96" s="351">
        <v>1</v>
      </c>
      <c r="E96" s="351">
        <v>3</v>
      </c>
      <c r="F96" s="254">
        <f t="shared" ref="F96:F119" si="9">I96+J96+K96</f>
        <v>148.5</v>
      </c>
      <c r="G96" s="269">
        <v>60</v>
      </c>
      <c r="H96" s="249">
        <f t="shared" ref="H96:H118" si="10">C96*D96*E96*G96</f>
        <v>540</v>
      </c>
      <c r="I96" s="251">
        <f t="shared" ref="I96:I110" si="11">IF(G96&lt;70, C96*E96*16.5*1, C96*E96*16.5*1.3)</f>
        <v>148.5</v>
      </c>
      <c r="J96" s="270"/>
      <c r="K96" s="270"/>
      <c r="L96" s="252"/>
      <c r="M96" s="252"/>
      <c r="N96" s="252"/>
      <c r="O96" s="252"/>
      <c r="P96" s="252"/>
      <c r="Q96" s="253"/>
    </row>
    <row r="97" spans="1:17" s="3" customFormat="1" ht="25" customHeight="1" x14ac:dyDescent="0.25">
      <c r="A97" s="349" t="s">
        <v>227</v>
      </c>
      <c r="B97" s="350" t="s">
        <v>598</v>
      </c>
      <c r="C97" s="351">
        <v>4</v>
      </c>
      <c r="D97" s="351">
        <v>1.3</v>
      </c>
      <c r="E97" s="351">
        <v>3</v>
      </c>
      <c r="F97" s="254">
        <f t="shared" si="9"/>
        <v>257.40000000000003</v>
      </c>
      <c r="G97" s="269">
        <v>70</v>
      </c>
      <c r="H97" s="249">
        <f t="shared" si="10"/>
        <v>1092</v>
      </c>
      <c r="I97" s="251">
        <f t="shared" si="11"/>
        <v>257.40000000000003</v>
      </c>
      <c r="J97" s="270"/>
      <c r="K97" s="270"/>
      <c r="L97" s="252"/>
      <c r="M97" s="252"/>
      <c r="N97" s="252"/>
      <c r="O97" s="252"/>
      <c r="P97" s="252"/>
      <c r="Q97" s="253"/>
    </row>
    <row r="98" spans="1:17" s="3" customFormat="1" ht="25" customHeight="1" x14ac:dyDescent="0.25">
      <c r="A98" s="349" t="s">
        <v>228</v>
      </c>
      <c r="B98" s="350" t="s">
        <v>599</v>
      </c>
      <c r="C98" s="351">
        <v>1</v>
      </c>
      <c r="D98" s="351">
        <v>1.3</v>
      </c>
      <c r="E98" s="351">
        <v>8</v>
      </c>
      <c r="F98" s="254">
        <f t="shared" si="9"/>
        <v>132</v>
      </c>
      <c r="G98" s="269">
        <v>20</v>
      </c>
      <c r="H98" s="249">
        <f t="shared" si="10"/>
        <v>208</v>
      </c>
      <c r="I98" s="251">
        <f t="shared" si="11"/>
        <v>132</v>
      </c>
      <c r="J98" s="270"/>
      <c r="K98" s="270"/>
      <c r="L98" s="252"/>
      <c r="M98" s="252"/>
      <c r="N98" s="252"/>
      <c r="O98" s="252"/>
      <c r="P98" s="252"/>
      <c r="Q98" s="253"/>
    </row>
    <row r="99" spans="1:17" s="3" customFormat="1" ht="25" customHeight="1" x14ac:dyDescent="0.25">
      <c r="A99" s="349" t="s">
        <v>228</v>
      </c>
      <c r="B99" s="350" t="s">
        <v>600</v>
      </c>
      <c r="C99" s="351">
        <v>1</v>
      </c>
      <c r="D99" s="351">
        <v>1.3</v>
      </c>
      <c r="E99" s="351">
        <v>8</v>
      </c>
      <c r="F99" s="254">
        <f t="shared" si="9"/>
        <v>132</v>
      </c>
      <c r="G99" s="269">
        <v>20</v>
      </c>
      <c r="H99" s="249">
        <f t="shared" si="10"/>
        <v>208</v>
      </c>
      <c r="I99" s="251">
        <f t="shared" si="11"/>
        <v>132</v>
      </c>
      <c r="J99" s="270"/>
      <c r="K99" s="270"/>
      <c r="L99" s="252"/>
      <c r="M99" s="252"/>
      <c r="N99" s="252"/>
      <c r="O99" s="252"/>
      <c r="P99" s="252"/>
      <c r="Q99" s="253"/>
    </row>
    <row r="100" spans="1:17" s="3" customFormat="1" ht="25" customHeight="1" x14ac:dyDescent="0.25">
      <c r="A100" s="349" t="s">
        <v>229</v>
      </c>
      <c r="B100" s="350" t="s">
        <v>601</v>
      </c>
      <c r="C100" s="351">
        <v>1</v>
      </c>
      <c r="D100" s="351">
        <v>1.3</v>
      </c>
      <c r="E100" s="351">
        <v>7</v>
      </c>
      <c r="F100" s="254">
        <f t="shared" si="9"/>
        <v>115.5</v>
      </c>
      <c r="G100" s="269">
        <v>60</v>
      </c>
      <c r="H100" s="249">
        <f t="shared" si="10"/>
        <v>546</v>
      </c>
      <c r="I100" s="251">
        <f t="shared" si="11"/>
        <v>115.5</v>
      </c>
      <c r="J100" s="270"/>
      <c r="K100" s="270"/>
      <c r="L100" s="252"/>
      <c r="M100" s="252"/>
      <c r="N100" s="252"/>
      <c r="O100" s="252"/>
      <c r="P100" s="252"/>
      <c r="Q100" s="253"/>
    </row>
    <row r="101" spans="1:17" s="3" customFormat="1" ht="25" customHeight="1" x14ac:dyDescent="0.25">
      <c r="A101" s="349" t="s">
        <v>230</v>
      </c>
      <c r="B101" s="350" t="s">
        <v>385</v>
      </c>
      <c r="C101" s="351">
        <v>4</v>
      </c>
      <c r="D101" s="351">
        <v>1</v>
      </c>
      <c r="E101" s="351">
        <v>3</v>
      </c>
      <c r="F101" s="254">
        <f t="shared" si="9"/>
        <v>198</v>
      </c>
      <c r="G101" s="269">
        <v>25</v>
      </c>
      <c r="H101" s="249">
        <f t="shared" si="10"/>
        <v>300</v>
      </c>
      <c r="I101" s="251">
        <f t="shared" si="11"/>
        <v>198</v>
      </c>
      <c r="J101" s="270"/>
      <c r="K101" s="270"/>
      <c r="L101" s="252"/>
      <c r="M101" s="252"/>
      <c r="N101" s="252"/>
      <c r="O101" s="252"/>
      <c r="P101" s="252"/>
      <c r="Q101" s="253"/>
    </row>
    <row r="102" spans="1:17" s="3" customFormat="1" ht="25" customHeight="1" x14ac:dyDescent="0.25">
      <c r="A102" s="349" t="s">
        <v>282</v>
      </c>
      <c r="B102" s="350" t="s">
        <v>602</v>
      </c>
      <c r="C102" s="351">
        <v>2</v>
      </c>
      <c r="D102" s="351">
        <v>1</v>
      </c>
      <c r="E102" s="351">
        <v>3</v>
      </c>
      <c r="F102" s="254">
        <f t="shared" si="9"/>
        <v>128.70000000000002</v>
      </c>
      <c r="G102" s="269">
        <v>70</v>
      </c>
      <c r="H102" s="249">
        <f t="shared" si="10"/>
        <v>420</v>
      </c>
      <c r="I102" s="251">
        <f t="shared" si="11"/>
        <v>128.70000000000002</v>
      </c>
      <c r="J102" s="270"/>
      <c r="K102" s="270"/>
      <c r="L102" s="252"/>
      <c r="M102" s="252"/>
      <c r="N102" s="252"/>
      <c r="O102" s="252"/>
      <c r="P102" s="252"/>
      <c r="Q102" s="253"/>
    </row>
    <row r="103" spans="1:17" s="3" customFormat="1" ht="25" customHeight="1" x14ac:dyDescent="0.25">
      <c r="A103" s="349" t="s">
        <v>283</v>
      </c>
      <c r="B103" s="350" t="s">
        <v>603</v>
      </c>
      <c r="C103" s="351">
        <v>3</v>
      </c>
      <c r="D103" s="351">
        <v>1</v>
      </c>
      <c r="E103" s="351">
        <v>2</v>
      </c>
      <c r="F103" s="254">
        <f t="shared" si="9"/>
        <v>99</v>
      </c>
      <c r="G103" s="269">
        <v>60</v>
      </c>
      <c r="H103" s="249">
        <f t="shared" si="10"/>
        <v>360</v>
      </c>
      <c r="I103" s="251">
        <f t="shared" si="11"/>
        <v>99</v>
      </c>
      <c r="J103" s="270"/>
      <c r="K103" s="270"/>
      <c r="L103" s="252"/>
      <c r="M103" s="252"/>
      <c r="N103" s="252"/>
      <c r="O103" s="252"/>
      <c r="P103" s="252"/>
      <c r="Q103" s="253"/>
    </row>
    <row r="104" spans="1:17" s="3" customFormat="1" ht="25" customHeight="1" x14ac:dyDescent="0.25">
      <c r="A104" s="349" t="s">
        <v>284</v>
      </c>
      <c r="B104" s="350" t="s">
        <v>604</v>
      </c>
      <c r="C104" s="351">
        <v>3</v>
      </c>
      <c r="D104" s="351">
        <v>1.1000000000000001</v>
      </c>
      <c r="E104" s="351">
        <v>3</v>
      </c>
      <c r="F104" s="254">
        <f t="shared" si="9"/>
        <v>193.05</v>
      </c>
      <c r="G104" s="269">
        <v>70</v>
      </c>
      <c r="H104" s="249">
        <f t="shared" si="10"/>
        <v>693</v>
      </c>
      <c r="I104" s="251">
        <f t="shared" si="11"/>
        <v>193.05</v>
      </c>
      <c r="J104" s="270"/>
      <c r="K104" s="270"/>
      <c r="L104" s="252"/>
      <c r="M104" s="252"/>
      <c r="N104" s="252"/>
      <c r="O104" s="252"/>
      <c r="P104" s="252"/>
      <c r="Q104" s="253"/>
    </row>
    <row r="105" spans="1:17" s="3" customFormat="1" ht="25" customHeight="1" x14ac:dyDescent="0.25">
      <c r="A105" s="349" t="s">
        <v>285</v>
      </c>
      <c r="B105" s="350" t="s">
        <v>605</v>
      </c>
      <c r="C105" s="352">
        <v>3</v>
      </c>
      <c r="D105" s="352">
        <v>1</v>
      </c>
      <c r="E105" s="352">
        <v>2</v>
      </c>
      <c r="F105" s="254">
        <f t="shared" si="9"/>
        <v>128.70000000000002</v>
      </c>
      <c r="G105" s="271">
        <v>70</v>
      </c>
      <c r="H105" s="249">
        <f t="shared" si="10"/>
        <v>420</v>
      </c>
      <c r="I105" s="251">
        <f t="shared" si="11"/>
        <v>128.70000000000002</v>
      </c>
      <c r="J105" s="270"/>
      <c r="K105" s="270"/>
      <c r="L105" s="252"/>
      <c r="M105" s="252"/>
      <c r="N105" s="252"/>
      <c r="O105" s="252"/>
      <c r="P105" s="252"/>
      <c r="Q105" s="253"/>
    </row>
    <row r="106" spans="1:17" s="3" customFormat="1" ht="25" customHeight="1" x14ac:dyDescent="0.25">
      <c r="A106" s="349" t="s">
        <v>286</v>
      </c>
      <c r="B106" s="350" t="s">
        <v>606</v>
      </c>
      <c r="C106" s="352">
        <v>4</v>
      </c>
      <c r="D106" s="352">
        <v>1</v>
      </c>
      <c r="E106" s="352">
        <v>3</v>
      </c>
      <c r="F106" s="254">
        <f t="shared" si="9"/>
        <v>257.40000000000003</v>
      </c>
      <c r="G106" s="271">
        <v>70</v>
      </c>
      <c r="H106" s="249">
        <f t="shared" si="10"/>
        <v>840</v>
      </c>
      <c r="I106" s="251">
        <f t="shared" si="11"/>
        <v>257.40000000000003</v>
      </c>
      <c r="J106" s="270"/>
      <c r="K106" s="270"/>
      <c r="L106" s="252"/>
      <c r="M106" s="252"/>
      <c r="N106" s="252"/>
      <c r="O106" s="252"/>
      <c r="P106" s="252"/>
      <c r="Q106" s="253"/>
    </row>
    <row r="107" spans="1:17" s="3" customFormat="1" ht="25" customHeight="1" x14ac:dyDescent="0.25">
      <c r="A107" s="349" t="s">
        <v>289</v>
      </c>
      <c r="B107" s="350" t="s">
        <v>607</v>
      </c>
      <c r="C107" s="352">
        <v>2</v>
      </c>
      <c r="D107" s="352">
        <v>1.3</v>
      </c>
      <c r="E107" s="352">
        <v>6</v>
      </c>
      <c r="F107" s="254">
        <f t="shared" si="9"/>
        <v>198</v>
      </c>
      <c r="G107" s="271">
        <v>25</v>
      </c>
      <c r="H107" s="249">
        <f t="shared" si="10"/>
        <v>390.00000000000006</v>
      </c>
      <c r="I107" s="251">
        <f t="shared" si="11"/>
        <v>198</v>
      </c>
      <c r="J107" s="270"/>
      <c r="K107" s="270"/>
      <c r="L107" s="252"/>
      <c r="M107" s="252"/>
      <c r="N107" s="252"/>
      <c r="O107" s="252"/>
      <c r="P107" s="252"/>
      <c r="Q107" s="253"/>
    </row>
    <row r="108" spans="1:17" s="3" customFormat="1" ht="25" customHeight="1" x14ac:dyDescent="0.25">
      <c r="A108" s="349" t="s">
        <v>290</v>
      </c>
      <c r="B108" s="350" t="s">
        <v>608</v>
      </c>
      <c r="C108" s="352">
        <v>3</v>
      </c>
      <c r="D108" s="352">
        <v>1</v>
      </c>
      <c r="E108" s="352">
        <v>2</v>
      </c>
      <c r="F108" s="254">
        <f t="shared" si="9"/>
        <v>128.70000000000002</v>
      </c>
      <c r="G108" s="271">
        <v>70</v>
      </c>
      <c r="H108" s="249">
        <f t="shared" si="10"/>
        <v>420</v>
      </c>
      <c r="I108" s="251">
        <f t="shared" si="11"/>
        <v>128.70000000000002</v>
      </c>
      <c r="J108" s="270"/>
      <c r="K108" s="270"/>
      <c r="L108" s="252"/>
      <c r="M108" s="252"/>
      <c r="N108" s="252"/>
      <c r="O108" s="252"/>
      <c r="P108" s="252"/>
      <c r="Q108" s="253"/>
    </row>
    <row r="109" spans="1:17" s="3" customFormat="1" ht="25" customHeight="1" x14ac:dyDescent="0.25">
      <c r="A109" s="349" t="s">
        <v>291</v>
      </c>
      <c r="B109" s="350" t="s">
        <v>499</v>
      </c>
      <c r="C109" s="352">
        <v>2</v>
      </c>
      <c r="D109" s="352">
        <v>1</v>
      </c>
      <c r="E109" s="352">
        <v>1</v>
      </c>
      <c r="F109" s="254">
        <f t="shared" si="9"/>
        <v>33</v>
      </c>
      <c r="G109" s="271">
        <v>40</v>
      </c>
      <c r="H109" s="249">
        <f t="shared" si="10"/>
        <v>80</v>
      </c>
      <c r="I109" s="251">
        <f t="shared" si="11"/>
        <v>33</v>
      </c>
      <c r="J109" s="270"/>
      <c r="K109" s="270"/>
      <c r="L109" s="252"/>
      <c r="M109" s="252"/>
      <c r="N109" s="252"/>
      <c r="O109" s="252"/>
      <c r="P109" s="252"/>
      <c r="Q109" s="253"/>
    </row>
    <row r="110" spans="1:17" s="3" customFormat="1" ht="25" customHeight="1" x14ac:dyDescent="0.25">
      <c r="A110" s="349" t="s">
        <v>292</v>
      </c>
      <c r="B110" s="353" t="s">
        <v>609</v>
      </c>
      <c r="C110" s="352">
        <v>4</v>
      </c>
      <c r="D110" s="352">
        <v>1</v>
      </c>
      <c r="E110" s="352">
        <v>3</v>
      </c>
      <c r="F110" s="254">
        <f t="shared" si="9"/>
        <v>257.40000000000003</v>
      </c>
      <c r="G110" s="271">
        <v>70</v>
      </c>
      <c r="H110" s="249">
        <f t="shared" si="10"/>
        <v>840</v>
      </c>
      <c r="I110" s="251">
        <f t="shared" si="11"/>
        <v>257.40000000000003</v>
      </c>
      <c r="J110" s="246">
        <v>0</v>
      </c>
      <c r="K110" s="246">
        <v>0</v>
      </c>
      <c r="L110" s="252"/>
      <c r="M110" s="252"/>
      <c r="N110" s="252"/>
      <c r="O110" s="252"/>
      <c r="P110" s="252"/>
      <c r="Q110" s="253"/>
    </row>
    <row r="111" spans="1:17" s="3" customFormat="1" ht="25" customHeight="1" x14ac:dyDescent="0.25">
      <c r="A111" s="349" t="s">
        <v>395</v>
      </c>
      <c r="B111" s="353" t="s">
        <v>610</v>
      </c>
      <c r="C111" s="352">
        <v>3</v>
      </c>
      <c r="D111" s="352">
        <v>1.2</v>
      </c>
      <c r="E111" s="352">
        <v>2</v>
      </c>
      <c r="F111" s="254">
        <f t="shared" si="9"/>
        <v>30</v>
      </c>
      <c r="G111" s="271">
        <v>25</v>
      </c>
      <c r="H111" s="249">
        <f t="shared" si="10"/>
        <v>179.99999999999997</v>
      </c>
      <c r="I111" s="251">
        <f>E111*15</f>
        <v>30</v>
      </c>
      <c r="J111" s="252"/>
      <c r="K111" s="252"/>
      <c r="L111" s="252"/>
      <c r="M111" s="252"/>
      <c r="N111" s="252"/>
      <c r="O111" s="252"/>
      <c r="P111" s="252"/>
      <c r="Q111" s="253"/>
    </row>
    <row r="112" spans="1:17" s="3" customFormat="1" ht="25" customHeight="1" x14ac:dyDescent="0.25">
      <c r="A112" s="349" t="s">
        <v>396</v>
      </c>
      <c r="B112" s="353" t="s">
        <v>611</v>
      </c>
      <c r="C112" s="352">
        <v>4</v>
      </c>
      <c r="D112" s="352">
        <v>1</v>
      </c>
      <c r="E112" s="352">
        <v>3</v>
      </c>
      <c r="F112" s="254">
        <f t="shared" si="9"/>
        <v>198</v>
      </c>
      <c r="G112" s="271">
        <v>25</v>
      </c>
      <c r="H112" s="249">
        <f t="shared" si="10"/>
        <v>300</v>
      </c>
      <c r="I112" s="250"/>
      <c r="J112" s="251">
        <f>IF(G112&lt;70, C112*E112*16.5*1, C112*E112*16.5*1.3)</f>
        <v>198</v>
      </c>
      <c r="K112" s="252"/>
      <c r="L112" s="252"/>
      <c r="M112" s="252"/>
      <c r="N112" s="252"/>
      <c r="O112" s="252"/>
      <c r="P112" s="252"/>
      <c r="Q112" s="253"/>
    </row>
    <row r="113" spans="1:17" s="3" customFormat="1" ht="25" customHeight="1" x14ac:dyDescent="0.25">
      <c r="A113" s="349" t="s">
        <v>397</v>
      </c>
      <c r="B113" s="353" t="s">
        <v>612</v>
      </c>
      <c r="C113" s="352">
        <v>4</v>
      </c>
      <c r="D113" s="352">
        <v>1</v>
      </c>
      <c r="E113" s="352">
        <v>3</v>
      </c>
      <c r="F113" s="254">
        <f t="shared" si="9"/>
        <v>257.40000000000003</v>
      </c>
      <c r="G113" s="271">
        <v>70</v>
      </c>
      <c r="H113" s="249">
        <f t="shared" si="10"/>
        <v>840</v>
      </c>
      <c r="I113" s="251">
        <f>IF(G113&lt;70, C113*E113*16.5*1, C113*E113*16.5*1.3)</f>
        <v>257.40000000000003</v>
      </c>
      <c r="J113" s="252"/>
      <c r="K113" s="252"/>
      <c r="L113" s="252"/>
      <c r="M113" s="252"/>
      <c r="N113" s="252"/>
      <c r="O113" s="252"/>
      <c r="P113" s="252"/>
      <c r="Q113" s="253"/>
    </row>
    <row r="114" spans="1:17" s="3" customFormat="1" ht="25" customHeight="1" x14ac:dyDescent="0.25">
      <c r="A114" s="349" t="s">
        <v>398</v>
      </c>
      <c r="B114" s="353" t="s">
        <v>376</v>
      </c>
      <c r="C114" s="352">
        <v>2</v>
      </c>
      <c r="D114" s="352">
        <v>1.3</v>
      </c>
      <c r="E114" s="352">
        <v>2</v>
      </c>
      <c r="F114" s="254">
        <f t="shared" si="9"/>
        <v>85.8</v>
      </c>
      <c r="G114" s="271">
        <v>70</v>
      </c>
      <c r="H114" s="249">
        <f t="shared" si="10"/>
        <v>364</v>
      </c>
      <c r="I114" s="251">
        <f t="shared" ref="I114:I119" si="12">IF(G114&lt;70, C114*E114*16.5*1, C114*E114*16.5*1.3)</f>
        <v>85.8</v>
      </c>
      <c r="J114" s="252"/>
      <c r="K114" s="252"/>
      <c r="L114" s="252"/>
      <c r="M114" s="252"/>
      <c r="N114" s="252"/>
      <c r="O114" s="252"/>
      <c r="P114" s="252"/>
      <c r="Q114" s="253"/>
    </row>
    <row r="115" spans="1:17" s="3" customFormat="1" ht="25" customHeight="1" x14ac:dyDescent="0.25">
      <c r="A115" s="349" t="s">
        <v>399</v>
      </c>
      <c r="B115" s="353" t="s">
        <v>613</v>
      </c>
      <c r="C115" s="352">
        <v>4</v>
      </c>
      <c r="D115" s="352">
        <v>1.3</v>
      </c>
      <c r="E115" s="352">
        <v>3</v>
      </c>
      <c r="F115" s="254">
        <f t="shared" si="9"/>
        <v>257.40000000000003</v>
      </c>
      <c r="G115" s="271">
        <v>70</v>
      </c>
      <c r="H115" s="249">
        <f t="shared" si="10"/>
        <v>1092</v>
      </c>
      <c r="I115" s="251">
        <f t="shared" si="12"/>
        <v>257.40000000000003</v>
      </c>
      <c r="J115" s="252"/>
      <c r="K115" s="252"/>
      <c r="L115" s="252"/>
      <c r="M115" s="252"/>
      <c r="N115" s="252"/>
      <c r="O115" s="252"/>
      <c r="P115" s="252"/>
      <c r="Q115" s="253"/>
    </row>
    <row r="116" spans="1:17" s="3" customFormat="1" ht="25" customHeight="1" x14ac:dyDescent="0.25">
      <c r="A116" s="349"/>
      <c r="B116" s="353" t="s">
        <v>614</v>
      </c>
      <c r="C116" s="352">
        <v>3</v>
      </c>
      <c r="D116" s="352">
        <v>1</v>
      </c>
      <c r="E116" s="352">
        <v>2</v>
      </c>
      <c r="F116" s="254">
        <f t="shared" si="9"/>
        <v>128.70000000000002</v>
      </c>
      <c r="G116" s="271">
        <v>70</v>
      </c>
      <c r="H116" s="249">
        <f t="shared" si="10"/>
        <v>420</v>
      </c>
      <c r="I116" s="251">
        <f t="shared" si="12"/>
        <v>128.70000000000002</v>
      </c>
      <c r="J116" s="270">
        <v>0</v>
      </c>
      <c r="K116" s="270">
        <v>0</v>
      </c>
      <c r="L116" s="252"/>
      <c r="M116" s="252"/>
      <c r="N116" s="252"/>
      <c r="O116" s="252"/>
      <c r="P116" s="252"/>
      <c r="Q116" s="253"/>
    </row>
    <row r="117" spans="1:17" s="3" customFormat="1" ht="25" customHeight="1" x14ac:dyDescent="0.25">
      <c r="A117" s="349" t="s">
        <v>400</v>
      </c>
      <c r="B117" s="353" t="s">
        <v>615</v>
      </c>
      <c r="C117" s="352">
        <v>2</v>
      </c>
      <c r="D117" s="352">
        <v>1.3</v>
      </c>
      <c r="E117" s="352">
        <v>2</v>
      </c>
      <c r="F117" s="254">
        <f t="shared" si="9"/>
        <v>85.8</v>
      </c>
      <c r="G117" s="271">
        <v>70</v>
      </c>
      <c r="H117" s="249">
        <f t="shared" si="10"/>
        <v>364</v>
      </c>
      <c r="I117" s="251">
        <f t="shared" si="12"/>
        <v>85.8</v>
      </c>
      <c r="J117" s="270">
        <v>0</v>
      </c>
      <c r="K117" s="270">
        <v>0</v>
      </c>
      <c r="L117" s="252"/>
      <c r="M117" s="252"/>
      <c r="N117" s="252"/>
      <c r="O117" s="252"/>
      <c r="P117" s="252"/>
      <c r="Q117" s="253"/>
    </row>
    <row r="118" spans="1:17" s="3" customFormat="1" ht="25" customHeight="1" x14ac:dyDescent="0.25">
      <c r="A118" s="349"/>
      <c r="B118" s="353" t="s">
        <v>616</v>
      </c>
      <c r="C118" s="352">
        <v>4</v>
      </c>
      <c r="D118" s="352">
        <v>1</v>
      </c>
      <c r="E118" s="352">
        <v>3</v>
      </c>
      <c r="F118" s="254">
        <f t="shared" si="9"/>
        <v>257.40000000000003</v>
      </c>
      <c r="G118" s="249">
        <v>70</v>
      </c>
      <c r="H118" s="249">
        <f t="shared" si="10"/>
        <v>840</v>
      </c>
      <c r="I118" s="251">
        <f t="shared" si="12"/>
        <v>257.40000000000003</v>
      </c>
      <c r="J118" s="270">
        <v>0</v>
      </c>
      <c r="K118" s="270">
        <v>0</v>
      </c>
      <c r="L118" s="252"/>
      <c r="M118" s="252"/>
      <c r="N118" s="252"/>
      <c r="O118" s="252"/>
      <c r="P118" s="252"/>
      <c r="Q118" s="253"/>
    </row>
    <row r="119" spans="1:17" s="3" customFormat="1" ht="25" customHeight="1" x14ac:dyDescent="0.25">
      <c r="A119" s="349" t="s">
        <v>401</v>
      </c>
      <c r="B119" s="353" t="s">
        <v>617</v>
      </c>
      <c r="C119" s="352">
        <v>4</v>
      </c>
      <c r="D119" s="352">
        <v>1.1200000000000001</v>
      </c>
      <c r="E119" s="352">
        <v>3</v>
      </c>
      <c r="F119" s="254">
        <f t="shared" si="9"/>
        <v>198</v>
      </c>
      <c r="G119" s="271">
        <v>24</v>
      </c>
      <c r="H119" s="249">
        <f>C119*D119*E119*G119</f>
        <v>322.56000000000006</v>
      </c>
      <c r="I119" s="251">
        <f t="shared" si="12"/>
        <v>198</v>
      </c>
      <c r="J119" s="270"/>
      <c r="K119" s="270"/>
      <c r="L119" s="252"/>
      <c r="M119" s="252"/>
      <c r="N119" s="252"/>
      <c r="O119" s="252"/>
      <c r="P119" s="252"/>
      <c r="Q119" s="253"/>
    </row>
    <row r="120" spans="1:17" s="3" customFormat="1" ht="25" customHeight="1" x14ac:dyDescent="0.25">
      <c r="A120" s="349"/>
      <c r="B120" s="353"/>
      <c r="C120" s="352">
        <f>SUM(C96:C119)</f>
        <v>70</v>
      </c>
      <c r="D120" s="352">
        <f>SUM(D96:D119)</f>
        <v>26.820000000000004</v>
      </c>
      <c r="E120" s="352">
        <f>SUM(E96:E119)</f>
        <v>80</v>
      </c>
      <c r="F120" s="259"/>
      <c r="G120" s="259"/>
      <c r="H120" s="259"/>
      <c r="I120" s="246"/>
      <c r="J120" s="246"/>
      <c r="K120" s="246"/>
      <c r="L120" s="252"/>
      <c r="M120" s="252"/>
      <c r="N120" s="252"/>
      <c r="O120" s="252"/>
      <c r="P120" s="252"/>
      <c r="Q120" s="253"/>
    </row>
    <row r="121" spans="1:17" s="3" customFormat="1" ht="25" customHeight="1" x14ac:dyDescent="0.25">
      <c r="A121" s="359" t="s">
        <v>148</v>
      </c>
      <c r="B121" s="360" t="s">
        <v>151</v>
      </c>
      <c r="C121" s="352"/>
      <c r="D121" s="352"/>
      <c r="E121" s="352"/>
      <c r="F121" s="259"/>
      <c r="G121" s="259"/>
      <c r="H121" s="259"/>
      <c r="I121" s="246"/>
      <c r="J121" s="246"/>
      <c r="K121" s="246"/>
      <c r="L121" s="252"/>
      <c r="M121" s="252"/>
      <c r="N121" s="252"/>
      <c r="O121" s="252"/>
      <c r="P121" s="252"/>
      <c r="Q121" s="253"/>
    </row>
    <row r="122" spans="1:17" s="3" customFormat="1" ht="25" customHeight="1" x14ac:dyDescent="0.25">
      <c r="A122" s="354" t="s">
        <v>232</v>
      </c>
      <c r="B122" s="349" t="s">
        <v>154</v>
      </c>
      <c r="C122" s="352"/>
      <c r="D122" s="352"/>
      <c r="E122" s="352"/>
      <c r="F122" s="259"/>
      <c r="G122" s="259"/>
      <c r="H122" s="259"/>
      <c r="I122" s="246"/>
      <c r="J122" s="246"/>
      <c r="K122" s="246"/>
      <c r="L122" s="252"/>
      <c r="M122" s="252"/>
      <c r="N122" s="252"/>
      <c r="O122" s="252"/>
      <c r="P122" s="252"/>
      <c r="Q122" s="253"/>
    </row>
    <row r="123" spans="1:17" s="3" customFormat="1" ht="25" customHeight="1" x14ac:dyDescent="0.25">
      <c r="A123" s="354" t="s">
        <v>233</v>
      </c>
      <c r="B123" s="349" t="s">
        <v>153</v>
      </c>
      <c r="C123" s="352"/>
      <c r="D123" s="352"/>
      <c r="E123" s="352"/>
      <c r="F123" s="259"/>
      <c r="G123" s="259"/>
      <c r="H123" s="259"/>
      <c r="I123" s="246"/>
      <c r="J123" s="246"/>
      <c r="K123" s="246"/>
      <c r="L123" s="252"/>
      <c r="M123" s="252"/>
      <c r="N123" s="252"/>
      <c r="O123" s="252"/>
      <c r="P123" s="252"/>
      <c r="Q123" s="253"/>
    </row>
    <row r="124" spans="1:17" s="3" customFormat="1" ht="25" customHeight="1" x14ac:dyDescent="0.25">
      <c r="A124" s="354" t="s">
        <v>234</v>
      </c>
      <c r="B124" s="349" t="s">
        <v>155</v>
      </c>
      <c r="C124" s="352"/>
      <c r="D124" s="352"/>
      <c r="E124" s="352"/>
      <c r="F124" s="324">
        <f>I124</f>
        <v>0</v>
      </c>
      <c r="G124" s="259">
        <v>25</v>
      </c>
      <c r="H124" s="249">
        <f>C124*D124*E124*G124</f>
        <v>0</v>
      </c>
      <c r="I124" s="254">
        <f>2*G124*E124</f>
        <v>0</v>
      </c>
      <c r="J124" s="246"/>
      <c r="K124" s="246"/>
      <c r="L124" s="252"/>
      <c r="M124" s="252"/>
      <c r="N124" s="252"/>
      <c r="O124" s="252"/>
      <c r="P124" s="252"/>
      <c r="Q124" s="253"/>
    </row>
    <row r="125" spans="1:17" s="3" customFormat="1" ht="25" customHeight="1" x14ac:dyDescent="0.25">
      <c r="A125" s="354" t="s">
        <v>235</v>
      </c>
      <c r="B125" s="349" t="s">
        <v>156</v>
      </c>
      <c r="C125" s="352">
        <v>4</v>
      </c>
      <c r="D125" s="352">
        <v>1.4</v>
      </c>
      <c r="E125" s="352">
        <v>6</v>
      </c>
      <c r="F125" s="259"/>
      <c r="G125" s="259"/>
      <c r="H125" s="259"/>
      <c r="I125" s="246"/>
      <c r="J125" s="246"/>
      <c r="K125" s="246"/>
      <c r="L125" s="252"/>
      <c r="M125" s="252"/>
      <c r="N125" s="252"/>
      <c r="O125" s="252"/>
      <c r="P125" s="252"/>
      <c r="Q125" s="253"/>
    </row>
    <row r="126" spans="1:17" s="3" customFormat="1" ht="25" customHeight="1" x14ac:dyDescent="0.25">
      <c r="A126" s="354" t="s">
        <v>236</v>
      </c>
      <c r="B126" s="349" t="s">
        <v>157</v>
      </c>
      <c r="C126" s="352"/>
      <c r="D126" s="352"/>
      <c r="E126" s="352"/>
      <c r="F126" s="249">
        <f t="shared" ref="F126:K126" si="13">SUM(F96:F125)</f>
        <v>3905.8500000000008</v>
      </c>
      <c r="G126" s="246">
        <f t="shared" si="13"/>
        <v>1319</v>
      </c>
      <c r="H126" s="246">
        <f t="shared" si="13"/>
        <v>12079.56</v>
      </c>
      <c r="I126" s="246">
        <f t="shared" si="13"/>
        <v>3707.8500000000008</v>
      </c>
      <c r="J126" s="246">
        <f t="shared" si="13"/>
        <v>198</v>
      </c>
      <c r="K126" s="246">
        <f t="shared" si="13"/>
        <v>0</v>
      </c>
      <c r="L126" s="252"/>
      <c r="M126" s="252"/>
      <c r="N126" s="252"/>
      <c r="O126" s="252"/>
      <c r="P126" s="252"/>
      <c r="Q126" s="253"/>
    </row>
    <row r="127" spans="1:17" s="3" customFormat="1" ht="25" customHeight="1" x14ac:dyDescent="0.25">
      <c r="A127" s="354"/>
      <c r="B127" s="362" t="s">
        <v>380</v>
      </c>
      <c r="C127" s="352">
        <v>4</v>
      </c>
      <c r="D127" s="352">
        <v>1.4</v>
      </c>
      <c r="E127" s="352">
        <v>6</v>
      </c>
      <c r="F127" s="249"/>
      <c r="G127" s="246"/>
      <c r="H127" s="246"/>
      <c r="I127" s="246"/>
      <c r="J127" s="246"/>
      <c r="K127" s="246"/>
      <c r="L127" s="252"/>
      <c r="M127" s="252"/>
      <c r="N127" s="252"/>
      <c r="O127" s="252"/>
      <c r="P127" s="252"/>
      <c r="Q127" s="253"/>
    </row>
    <row r="128" spans="1:17" s="3" customFormat="1" ht="25" customHeight="1" x14ac:dyDescent="0.25">
      <c r="A128" s="355">
        <v>2</v>
      </c>
      <c r="B128" s="355" t="s">
        <v>501</v>
      </c>
      <c r="C128" s="352"/>
      <c r="D128" s="352"/>
      <c r="E128" s="352"/>
      <c r="F128" s="269"/>
      <c r="G128" s="271">
        <v>70</v>
      </c>
      <c r="H128" s="249"/>
      <c r="I128" s="249"/>
      <c r="J128" s="270">
        <v>5</v>
      </c>
      <c r="K128" s="250"/>
      <c r="L128" s="252"/>
      <c r="M128" s="252"/>
      <c r="N128" s="252"/>
      <c r="O128" s="252"/>
      <c r="P128" s="252"/>
      <c r="Q128" s="1447" t="s">
        <v>528</v>
      </c>
    </row>
    <row r="129" spans="1:17" s="3" customFormat="1" ht="25" customHeight="1" x14ac:dyDescent="0.25">
      <c r="A129" s="356" t="s">
        <v>147</v>
      </c>
      <c r="B129" s="357" t="s">
        <v>165</v>
      </c>
      <c r="C129" s="352"/>
      <c r="D129" s="352"/>
      <c r="E129" s="352"/>
      <c r="F129" s="269"/>
      <c r="G129" s="271">
        <v>70</v>
      </c>
      <c r="H129" s="249"/>
      <c r="I129" s="249"/>
      <c r="J129" s="270">
        <v>5</v>
      </c>
      <c r="K129" s="250"/>
      <c r="L129" s="252"/>
      <c r="M129" s="252"/>
      <c r="N129" s="252"/>
      <c r="O129" s="252"/>
      <c r="P129" s="252"/>
      <c r="Q129" s="1447"/>
    </row>
    <row r="130" spans="1:17" s="3" customFormat="1" ht="25" customHeight="1" x14ac:dyDescent="0.25">
      <c r="A130" s="349" t="s">
        <v>226</v>
      </c>
      <c r="B130" s="358" t="s">
        <v>618</v>
      </c>
      <c r="C130" s="352">
        <v>3</v>
      </c>
      <c r="D130" s="352">
        <v>1</v>
      </c>
      <c r="E130" s="352">
        <v>1</v>
      </c>
      <c r="F130" s="254"/>
      <c r="G130" s="271">
        <v>70</v>
      </c>
      <c r="H130" s="250"/>
      <c r="I130" s="250"/>
      <c r="J130" s="270">
        <v>5</v>
      </c>
      <c r="K130" s="250"/>
      <c r="L130" s="250"/>
      <c r="M130" s="252"/>
      <c r="N130" s="252"/>
      <c r="O130" s="252"/>
      <c r="P130" s="252"/>
      <c r="Q130" s="1447"/>
    </row>
    <row r="131" spans="1:17" s="3" customFormat="1" ht="25" customHeight="1" x14ac:dyDescent="0.25">
      <c r="A131" s="349" t="s">
        <v>227</v>
      </c>
      <c r="B131" s="358" t="s">
        <v>619</v>
      </c>
      <c r="C131" s="352">
        <v>3</v>
      </c>
      <c r="D131" s="352">
        <v>1</v>
      </c>
      <c r="E131" s="352">
        <v>1</v>
      </c>
      <c r="F131" s="254"/>
      <c r="G131" s="271">
        <v>70</v>
      </c>
      <c r="H131" s="250"/>
      <c r="I131" s="250"/>
      <c r="J131" s="270">
        <v>5</v>
      </c>
      <c r="K131" s="250"/>
      <c r="L131" s="250"/>
      <c r="M131" s="252"/>
      <c r="N131" s="252"/>
      <c r="O131" s="252"/>
      <c r="P131" s="252"/>
      <c r="Q131" s="1447"/>
    </row>
    <row r="132" spans="1:17" s="3" customFormat="1" ht="25" customHeight="1" x14ac:dyDescent="0.25">
      <c r="A132" s="349" t="s">
        <v>228</v>
      </c>
      <c r="B132" s="358" t="s">
        <v>620</v>
      </c>
      <c r="C132" s="352">
        <v>3</v>
      </c>
      <c r="D132" s="352">
        <v>1</v>
      </c>
      <c r="E132" s="352">
        <v>1</v>
      </c>
      <c r="F132" s="254"/>
      <c r="G132" s="271">
        <v>70</v>
      </c>
      <c r="H132" s="250"/>
      <c r="I132" s="250"/>
      <c r="J132" s="270">
        <v>5</v>
      </c>
      <c r="K132" s="250"/>
      <c r="L132" s="250"/>
      <c r="M132" s="252"/>
      <c r="N132" s="252"/>
      <c r="O132" s="252"/>
      <c r="P132" s="252"/>
      <c r="Q132" s="1447"/>
    </row>
    <row r="133" spans="1:17" s="3" customFormat="1" ht="25" customHeight="1" x14ac:dyDescent="0.25">
      <c r="A133" s="349" t="s">
        <v>229</v>
      </c>
      <c r="B133" s="358" t="s">
        <v>621</v>
      </c>
      <c r="C133" s="352">
        <v>3</v>
      </c>
      <c r="D133" s="352">
        <v>1</v>
      </c>
      <c r="E133" s="352">
        <v>1</v>
      </c>
      <c r="F133" s="254"/>
      <c r="G133" s="271">
        <v>70</v>
      </c>
      <c r="H133" s="250"/>
      <c r="I133" s="250"/>
      <c r="J133" s="270">
        <v>5</v>
      </c>
      <c r="K133" s="250"/>
      <c r="L133" s="250"/>
      <c r="M133" s="252"/>
      <c r="N133" s="252"/>
      <c r="O133" s="252"/>
      <c r="P133" s="252"/>
      <c r="Q133" s="1447"/>
    </row>
    <row r="134" spans="1:17" s="3" customFormat="1" ht="25" customHeight="1" x14ac:dyDescent="0.25">
      <c r="A134" s="349" t="s">
        <v>230</v>
      </c>
      <c r="B134" s="349" t="s">
        <v>500</v>
      </c>
      <c r="C134" s="352">
        <v>3</v>
      </c>
      <c r="D134" s="352">
        <v>1</v>
      </c>
      <c r="E134" s="352">
        <v>1</v>
      </c>
      <c r="F134" s="254"/>
      <c r="G134" s="271">
        <v>70</v>
      </c>
      <c r="H134" s="250"/>
      <c r="I134" s="250"/>
      <c r="J134" s="270">
        <v>5</v>
      </c>
      <c r="K134" s="250"/>
      <c r="L134" s="250"/>
      <c r="M134" s="252"/>
      <c r="N134" s="252"/>
      <c r="O134" s="252"/>
      <c r="P134" s="252"/>
      <c r="Q134" s="1447"/>
    </row>
    <row r="135" spans="1:17" s="3" customFormat="1" ht="25" customHeight="1" x14ac:dyDescent="0.25">
      <c r="A135" s="349" t="s">
        <v>231</v>
      </c>
      <c r="B135" s="353" t="s">
        <v>622</v>
      </c>
      <c r="C135" s="352">
        <v>3</v>
      </c>
      <c r="D135" s="352">
        <v>1</v>
      </c>
      <c r="E135" s="352">
        <v>1</v>
      </c>
      <c r="F135" s="259"/>
      <c r="G135" s="259"/>
      <c r="H135" s="259"/>
      <c r="I135" s="246"/>
      <c r="J135" s="246"/>
      <c r="K135" s="246"/>
      <c r="L135" s="252"/>
      <c r="M135" s="252"/>
      <c r="N135" s="252"/>
      <c r="O135" s="252"/>
      <c r="P135" s="252"/>
      <c r="Q135" s="253"/>
    </row>
    <row r="136" spans="1:17" s="3" customFormat="1" ht="25" customHeight="1" x14ac:dyDescent="0.25">
      <c r="A136" s="354" t="s">
        <v>282</v>
      </c>
      <c r="B136" s="353" t="s">
        <v>623</v>
      </c>
      <c r="C136" s="352">
        <v>3</v>
      </c>
      <c r="D136" s="352">
        <v>1</v>
      </c>
      <c r="E136" s="352">
        <v>1</v>
      </c>
      <c r="F136" s="259"/>
      <c r="G136" s="259"/>
      <c r="H136" s="259"/>
      <c r="I136" s="246"/>
      <c r="J136" s="246"/>
      <c r="K136" s="246"/>
      <c r="L136" s="252"/>
      <c r="M136" s="252"/>
      <c r="N136" s="252"/>
      <c r="O136" s="252"/>
      <c r="P136" s="252"/>
      <c r="Q136" s="253"/>
    </row>
    <row r="137" spans="1:17" s="3" customFormat="1" ht="25" customHeight="1" x14ac:dyDescent="0.25">
      <c r="A137" s="354"/>
      <c r="B137" s="353"/>
      <c r="C137" s="352">
        <f>SUM(C130:C136)</f>
        <v>21</v>
      </c>
      <c r="D137" s="352">
        <f>SUM(D130:D136)</f>
        <v>7</v>
      </c>
      <c r="E137" s="352">
        <f>SUM(E130:E136)</f>
        <v>7</v>
      </c>
      <c r="F137" s="254">
        <f t="shared" ref="F137:F145" si="14">I137+J137+K137</f>
        <v>3638.25</v>
      </c>
      <c r="G137" s="271">
        <v>13</v>
      </c>
      <c r="H137" s="249">
        <f>C137*D137*E137*G137</f>
        <v>13377</v>
      </c>
      <c r="I137" s="251">
        <f>IF(G137&lt;70, C137*E137*16.5*1.5, C137*E137*16.5*1.5)</f>
        <v>3638.25</v>
      </c>
      <c r="J137" s="246"/>
      <c r="K137" s="246"/>
      <c r="L137" s="252"/>
      <c r="M137" s="252"/>
      <c r="N137" s="252"/>
      <c r="O137" s="252"/>
      <c r="P137" s="252"/>
      <c r="Q137" s="253"/>
    </row>
    <row r="138" spans="1:17" s="3" customFormat="1" ht="25" customHeight="1" x14ac:dyDescent="0.25">
      <c r="A138" s="359" t="s">
        <v>148</v>
      </c>
      <c r="B138" s="360" t="s">
        <v>470</v>
      </c>
      <c r="C138" s="352"/>
      <c r="D138" s="352"/>
      <c r="E138" s="352"/>
      <c r="F138" s="254">
        <f t="shared" si="14"/>
        <v>0</v>
      </c>
      <c r="G138" s="271">
        <v>13</v>
      </c>
      <c r="H138" s="249">
        <f t="shared" ref="H138:H143" si="15">C138*D138*E138*G138</f>
        <v>0</v>
      </c>
      <c r="I138" s="251">
        <f t="shared" ref="I138:I143" si="16">IF(G138&lt;70, C138*E138*16.5*1.5, C138*E138*16.5*1.5)</f>
        <v>0</v>
      </c>
      <c r="J138" s="246"/>
      <c r="K138" s="246"/>
      <c r="L138" s="252"/>
      <c r="M138" s="252"/>
      <c r="N138" s="252"/>
      <c r="O138" s="252"/>
      <c r="P138" s="252"/>
      <c r="Q138" s="253"/>
    </row>
    <row r="139" spans="1:17" s="3" customFormat="1" ht="25" customHeight="1" x14ac:dyDescent="0.25">
      <c r="A139" s="359"/>
      <c r="B139" s="349" t="s">
        <v>624</v>
      </c>
      <c r="C139" s="352">
        <v>15</v>
      </c>
      <c r="D139" s="352">
        <v>1</v>
      </c>
      <c r="E139" s="352">
        <v>1</v>
      </c>
      <c r="F139" s="254">
        <f t="shared" si="14"/>
        <v>371.25</v>
      </c>
      <c r="G139" s="271">
        <v>13</v>
      </c>
      <c r="H139" s="249">
        <f t="shared" si="15"/>
        <v>195</v>
      </c>
      <c r="I139" s="251">
        <f t="shared" si="16"/>
        <v>371.25</v>
      </c>
      <c r="J139" s="246"/>
      <c r="K139" s="246"/>
      <c r="L139" s="252"/>
      <c r="M139" s="252"/>
      <c r="N139" s="252"/>
      <c r="O139" s="252"/>
      <c r="P139" s="252"/>
      <c r="Q139" s="253"/>
    </row>
    <row r="140" spans="1:17" s="3" customFormat="1" ht="25" customHeight="1" x14ac:dyDescent="0.25">
      <c r="A140" s="354"/>
      <c r="B140" s="361" t="s">
        <v>380</v>
      </c>
      <c r="C140" s="352">
        <f>SUM(C130:C139)</f>
        <v>57</v>
      </c>
      <c r="D140" s="352">
        <f>SUM(D130:D139)</f>
        <v>15</v>
      </c>
      <c r="E140" s="352">
        <f>SUM(E130:E139)</f>
        <v>15</v>
      </c>
      <c r="F140" s="254">
        <f t="shared" si="14"/>
        <v>21161.25</v>
      </c>
      <c r="G140" s="271">
        <v>13</v>
      </c>
      <c r="H140" s="249">
        <f t="shared" si="15"/>
        <v>166725</v>
      </c>
      <c r="I140" s="251">
        <f t="shared" si="16"/>
        <v>21161.25</v>
      </c>
      <c r="J140" s="246"/>
      <c r="K140" s="246"/>
      <c r="L140" s="252"/>
      <c r="M140" s="252"/>
      <c r="N140" s="252"/>
      <c r="O140" s="252"/>
      <c r="P140" s="252"/>
      <c r="Q140" s="253"/>
    </row>
    <row r="141" spans="1:17" s="3" customFormat="1" ht="25" customHeight="1" x14ac:dyDescent="0.25">
      <c r="A141" s="355">
        <v>1</v>
      </c>
      <c r="B141" s="357" t="s">
        <v>225</v>
      </c>
      <c r="C141" s="352"/>
      <c r="D141" s="352"/>
      <c r="E141" s="352"/>
      <c r="F141" s="254">
        <f t="shared" si="14"/>
        <v>0</v>
      </c>
      <c r="G141" s="271">
        <v>13</v>
      </c>
      <c r="H141" s="249">
        <f>C141*D141*E141*G141</f>
        <v>0</v>
      </c>
      <c r="I141" s="251">
        <f t="shared" si="16"/>
        <v>0</v>
      </c>
      <c r="J141" s="246"/>
      <c r="K141" s="246"/>
      <c r="L141" s="252"/>
      <c r="M141" s="252"/>
      <c r="N141" s="252"/>
      <c r="O141" s="252"/>
      <c r="P141" s="252"/>
      <c r="Q141" s="253"/>
    </row>
    <row r="142" spans="1:17" s="3" customFormat="1" ht="25" customHeight="1" x14ac:dyDescent="0.25">
      <c r="A142" s="355" t="s">
        <v>381</v>
      </c>
      <c r="B142" s="357" t="s">
        <v>163</v>
      </c>
      <c r="C142" s="352"/>
      <c r="D142" s="352"/>
      <c r="E142" s="352"/>
      <c r="F142" s="254">
        <f t="shared" si="14"/>
        <v>0</v>
      </c>
      <c r="G142" s="271">
        <v>13</v>
      </c>
      <c r="H142" s="249">
        <f t="shared" si="15"/>
        <v>0</v>
      </c>
      <c r="I142" s="251">
        <f t="shared" si="16"/>
        <v>0</v>
      </c>
      <c r="J142" s="246"/>
      <c r="K142" s="246"/>
      <c r="L142" s="252"/>
      <c r="M142" s="252"/>
      <c r="N142" s="252"/>
      <c r="O142" s="252"/>
      <c r="P142" s="252"/>
      <c r="Q142" s="253"/>
    </row>
    <row r="143" spans="1:17" s="3" customFormat="1" ht="25" customHeight="1" x14ac:dyDescent="0.25">
      <c r="A143" s="354" t="s">
        <v>228</v>
      </c>
      <c r="B143" s="350" t="s">
        <v>625</v>
      </c>
      <c r="C143" s="352">
        <v>3</v>
      </c>
      <c r="D143" s="352">
        <v>1</v>
      </c>
      <c r="E143" s="352">
        <v>7</v>
      </c>
      <c r="F143" s="254">
        <f t="shared" si="14"/>
        <v>519.75</v>
      </c>
      <c r="G143" s="271">
        <v>13</v>
      </c>
      <c r="H143" s="249">
        <f t="shared" si="15"/>
        <v>273</v>
      </c>
      <c r="I143" s="251">
        <f t="shared" si="16"/>
        <v>519.75</v>
      </c>
      <c r="J143" s="246"/>
      <c r="K143" s="246"/>
      <c r="L143" s="252"/>
      <c r="M143" s="252"/>
      <c r="N143" s="252"/>
      <c r="O143" s="252"/>
      <c r="P143" s="252"/>
      <c r="Q143" s="253"/>
    </row>
    <row r="144" spans="1:17" s="3" customFormat="1" ht="25" customHeight="1" x14ac:dyDescent="0.25">
      <c r="A144" s="354" t="s">
        <v>229</v>
      </c>
      <c r="B144" s="350" t="s">
        <v>626</v>
      </c>
      <c r="C144" s="352">
        <v>3</v>
      </c>
      <c r="D144" s="352">
        <v>1</v>
      </c>
      <c r="E144" s="352">
        <v>7</v>
      </c>
      <c r="F144" s="259"/>
      <c r="G144" s="259"/>
      <c r="H144" s="259"/>
      <c r="I144" s="275"/>
      <c r="J144" s="275"/>
      <c r="K144" s="246"/>
      <c r="L144" s="252"/>
      <c r="M144" s="252"/>
      <c r="N144" s="252"/>
      <c r="O144" s="252"/>
      <c r="P144" s="252"/>
      <c r="Q144" s="253"/>
    </row>
    <row r="145" spans="1:17" s="3" customFormat="1" ht="25" customHeight="1" x14ac:dyDescent="0.25">
      <c r="A145" s="354" t="s">
        <v>230</v>
      </c>
      <c r="B145" s="350" t="s">
        <v>627</v>
      </c>
      <c r="C145" s="352">
        <v>2</v>
      </c>
      <c r="D145" s="352">
        <v>1</v>
      </c>
      <c r="E145" s="352">
        <v>10</v>
      </c>
      <c r="F145" s="254">
        <f t="shared" si="14"/>
        <v>14700</v>
      </c>
      <c r="G145" s="259">
        <v>42</v>
      </c>
      <c r="H145" s="249">
        <f>C145*D145*E145*G145</f>
        <v>840</v>
      </c>
      <c r="I145" s="251">
        <f>E145*G145*35</f>
        <v>14700</v>
      </c>
      <c r="J145" s="275"/>
      <c r="K145" s="246"/>
      <c r="L145" s="252"/>
      <c r="M145" s="252"/>
      <c r="N145" s="252"/>
      <c r="O145" s="252"/>
      <c r="P145" s="252"/>
      <c r="Q145" s="253"/>
    </row>
    <row r="146" spans="1:17" s="3" customFormat="1" ht="25" customHeight="1" x14ac:dyDescent="0.25">
      <c r="A146" s="354" t="s">
        <v>231</v>
      </c>
      <c r="B146" s="350" t="s">
        <v>628</v>
      </c>
      <c r="C146" s="352">
        <v>3</v>
      </c>
      <c r="D146" s="352">
        <v>1</v>
      </c>
      <c r="E146" s="352">
        <v>16</v>
      </c>
      <c r="F146" s="259">
        <f>SUM(F137:F145)</f>
        <v>40390.5</v>
      </c>
      <c r="G146" s="276">
        <f>SUM(G137:G145)</f>
        <v>133</v>
      </c>
      <c r="H146" s="276">
        <f>SUM(H137:H145)</f>
        <v>181410</v>
      </c>
      <c r="I146" s="276">
        <f>SUM(I137:I145)</f>
        <v>40390.5</v>
      </c>
      <c r="J146" s="246">
        <v>0</v>
      </c>
      <c r="K146" s="246">
        <v>0</v>
      </c>
      <c r="L146" s="252"/>
      <c r="M146" s="252"/>
      <c r="N146" s="252"/>
      <c r="O146" s="252"/>
      <c r="P146" s="252"/>
      <c r="Q146" s="253"/>
    </row>
    <row r="147" spans="1:17" s="3" customFormat="1" ht="25" customHeight="1" x14ac:dyDescent="0.25">
      <c r="A147" s="354" t="s">
        <v>282</v>
      </c>
      <c r="B147" s="350" t="s">
        <v>629</v>
      </c>
      <c r="C147" s="352">
        <v>2</v>
      </c>
      <c r="D147" s="352">
        <v>1</v>
      </c>
      <c r="E147" s="352">
        <v>10</v>
      </c>
      <c r="F147" s="259"/>
      <c r="G147" s="259"/>
      <c r="H147" s="259"/>
      <c r="I147" s="275"/>
      <c r="J147" s="252"/>
      <c r="K147" s="252"/>
      <c r="L147" s="252"/>
      <c r="M147" s="252"/>
      <c r="N147" s="252"/>
      <c r="O147" s="252"/>
      <c r="P147" s="252"/>
      <c r="Q147" s="253"/>
    </row>
    <row r="148" spans="1:17" s="3" customFormat="1" ht="25" customHeight="1" x14ac:dyDescent="0.25">
      <c r="A148" s="354" t="s">
        <v>284</v>
      </c>
      <c r="B148" s="353" t="s">
        <v>630</v>
      </c>
      <c r="C148" s="352">
        <v>3</v>
      </c>
      <c r="D148" s="352">
        <v>1</v>
      </c>
      <c r="E148" s="352">
        <v>10</v>
      </c>
      <c r="F148" s="259"/>
      <c r="G148" s="259"/>
      <c r="H148" s="259"/>
      <c r="I148" s="275"/>
      <c r="J148" s="252"/>
      <c r="K148" s="252"/>
      <c r="L148" s="252"/>
      <c r="M148" s="252"/>
      <c r="N148" s="252"/>
      <c r="O148" s="252"/>
      <c r="P148" s="252"/>
      <c r="Q148" s="253"/>
    </row>
    <row r="149" spans="1:17" s="3" customFormat="1" ht="25" customHeight="1" x14ac:dyDescent="0.25">
      <c r="A149" s="354" t="s">
        <v>286</v>
      </c>
      <c r="B149" s="349" t="s">
        <v>631</v>
      </c>
      <c r="C149" s="352">
        <v>3</v>
      </c>
      <c r="D149" s="352">
        <v>1</v>
      </c>
      <c r="E149" s="352">
        <v>10</v>
      </c>
      <c r="F149" s="254">
        <f t="shared" ref="F149:F163" si="17">I149+J149+K149</f>
        <v>643.5</v>
      </c>
      <c r="G149" s="271">
        <v>70</v>
      </c>
      <c r="H149" s="249">
        <f t="shared" ref="H149:H163" si="18">C149*D149*E149*G149</f>
        <v>2100</v>
      </c>
      <c r="I149" s="251">
        <f>IF(G149&lt;70, C149*E149*16.5*1, C149*E149*16.5*1.3)</f>
        <v>643.5</v>
      </c>
      <c r="J149" s="252"/>
      <c r="K149" s="252"/>
      <c r="L149" s="252"/>
      <c r="M149" s="252"/>
      <c r="N149" s="252"/>
      <c r="O149" s="252"/>
      <c r="P149" s="252"/>
      <c r="Q149" s="253"/>
    </row>
    <row r="150" spans="1:17" s="3" customFormat="1" ht="25" customHeight="1" x14ac:dyDescent="0.25">
      <c r="A150" s="354" t="s">
        <v>289</v>
      </c>
      <c r="B150" s="349" t="s">
        <v>388</v>
      </c>
      <c r="C150" s="352">
        <v>3</v>
      </c>
      <c r="D150" s="352">
        <v>1</v>
      </c>
      <c r="E150" s="352">
        <v>16</v>
      </c>
      <c r="F150" s="254">
        <f t="shared" si="17"/>
        <v>1029.6000000000001</v>
      </c>
      <c r="G150" s="271">
        <v>70</v>
      </c>
      <c r="H150" s="249">
        <f t="shared" si="18"/>
        <v>3360</v>
      </c>
      <c r="I150" s="251">
        <f t="shared" ref="I150:I163" si="19">IF(G150&lt;70, C150*E150*16.5*1, C150*E150*16.5*1.3)</f>
        <v>1029.6000000000001</v>
      </c>
      <c r="J150" s="252"/>
      <c r="K150" s="252"/>
      <c r="L150" s="252"/>
      <c r="M150" s="252"/>
      <c r="N150" s="252"/>
      <c r="O150" s="252"/>
      <c r="P150" s="252"/>
      <c r="Q150" s="253"/>
    </row>
    <row r="151" spans="1:17" s="3" customFormat="1" ht="25" customHeight="1" x14ac:dyDescent="0.25">
      <c r="A151" s="354" t="s">
        <v>290</v>
      </c>
      <c r="B151" s="349" t="s">
        <v>632</v>
      </c>
      <c r="C151" s="352">
        <v>4</v>
      </c>
      <c r="D151" s="352">
        <v>1</v>
      </c>
      <c r="E151" s="352">
        <v>10</v>
      </c>
      <c r="F151" s="254">
        <f t="shared" si="17"/>
        <v>858</v>
      </c>
      <c r="G151" s="271">
        <v>70</v>
      </c>
      <c r="H151" s="249">
        <f t="shared" si="18"/>
        <v>2800</v>
      </c>
      <c r="I151" s="251">
        <f t="shared" si="19"/>
        <v>858</v>
      </c>
      <c r="J151" s="252"/>
      <c r="K151" s="252"/>
      <c r="L151" s="252"/>
      <c r="M151" s="252"/>
      <c r="N151" s="252"/>
      <c r="O151" s="252"/>
      <c r="P151" s="252"/>
      <c r="Q151" s="253"/>
    </row>
    <row r="152" spans="1:17" s="3" customFormat="1" ht="25" customHeight="1" x14ac:dyDescent="0.25">
      <c r="A152" s="354" t="s">
        <v>291</v>
      </c>
      <c r="B152" s="349" t="s">
        <v>633</v>
      </c>
      <c r="C152" s="352">
        <v>4</v>
      </c>
      <c r="D152" s="352">
        <v>1</v>
      </c>
      <c r="E152" s="352">
        <v>8</v>
      </c>
      <c r="F152" s="254">
        <f t="shared" si="17"/>
        <v>686.4</v>
      </c>
      <c r="G152" s="271">
        <v>70</v>
      </c>
      <c r="H152" s="249">
        <f t="shared" si="18"/>
        <v>2240</v>
      </c>
      <c r="I152" s="251">
        <f t="shared" si="19"/>
        <v>686.4</v>
      </c>
      <c r="J152" s="252"/>
      <c r="K152" s="252"/>
      <c r="L152" s="252"/>
      <c r="M152" s="252"/>
      <c r="N152" s="252"/>
      <c r="O152" s="252"/>
      <c r="P152" s="252"/>
      <c r="Q152" s="253"/>
    </row>
    <row r="153" spans="1:17" s="3" customFormat="1" ht="25" customHeight="1" x14ac:dyDescent="0.25">
      <c r="A153" s="354" t="s">
        <v>292</v>
      </c>
      <c r="B153" s="349" t="s">
        <v>634</v>
      </c>
      <c r="C153" s="352">
        <v>4</v>
      </c>
      <c r="D153" s="352">
        <v>1</v>
      </c>
      <c r="E153" s="352">
        <v>8</v>
      </c>
      <c r="F153" s="254">
        <f t="shared" si="17"/>
        <v>686.4</v>
      </c>
      <c r="G153" s="271">
        <v>70</v>
      </c>
      <c r="H153" s="249">
        <f t="shared" si="18"/>
        <v>2240</v>
      </c>
      <c r="I153" s="251">
        <f t="shared" si="19"/>
        <v>686.4</v>
      </c>
      <c r="J153" s="270"/>
      <c r="K153" s="270"/>
      <c r="L153" s="270"/>
      <c r="M153" s="270"/>
      <c r="N153" s="270"/>
      <c r="O153" s="270"/>
      <c r="P153" s="270"/>
      <c r="Q153" s="254"/>
    </row>
    <row r="154" spans="1:17" s="3" customFormat="1" ht="25" customHeight="1" x14ac:dyDescent="0.25">
      <c r="A154" s="274" t="s">
        <v>231</v>
      </c>
      <c r="B154" s="277" t="s">
        <v>382</v>
      </c>
      <c r="C154" s="271">
        <v>4</v>
      </c>
      <c r="D154" s="271">
        <v>1</v>
      </c>
      <c r="E154" s="271">
        <v>16</v>
      </c>
      <c r="F154" s="254">
        <f t="shared" si="17"/>
        <v>1372.8</v>
      </c>
      <c r="G154" s="271">
        <v>70</v>
      </c>
      <c r="H154" s="249">
        <f t="shared" si="18"/>
        <v>4480</v>
      </c>
      <c r="I154" s="251">
        <f t="shared" si="19"/>
        <v>1372.8</v>
      </c>
      <c r="J154" s="270"/>
      <c r="K154" s="270"/>
      <c r="L154" s="270"/>
      <c r="M154" s="270"/>
      <c r="N154" s="270"/>
      <c r="O154" s="270"/>
      <c r="P154" s="270"/>
      <c r="Q154" s="254"/>
    </row>
    <row r="155" spans="1:17" s="3" customFormat="1" ht="25" customHeight="1" x14ac:dyDescent="0.25">
      <c r="A155" s="274" t="s">
        <v>282</v>
      </c>
      <c r="B155" s="277" t="s">
        <v>383</v>
      </c>
      <c r="C155" s="271">
        <v>2</v>
      </c>
      <c r="D155" s="271">
        <v>1</v>
      </c>
      <c r="E155" s="271">
        <v>16</v>
      </c>
      <c r="F155" s="254">
        <f t="shared" si="17"/>
        <v>686.4</v>
      </c>
      <c r="G155" s="271">
        <v>80</v>
      </c>
      <c r="H155" s="249">
        <f t="shared" si="18"/>
        <v>2560</v>
      </c>
      <c r="I155" s="251">
        <f t="shared" si="19"/>
        <v>686.4</v>
      </c>
      <c r="J155" s="270"/>
      <c r="K155" s="270"/>
      <c r="L155" s="270"/>
      <c r="M155" s="270"/>
      <c r="N155" s="270"/>
      <c r="O155" s="270"/>
      <c r="P155" s="270"/>
      <c r="Q155" s="254"/>
    </row>
    <row r="156" spans="1:17" s="3" customFormat="1" ht="25" customHeight="1" x14ac:dyDescent="0.25">
      <c r="A156" s="274" t="s">
        <v>283</v>
      </c>
      <c r="B156" s="277" t="s">
        <v>384</v>
      </c>
      <c r="C156" s="271">
        <v>4</v>
      </c>
      <c r="D156" s="271">
        <v>1</v>
      </c>
      <c r="E156" s="271">
        <v>16</v>
      </c>
      <c r="F156" s="254">
        <f t="shared" si="17"/>
        <v>1372.8</v>
      </c>
      <c r="G156" s="271">
        <v>70</v>
      </c>
      <c r="H156" s="249">
        <f t="shared" si="18"/>
        <v>4480</v>
      </c>
      <c r="I156" s="251">
        <f t="shared" si="19"/>
        <v>1372.8</v>
      </c>
      <c r="J156" s="270"/>
      <c r="K156" s="270"/>
      <c r="L156" s="270"/>
      <c r="M156" s="270"/>
      <c r="N156" s="270"/>
      <c r="O156" s="270"/>
      <c r="P156" s="270"/>
      <c r="Q156" s="254"/>
    </row>
    <row r="157" spans="1:17" s="3" customFormat="1" ht="25" customHeight="1" x14ac:dyDescent="0.25">
      <c r="A157" s="274" t="s">
        <v>284</v>
      </c>
      <c r="B157" s="273" t="s">
        <v>385</v>
      </c>
      <c r="C157" s="271">
        <v>3</v>
      </c>
      <c r="D157" s="271">
        <v>1</v>
      </c>
      <c r="E157" s="271">
        <v>16</v>
      </c>
      <c r="F157" s="254">
        <f t="shared" si="17"/>
        <v>1029.6000000000001</v>
      </c>
      <c r="G157" s="271">
        <v>70</v>
      </c>
      <c r="H157" s="249">
        <f t="shared" si="18"/>
        <v>3360</v>
      </c>
      <c r="I157" s="251">
        <f t="shared" si="19"/>
        <v>1029.6000000000001</v>
      </c>
      <c r="J157" s="270"/>
      <c r="K157" s="270"/>
      <c r="L157" s="270"/>
      <c r="M157" s="270"/>
      <c r="N157" s="270"/>
      <c r="O157" s="270"/>
      <c r="P157" s="270"/>
      <c r="Q157" s="254"/>
    </row>
    <row r="158" spans="1:17" s="3" customFormat="1" ht="25" customHeight="1" x14ac:dyDescent="0.25">
      <c r="A158" s="274" t="s">
        <v>285</v>
      </c>
      <c r="B158" s="273" t="s">
        <v>386</v>
      </c>
      <c r="C158" s="271">
        <v>3</v>
      </c>
      <c r="D158" s="271">
        <v>1</v>
      </c>
      <c r="E158" s="271">
        <v>16</v>
      </c>
      <c r="F158" s="254">
        <f t="shared" si="17"/>
        <v>1029.6000000000001</v>
      </c>
      <c r="G158" s="271">
        <v>70</v>
      </c>
      <c r="H158" s="249">
        <f t="shared" si="18"/>
        <v>3360</v>
      </c>
      <c r="I158" s="251">
        <f t="shared" si="19"/>
        <v>1029.6000000000001</v>
      </c>
      <c r="J158" s="270"/>
      <c r="K158" s="270"/>
      <c r="L158" s="270"/>
      <c r="M158" s="270"/>
      <c r="N158" s="270"/>
      <c r="O158" s="270"/>
      <c r="P158" s="270"/>
      <c r="Q158" s="254"/>
    </row>
    <row r="159" spans="1:17" s="3" customFormat="1" ht="25" customHeight="1" x14ac:dyDescent="0.25">
      <c r="A159" s="274" t="s">
        <v>286</v>
      </c>
      <c r="B159" s="272" t="s">
        <v>387</v>
      </c>
      <c r="C159" s="271">
        <v>3</v>
      </c>
      <c r="D159" s="271">
        <v>1</v>
      </c>
      <c r="E159" s="271">
        <v>16</v>
      </c>
      <c r="F159" s="254">
        <f t="shared" si="17"/>
        <v>1029.6000000000001</v>
      </c>
      <c r="G159" s="271">
        <v>70</v>
      </c>
      <c r="H159" s="249">
        <f t="shared" si="18"/>
        <v>3360</v>
      </c>
      <c r="I159" s="251">
        <f t="shared" si="19"/>
        <v>1029.6000000000001</v>
      </c>
      <c r="J159" s="270"/>
      <c r="K159" s="270"/>
      <c r="L159" s="270"/>
      <c r="M159" s="270"/>
      <c r="N159" s="270"/>
      <c r="O159" s="270"/>
      <c r="P159" s="270"/>
      <c r="Q159" s="254"/>
    </row>
    <row r="160" spans="1:17" s="3" customFormat="1" ht="25" customHeight="1" x14ac:dyDescent="0.25">
      <c r="A160" s="274" t="s">
        <v>289</v>
      </c>
      <c r="B160" s="272" t="s">
        <v>388</v>
      </c>
      <c r="C160" s="271">
        <v>3</v>
      </c>
      <c r="D160" s="271">
        <v>1</v>
      </c>
      <c r="E160" s="271">
        <v>16</v>
      </c>
      <c r="F160" s="254">
        <f t="shared" si="17"/>
        <v>1029.6000000000001</v>
      </c>
      <c r="G160" s="271">
        <v>70</v>
      </c>
      <c r="H160" s="249">
        <f t="shared" si="18"/>
        <v>3360</v>
      </c>
      <c r="I160" s="251">
        <f t="shared" si="19"/>
        <v>1029.6000000000001</v>
      </c>
      <c r="J160" s="270"/>
      <c r="K160" s="270"/>
      <c r="L160" s="270"/>
      <c r="M160" s="270"/>
      <c r="N160" s="270"/>
      <c r="O160" s="270"/>
      <c r="P160" s="270"/>
      <c r="Q160" s="254"/>
    </row>
    <row r="161" spans="1:17" s="3" customFormat="1" ht="25" customHeight="1" x14ac:dyDescent="0.25">
      <c r="A161" s="274" t="s">
        <v>290</v>
      </c>
      <c r="B161" s="272" t="s">
        <v>389</v>
      </c>
      <c r="C161" s="271">
        <v>4</v>
      </c>
      <c r="D161" s="271">
        <v>1</v>
      </c>
      <c r="E161" s="271">
        <v>10</v>
      </c>
      <c r="F161" s="254">
        <f t="shared" si="17"/>
        <v>858</v>
      </c>
      <c r="G161" s="271">
        <v>70</v>
      </c>
      <c r="H161" s="249">
        <f t="shared" si="18"/>
        <v>2800</v>
      </c>
      <c r="I161" s="251">
        <f t="shared" si="19"/>
        <v>858</v>
      </c>
      <c r="J161" s="270"/>
      <c r="K161" s="270"/>
      <c r="L161" s="270"/>
      <c r="M161" s="270"/>
      <c r="N161" s="270"/>
      <c r="O161" s="270"/>
      <c r="P161" s="270"/>
      <c r="Q161" s="254"/>
    </row>
    <row r="162" spans="1:17" s="3" customFormat="1" ht="25" customHeight="1" x14ac:dyDescent="0.25">
      <c r="A162" s="274" t="s">
        <v>291</v>
      </c>
      <c r="B162" s="272" t="s">
        <v>390</v>
      </c>
      <c r="C162" s="271">
        <v>4</v>
      </c>
      <c r="D162" s="271">
        <v>1</v>
      </c>
      <c r="E162" s="271">
        <v>13</v>
      </c>
      <c r="F162" s="254">
        <f t="shared" si="17"/>
        <v>1115.4000000000001</v>
      </c>
      <c r="G162" s="271">
        <v>70</v>
      </c>
      <c r="H162" s="249">
        <f t="shared" si="18"/>
        <v>3640</v>
      </c>
      <c r="I162" s="251">
        <f t="shared" si="19"/>
        <v>1115.4000000000001</v>
      </c>
      <c r="J162" s="270"/>
      <c r="K162" s="270"/>
      <c r="L162" s="270"/>
      <c r="M162" s="270"/>
      <c r="N162" s="270"/>
      <c r="O162" s="270"/>
      <c r="P162" s="270"/>
      <c r="Q162" s="254"/>
    </row>
    <row r="163" spans="1:17" s="3" customFormat="1" ht="25" customHeight="1" x14ac:dyDescent="0.25">
      <c r="A163" s="274" t="s">
        <v>292</v>
      </c>
      <c r="B163" s="272" t="s">
        <v>391</v>
      </c>
      <c r="C163" s="271">
        <v>4</v>
      </c>
      <c r="D163" s="271">
        <v>1</v>
      </c>
      <c r="E163" s="271">
        <v>16</v>
      </c>
      <c r="F163" s="254">
        <f t="shared" si="17"/>
        <v>1372.8</v>
      </c>
      <c r="G163" s="271">
        <v>70</v>
      </c>
      <c r="H163" s="249">
        <f t="shared" si="18"/>
        <v>4480</v>
      </c>
      <c r="I163" s="251">
        <f t="shared" si="19"/>
        <v>1372.8</v>
      </c>
      <c r="J163" s="270"/>
      <c r="K163" s="270"/>
      <c r="L163" s="270"/>
      <c r="M163" s="270"/>
      <c r="N163" s="270"/>
      <c r="O163" s="270"/>
      <c r="P163" s="270"/>
      <c r="Q163" s="254"/>
    </row>
    <row r="164" spans="1:17" s="3" customFormat="1" ht="25" customHeight="1" x14ac:dyDescent="0.25">
      <c r="A164" s="274"/>
      <c r="B164" s="278" t="s">
        <v>392</v>
      </c>
      <c r="C164" s="279">
        <f>SUM(C149:C163)</f>
        <v>52</v>
      </c>
      <c r="D164" s="279">
        <f t="shared" ref="D164:K164" si="20">SUM(D149:D163)</f>
        <v>15</v>
      </c>
      <c r="E164" s="279">
        <f t="shared" si="20"/>
        <v>203</v>
      </c>
      <c r="F164" s="271">
        <f t="shared" si="20"/>
        <v>14800.5</v>
      </c>
      <c r="G164" s="279">
        <f t="shared" si="20"/>
        <v>1060</v>
      </c>
      <c r="H164" s="279">
        <f t="shared" si="20"/>
        <v>48620</v>
      </c>
      <c r="I164" s="279">
        <f t="shared" si="20"/>
        <v>14800.5</v>
      </c>
      <c r="J164" s="279">
        <f t="shared" si="20"/>
        <v>0</v>
      </c>
      <c r="K164" s="279">
        <f t="shared" si="20"/>
        <v>0</v>
      </c>
      <c r="L164" s="270"/>
      <c r="M164" s="270"/>
      <c r="N164" s="270"/>
      <c r="O164" s="270"/>
      <c r="P164" s="270"/>
      <c r="Q164" s="254"/>
    </row>
    <row r="165" spans="1:17" s="3" customFormat="1" ht="25" customHeight="1" x14ac:dyDescent="0.25">
      <c r="A165" s="280"/>
      <c r="B165" s="281" t="s">
        <v>393</v>
      </c>
      <c r="C165" s="282">
        <f t="shared" ref="C165:K165" si="21">C126+C164+C146</f>
        <v>55</v>
      </c>
      <c r="D165" s="282">
        <f t="shared" si="21"/>
        <v>16</v>
      </c>
      <c r="E165" s="282">
        <f t="shared" si="21"/>
        <v>219</v>
      </c>
      <c r="F165" s="317">
        <f t="shared" si="21"/>
        <v>59096.850000000006</v>
      </c>
      <c r="G165" s="282">
        <f t="shared" si="21"/>
        <v>2512</v>
      </c>
      <c r="H165" s="282">
        <f t="shared" si="21"/>
        <v>242109.56</v>
      </c>
      <c r="I165" s="282">
        <f t="shared" si="21"/>
        <v>58898.850000000006</v>
      </c>
      <c r="J165" s="282">
        <f t="shared" si="21"/>
        <v>198</v>
      </c>
      <c r="K165" s="282">
        <f t="shared" si="21"/>
        <v>0</v>
      </c>
      <c r="L165" s="264">
        <f>'Bieu3 GDMN'!F25</f>
        <v>2700</v>
      </c>
      <c r="M165" s="264">
        <f>'Bieu3 GDMN'!N25</f>
        <v>2376</v>
      </c>
      <c r="N165" s="263">
        <f>I165-M165</f>
        <v>56522.850000000006</v>
      </c>
      <c r="O165" s="264">
        <f>'Bieu3 GDMN'!O25</f>
        <v>1709.75</v>
      </c>
      <c r="P165" s="264">
        <f>'Bieu3 GDMN'!P25</f>
        <v>960</v>
      </c>
      <c r="Q165" s="265"/>
    </row>
    <row r="166" spans="1:17" s="3" customFormat="1" ht="25" customHeight="1" x14ac:dyDescent="0.25">
      <c r="A166" s="283"/>
      <c r="B166" s="284"/>
      <c r="C166" s="257"/>
      <c r="D166" s="257"/>
      <c r="E166" s="257"/>
      <c r="F166" s="257"/>
      <c r="G166" s="257"/>
      <c r="H166" s="257"/>
      <c r="I166" s="285"/>
      <c r="J166" s="252"/>
      <c r="K166" s="252"/>
      <c r="L166" s="252"/>
      <c r="M166" s="252"/>
      <c r="N166" s="252"/>
      <c r="O166" s="252"/>
      <c r="P166" s="252"/>
      <c r="Q166" s="253"/>
    </row>
    <row r="167" spans="1:17" s="3" customFormat="1" ht="25" customHeight="1" x14ac:dyDescent="0.25">
      <c r="A167" s="286" t="s">
        <v>422</v>
      </c>
      <c r="B167" s="286" t="s">
        <v>423</v>
      </c>
      <c r="C167" s="287"/>
      <c r="D167" s="287"/>
      <c r="E167" s="287"/>
      <c r="F167" s="318"/>
      <c r="G167" s="287"/>
      <c r="H167" s="257"/>
      <c r="I167" s="285"/>
      <c r="J167" s="252"/>
      <c r="K167" s="252"/>
      <c r="L167" s="252"/>
      <c r="M167" s="252"/>
      <c r="N167" s="252"/>
      <c r="O167" s="252"/>
      <c r="P167" s="252"/>
      <c r="Q167" s="253"/>
    </row>
    <row r="168" spans="1:17" s="3" customFormat="1" ht="25" customHeight="1" x14ac:dyDescent="0.25">
      <c r="A168" s="288" t="s">
        <v>7</v>
      </c>
      <c r="B168" s="288" t="s">
        <v>223</v>
      </c>
      <c r="C168" s="287"/>
      <c r="D168" s="287"/>
      <c r="E168" s="287"/>
      <c r="F168" s="318"/>
      <c r="G168" s="287"/>
      <c r="H168" s="257"/>
      <c r="I168" s="285"/>
      <c r="J168" s="252"/>
      <c r="K168" s="252"/>
      <c r="L168" s="252"/>
      <c r="M168" s="252"/>
      <c r="N168" s="252"/>
      <c r="O168" s="252"/>
      <c r="P168" s="252"/>
      <c r="Q168" s="253"/>
    </row>
    <row r="169" spans="1:17" s="3" customFormat="1" ht="25" customHeight="1" x14ac:dyDescent="0.25">
      <c r="A169" s="288">
        <v>1</v>
      </c>
      <c r="B169" s="288" t="s">
        <v>4</v>
      </c>
      <c r="C169" s="287"/>
      <c r="D169" s="287"/>
      <c r="E169" s="287"/>
      <c r="F169" s="318"/>
      <c r="G169" s="287"/>
      <c r="H169" s="257"/>
      <c r="I169" s="285"/>
      <c r="J169" s="252"/>
      <c r="K169" s="252"/>
      <c r="L169" s="252"/>
      <c r="M169" s="252"/>
      <c r="N169" s="252"/>
      <c r="O169" s="252"/>
      <c r="P169" s="252"/>
      <c r="Q169" s="253"/>
    </row>
    <row r="170" spans="1:17" s="3" customFormat="1" ht="25" customHeight="1" x14ac:dyDescent="0.25">
      <c r="A170" s="289" t="s">
        <v>147</v>
      </c>
      <c r="B170" s="290" t="s">
        <v>161</v>
      </c>
      <c r="C170" s="291"/>
      <c r="D170" s="291"/>
      <c r="E170" s="291"/>
      <c r="F170" s="295"/>
      <c r="G170" s="291"/>
      <c r="H170" s="257"/>
      <c r="I170" s="285"/>
      <c r="J170" s="252"/>
      <c r="K170" s="252"/>
      <c r="L170" s="252"/>
      <c r="M170" s="252"/>
      <c r="N170" s="252"/>
      <c r="O170" s="252"/>
      <c r="P170" s="252"/>
      <c r="Q170" s="253"/>
    </row>
    <row r="171" spans="1:17" s="3" customFormat="1" ht="25" customHeight="1" x14ac:dyDescent="0.25">
      <c r="A171" s="349" t="s">
        <v>226</v>
      </c>
      <c r="B171" s="350" t="s">
        <v>680</v>
      </c>
      <c r="C171" s="421">
        <v>4</v>
      </c>
      <c r="D171" s="351">
        <v>1</v>
      </c>
      <c r="E171" s="421">
        <v>13</v>
      </c>
      <c r="F171" s="254">
        <f t="shared" ref="F171:F184" si="22">I171+J171+K171</f>
        <v>858</v>
      </c>
      <c r="G171" s="292">
        <v>50</v>
      </c>
      <c r="H171" s="249">
        <f>C171*D171*E171*G171</f>
        <v>2600</v>
      </c>
      <c r="I171" s="251">
        <f>IF(G171&lt;70, C171*E171*16.5*1, C171*E171*16.5*1.3)</f>
        <v>858</v>
      </c>
      <c r="J171" s="252"/>
      <c r="K171" s="252"/>
      <c r="L171" s="252"/>
      <c r="M171" s="252"/>
      <c r="N171" s="252"/>
      <c r="O171" s="252"/>
      <c r="P171" s="252"/>
      <c r="Q171" s="253"/>
    </row>
    <row r="172" spans="1:17" s="3" customFormat="1" ht="25" customHeight="1" x14ac:dyDescent="0.25">
      <c r="A172" s="349" t="s">
        <v>227</v>
      </c>
      <c r="B172" s="350" t="s">
        <v>681</v>
      </c>
      <c r="C172" s="372">
        <v>3</v>
      </c>
      <c r="D172" s="352">
        <v>1</v>
      </c>
      <c r="E172" s="372">
        <v>7</v>
      </c>
      <c r="F172" s="254">
        <f t="shared" si="22"/>
        <v>450.45</v>
      </c>
      <c r="G172" s="293">
        <v>70</v>
      </c>
      <c r="H172" s="249">
        <f t="shared" ref="H172:H184" si="23">C172*D172*E172*G172</f>
        <v>1470</v>
      </c>
      <c r="I172" s="251">
        <f t="shared" ref="I172:I182" si="24">IF(G172&lt;70, C172*E172*16.5*1, C172*E172*16.5*1.3)</f>
        <v>450.45</v>
      </c>
      <c r="J172" s="252"/>
      <c r="K172" s="252"/>
      <c r="L172" s="252"/>
      <c r="M172" s="252"/>
      <c r="N172" s="252"/>
      <c r="O172" s="252"/>
      <c r="P172" s="252"/>
      <c r="Q172" s="253"/>
    </row>
    <row r="173" spans="1:17" s="3" customFormat="1" ht="25" customHeight="1" x14ac:dyDescent="0.25">
      <c r="A173" s="349" t="s">
        <v>229</v>
      </c>
      <c r="B173" s="350" t="s">
        <v>682</v>
      </c>
      <c r="C173" s="372">
        <v>5</v>
      </c>
      <c r="D173" s="352">
        <v>1</v>
      </c>
      <c r="E173" s="372">
        <v>6</v>
      </c>
      <c r="F173" s="254">
        <f t="shared" si="22"/>
        <v>643.5</v>
      </c>
      <c r="G173" s="293">
        <v>70</v>
      </c>
      <c r="H173" s="249">
        <f t="shared" si="23"/>
        <v>2100</v>
      </c>
      <c r="I173" s="251">
        <f t="shared" si="24"/>
        <v>643.5</v>
      </c>
      <c r="J173" s="252"/>
      <c r="K173" s="252"/>
      <c r="L173" s="252"/>
      <c r="M173" s="252"/>
      <c r="N173" s="252"/>
      <c r="O173" s="252"/>
      <c r="P173" s="252"/>
      <c r="Q173" s="253"/>
    </row>
    <row r="174" spans="1:17" s="3" customFormat="1" ht="25" customHeight="1" x14ac:dyDescent="0.25">
      <c r="A174" s="349" t="s">
        <v>230</v>
      </c>
      <c r="B174" s="350" t="s">
        <v>683</v>
      </c>
      <c r="C174" s="372">
        <v>2</v>
      </c>
      <c r="D174" s="352">
        <v>1</v>
      </c>
      <c r="E174" s="372">
        <v>1</v>
      </c>
      <c r="F174" s="254">
        <f t="shared" si="22"/>
        <v>33</v>
      </c>
      <c r="G174" s="293">
        <v>50</v>
      </c>
      <c r="H174" s="249">
        <f t="shared" si="23"/>
        <v>100</v>
      </c>
      <c r="I174" s="251">
        <f t="shared" si="24"/>
        <v>33</v>
      </c>
      <c r="J174" s="252"/>
      <c r="K174" s="252"/>
      <c r="L174" s="252"/>
      <c r="M174" s="252"/>
      <c r="N174" s="252"/>
      <c r="O174" s="252"/>
      <c r="P174" s="252"/>
      <c r="Q174" s="253"/>
    </row>
    <row r="175" spans="1:17" s="3" customFormat="1" ht="25" customHeight="1" x14ac:dyDescent="0.25">
      <c r="A175" s="349" t="s">
        <v>231</v>
      </c>
      <c r="B175" s="350" t="s">
        <v>411</v>
      </c>
      <c r="C175" s="372">
        <v>2</v>
      </c>
      <c r="D175" s="352">
        <v>1</v>
      </c>
      <c r="E175" s="372">
        <v>1</v>
      </c>
      <c r="F175" s="254">
        <f t="shared" si="22"/>
        <v>33</v>
      </c>
      <c r="G175" s="293">
        <v>55</v>
      </c>
      <c r="H175" s="249">
        <f t="shared" si="23"/>
        <v>110</v>
      </c>
      <c r="I175" s="251">
        <f t="shared" si="24"/>
        <v>33</v>
      </c>
      <c r="J175" s="252"/>
      <c r="K175" s="252"/>
      <c r="L175" s="252"/>
      <c r="M175" s="252"/>
      <c r="N175" s="252"/>
      <c r="O175" s="252"/>
      <c r="P175" s="252"/>
      <c r="Q175" s="253"/>
    </row>
    <row r="176" spans="1:17" s="3" customFormat="1" ht="25" customHeight="1" x14ac:dyDescent="0.25">
      <c r="A176" s="349" t="s">
        <v>285</v>
      </c>
      <c r="B176" s="350" t="s">
        <v>684</v>
      </c>
      <c r="C176" s="422">
        <v>3</v>
      </c>
      <c r="D176" s="352">
        <v>1</v>
      </c>
      <c r="E176" s="422">
        <v>1</v>
      </c>
      <c r="F176" s="254">
        <f t="shared" si="22"/>
        <v>49.5</v>
      </c>
      <c r="G176" s="293">
        <v>30</v>
      </c>
      <c r="H176" s="249">
        <f t="shared" si="23"/>
        <v>90</v>
      </c>
      <c r="I176" s="251">
        <f t="shared" si="24"/>
        <v>49.5</v>
      </c>
      <c r="J176" s="252"/>
      <c r="K176" s="252"/>
      <c r="L176" s="252"/>
      <c r="M176" s="252"/>
      <c r="N176" s="252"/>
      <c r="O176" s="252"/>
      <c r="P176" s="252"/>
      <c r="Q176" s="253"/>
    </row>
    <row r="177" spans="1:17" s="3" customFormat="1" ht="25" customHeight="1" x14ac:dyDescent="0.25">
      <c r="A177" s="349" t="s">
        <v>286</v>
      </c>
      <c r="B177" s="350" t="s">
        <v>412</v>
      </c>
      <c r="C177" s="422">
        <v>2</v>
      </c>
      <c r="D177" s="352">
        <v>1</v>
      </c>
      <c r="E177" s="422">
        <v>1</v>
      </c>
      <c r="F177" s="254">
        <f t="shared" si="22"/>
        <v>33</v>
      </c>
      <c r="G177" s="293">
        <v>30</v>
      </c>
      <c r="H177" s="249">
        <f t="shared" si="23"/>
        <v>60</v>
      </c>
      <c r="I177" s="251">
        <f t="shared" si="24"/>
        <v>33</v>
      </c>
      <c r="J177" s="252"/>
      <c r="K177" s="252"/>
      <c r="L177" s="252"/>
      <c r="M177" s="252"/>
      <c r="N177" s="252"/>
      <c r="O177" s="252"/>
      <c r="P177" s="252"/>
      <c r="Q177" s="253"/>
    </row>
    <row r="178" spans="1:17" s="3" customFormat="1" ht="25" customHeight="1" x14ac:dyDescent="0.25">
      <c r="A178" s="349" t="s">
        <v>289</v>
      </c>
      <c r="B178" s="350" t="s">
        <v>685</v>
      </c>
      <c r="C178" s="422">
        <v>2</v>
      </c>
      <c r="D178" s="352">
        <v>1</v>
      </c>
      <c r="E178" s="422">
        <v>1</v>
      </c>
      <c r="F178" s="254">
        <f t="shared" si="22"/>
        <v>33</v>
      </c>
      <c r="G178" s="293">
        <v>40</v>
      </c>
      <c r="H178" s="249">
        <f t="shared" si="23"/>
        <v>80</v>
      </c>
      <c r="I178" s="251">
        <f t="shared" si="24"/>
        <v>33</v>
      </c>
      <c r="J178" s="252"/>
      <c r="K178" s="252"/>
      <c r="L178" s="252"/>
      <c r="M178" s="252"/>
      <c r="N178" s="252"/>
      <c r="O178" s="252"/>
      <c r="P178" s="252"/>
      <c r="Q178" s="253"/>
    </row>
    <row r="179" spans="1:17" s="3" customFormat="1" ht="25" customHeight="1" x14ac:dyDescent="0.25">
      <c r="A179" s="349" t="s">
        <v>290</v>
      </c>
      <c r="B179" s="350" t="s">
        <v>686</v>
      </c>
      <c r="C179" s="422">
        <v>2</v>
      </c>
      <c r="D179" s="352">
        <v>1</v>
      </c>
      <c r="E179" s="422">
        <v>1</v>
      </c>
      <c r="F179" s="254">
        <f t="shared" si="22"/>
        <v>33</v>
      </c>
      <c r="G179" s="294">
        <v>40</v>
      </c>
      <c r="H179" s="249">
        <f t="shared" si="23"/>
        <v>80</v>
      </c>
      <c r="I179" s="251">
        <f t="shared" si="24"/>
        <v>33</v>
      </c>
      <c r="J179" s="252"/>
      <c r="K179" s="252"/>
      <c r="L179" s="252"/>
      <c r="M179" s="252"/>
      <c r="N179" s="252"/>
      <c r="O179" s="252"/>
      <c r="P179" s="252"/>
      <c r="Q179" s="253"/>
    </row>
    <row r="180" spans="1:17" s="3" customFormat="1" ht="25" customHeight="1" x14ac:dyDescent="0.25">
      <c r="A180" s="349" t="s">
        <v>291</v>
      </c>
      <c r="B180" s="350" t="s">
        <v>413</v>
      </c>
      <c r="C180" s="422">
        <v>1</v>
      </c>
      <c r="D180" s="352">
        <v>1.4</v>
      </c>
      <c r="E180" s="422">
        <v>6</v>
      </c>
      <c r="F180" s="254">
        <f t="shared" si="22"/>
        <v>99</v>
      </c>
      <c r="G180" s="294">
        <v>40</v>
      </c>
      <c r="H180" s="249">
        <f t="shared" si="23"/>
        <v>335.99999999999994</v>
      </c>
      <c r="I180" s="251">
        <f t="shared" si="24"/>
        <v>99</v>
      </c>
      <c r="J180" s="252"/>
      <c r="K180" s="252"/>
      <c r="L180" s="252"/>
      <c r="M180" s="252"/>
      <c r="N180" s="252"/>
      <c r="O180" s="252"/>
      <c r="P180" s="252"/>
      <c r="Q180" s="253"/>
    </row>
    <row r="181" spans="1:17" s="3" customFormat="1" ht="25" customHeight="1" x14ac:dyDescent="0.25">
      <c r="A181" s="349" t="s">
        <v>292</v>
      </c>
      <c r="B181" s="372" t="s">
        <v>414</v>
      </c>
      <c r="C181" s="422">
        <v>1</v>
      </c>
      <c r="D181" s="352">
        <v>1.4</v>
      </c>
      <c r="E181" s="422">
        <v>14</v>
      </c>
      <c r="F181" s="254">
        <f t="shared" si="22"/>
        <v>300.3</v>
      </c>
      <c r="G181" s="294">
        <v>80</v>
      </c>
      <c r="H181" s="249">
        <f t="shared" si="23"/>
        <v>1567.9999999999998</v>
      </c>
      <c r="I181" s="251">
        <f t="shared" si="24"/>
        <v>300.3</v>
      </c>
      <c r="J181" s="252"/>
      <c r="K181" s="252"/>
      <c r="L181" s="252"/>
      <c r="M181" s="252"/>
      <c r="N181" s="252"/>
      <c r="O181" s="252"/>
      <c r="P181" s="252"/>
      <c r="Q181" s="253"/>
    </row>
    <row r="182" spans="1:17" s="3" customFormat="1" ht="25" customHeight="1" x14ac:dyDescent="0.25">
      <c r="A182" s="354"/>
      <c r="B182" s="361" t="s">
        <v>380</v>
      </c>
      <c r="C182" s="364">
        <f>SUM(C171:C181)</f>
        <v>27</v>
      </c>
      <c r="D182" s="364">
        <f>SUM(D171:D181)</f>
        <v>11.8</v>
      </c>
      <c r="E182" s="364">
        <f>SUM(E171:E181)</f>
        <v>52</v>
      </c>
      <c r="F182" s="254">
        <f t="shared" si="22"/>
        <v>30115.8</v>
      </c>
      <c r="G182" s="294">
        <v>80</v>
      </c>
      <c r="H182" s="249">
        <f t="shared" si="23"/>
        <v>1325376</v>
      </c>
      <c r="I182" s="251">
        <f t="shared" si="24"/>
        <v>30115.8</v>
      </c>
      <c r="J182" s="252"/>
      <c r="K182" s="252"/>
      <c r="L182" s="252"/>
      <c r="M182" s="252"/>
      <c r="N182" s="252"/>
      <c r="O182" s="252"/>
      <c r="P182" s="252"/>
      <c r="Q182" s="253"/>
    </row>
    <row r="183" spans="1:17" s="3" customFormat="1" ht="25" customHeight="1" x14ac:dyDescent="0.25">
      <c r="A183" s="423">
        <v>2</v>
      </c>
      <c r="B183" s="423" t="s">
        <v>164</v>
      </c>
      <c r="C183" s="352"/>
      <c r="D183" s="352"/>
      <c r="E183" s="352"/>
      <c r="F183" s="254">
        <f t="shared" si="22"/>
        <v>0</v>
      </c>
      <c r="G183" s="294">
        <v>36</v>
      </c>
      <c r="H183" s="249">
        <f t="shared" si="23"/>
        <v>0</v>
      </c>
      <c r="I183" s="251">
        <f>E183*15</f>
        <v>0</v>
      </c>
      <c r="J183" s="252"/>
      <c r="K183" s="252"/>
      <c r="L183" s="252"/>
      <c r="M183" s="252"/>
      <c r="N183" s="252"/>
      <c r="O183" s="252"/>
      <c r="P183" s="252"/>
      <c r="Q183" s="253"/>
    </row>
    <row r="184" spans="1:17" s="3" customFormat="1" ht="25" customHeight="1" x14ac:dyDescent="0.25">
      <c r="A184" s="356" t="s">
        <v>147</v>
      </c>
      <c r="B184" s="357" t="s">
        <v>165</v>
      </c>
      <c r="C184" s="352"/>
      <c r="D184" s="352"/>
      <c r="E184" s="352"/>
      <c r="F184" s="254">
        <f t="shared" si="22"/>
        <v>0</v>
      </c>
      <c r="G184" s="294">
        <v>20</v>
      </c>
      <c r="H184" s="249">
        <f t="shared" si="23"/>
        <v>0</v>
      </c>
      <c r="I184" s="251">
        <f>E184*15</f>
        <v>0</v>
      </c>
      <c r="J184" s="252"/>
      <c r="K184" s="252"/>
      <c r="L184" s="252"/>
      <c r="M184" s="252"/>
      <c r="N184" s="252"/>
      <c r="O184" s="252"/>
      <c r="P184" s="252"/>
      <c r="Q184" s="253"/>
    </row>
    <row r="185" spans="1:17" s="3" customFormat="1" ht="25" customHeight="1" x14ac:dyDescent="0.25">
      <c r="A185" s="349" t="s">
        <v>226</v>
      </c>
      <c r="B185" s="350" t="s">
        <v>415</v>
      </c>
      <c r="C185" s="372">
        <v>3</v>
      </c>
      <c r="D185" s="352">
        <v>1</v>
      </c>
      <c r="E185" s="422">
        <v>3</v>
      </c>
      <c r="F185" s="271">
        <f>SUM(F171:F184)</f>
        <v>32681.55</v>
      </c>
      <c r="G185" s="279">
        <f>SUM(G171:G184)</f>
        <v>691</v>
      </c>
      <c r="H185" s="279">
        <f>SUM(H171:H184)</f>
        <v>1333970</v>
      </c>
      <c r="I185" s="279">
        <f>SUM(I171:I184)</f>
        <v>32681.55</v>
      </c>
      <c r="J185" s="252"/>
      <c r="K185" s="252"/>
      <c r="L185" s="252"/>
      <c r="M185" s="252"/>
      <c r="N185" s="252"/>
      <c r="O185" s="252"/>
      <c r="P185" s="252"/>
      <c r="Q185" s="253"/>
    </row>
    <row r="186" spans="1:17" s="3" customFormat="1" ht="25" customHeight="1" x14ac:dyDescent="0.25">
      <c r="A186" s="349" t="s">
        <v>227</v>
      </c>
      <c r="B186" s="350" t="s">
        <v>416</v>
      </c>
      <c r="C186" s="372">
        <v>3</v>
      </c>
      <c r="D186" s="352">
        <v>1</v>
      </c>
      <c r="E186" s="422">
        <v>1</v>
      </c>
      <c r="F186" s="295"/>
      <c r="G186" s="295"/>
      <c r="H186" s="257"/>
      <c r="I186" s="285"/>
      <c r="J186" s="252"/>
      <c r="K186" s="252"/>
      <c r="L186" s="252"/>
      <c r="M186" s="252"/>
      <c r="N186" s="252"/>
      <c r="O186" s="252"/>
      <c r="P186" s="252"/>
      <c r="Q186" s="253"/>
    </row>
    <row r="187" spans="1:17" s="3" customFormat="1" ht="25" customHeight="1" x14ac:dyDescent="0.25">
      <c r="A187" s="349" t="s">
        <v>228</v>
      </c>
      <c r="B187" s="350" t="s">
        <v>417</v>
      </c>
      <c r="C187" s="372">
        <v>3</v>
      </c>
      <c r="D187" s="352">
        <v>1</v>
      </c>
      <c r="E187" s="422">
        <v>1</v>
      </c>
      <c r="F187" s="295"/>
      <c r="G187" s="295"/>
      <c r="H187" s="257"/>
      <c r="I187" s="285"/>
      <c r="J187" s="252"/>
      <c r="K187" s="252"/>
      <c r="L187" s="252"/>
      <c r="M187" s="252"/>
      <c r="N187" s="252"/>
      <c r="O187" s="252"/>
      <c r="P187" s="252"/>
      <c r="Q187" s="253"/>
    </row>
    <row r="188" spans="1:17" s="3" customFormat="1" ht="25" customHeight="1" x14ac:dyDescent="0.25">
      <c r="A188" s="349" t="s">
        <v>229</v>
      </c>
      <c r="B188" s="350" t="s">
        <v>418</v>
      </c>
      <c r="C188" s="372">
        <v>3</v>
      </c>
      <c r="D188" s="352">
        <v>1</v>
      </c>
      <c r="E188" s="422">
        <v>1</v>
      </c>
      <c r="F188" s="254">
        <f t="shared" ref="F188:F194" si="25">I188+J188+K188</f>
        <v>74.25</v>
      </c>
      <c r="G188" s="293">
        <v>15</v>
      </c>
      <c r="H188" s="249">
        <f>C188*D188*E188*G188</f>
        <v>45</v>
      </c>
      <c r="I188" s="251">
        <f t="shared" ref="I188:I194" si="26">IF(G188&lt;70, C188*E188*16.5*1*1.5, C188*E188*16.5*1.3*1.5)</f>
        <v>74.25</v>
      </c>
      <c r="J188" s="252"/>
      <c r="K188" s="252"/>
      <c r="L188" s="252"/>
      <c r="M188" s="252"/>
      <c r="N188" s="252"/>
      <c r="O188" s="252"/>
      <c r="P188" s="252"/>
      <c r="Q188" s="253"/>
    </row>
    <row r="189" spans="1:17" s="3" customFormat="1" ht="25" customHeight="1" x14ac:dyDescent="0.25">
      <c r="A189" s="349" t="s">
        <v>230</v>
      </c>
      <c r="B189" s="353" t="s">
        <v>419</v>
      </c>
      <c r="C189" s="372">
        <v>3</v>
      </c>
      <c r="D189" s="352">
        <v>1</v>
      </c>
      <c r="E189" s="422">
        <v>3</v>
      </c>
      <c r="F189" s="254">
        <f t="shared" si="25"/>
        <v>222.75</v>
      </c>
      <c r="G189" s="293">
        <v>10</v>
      </c>
      <c r="H189" s="249">
        <f t="shared" ref="H189:H194" si="27">C189*D189*E189*G189</f>
        <v>90</v>
      </c>
      <c r="I189" s="251">
        <f t="shared" si="26"/>
        <v>222.75</v>
      </c>
      <c r="J189" s="252"/>
      <c r="K189" s="252"/>
      <c r="L189" s="252"/>
      <c r="M189" s="252"/>
      <c r="N189" s="252"/>
      <c r="O189" s="252"/>
      <c r="P189" s="252"/>
      <c r="Q189" s="253"/>
    </row>
    <row r="190" spans="1:17" s="3" customFormat="1" ht="25" customHeight="1" x14ac:dyDescent="0.25">
      <c r="A190" s="349" t="s">
        <v>231</v>
      </c>
      <c r="B190" s="353" t="s">
        <v>420</v>
      </c>
      <c r="C190" s="372">
        <v>3</v>
      </c>
      <c r="D190" s="352">
        <v>1</v>
      </c>
      <c r="E190" s="422">
        <v>1</v>
      </c>
      <c r="F190" s="254">
        <f t="shared" si="25"/>
        <v>74.25</v>
      </c>
      <c r="G190" s="293">
        <v>10</v>
      </c>
      <c r="H190" s="249">
        <f t="shared" si="27"/>
        <v>30</v>
      </c>
      <c r="I190" s="251">
        <f t="shared" si="26"/>
        <v>74.25</v>
      </c>
      <c r="J190" s="252"/>
      <c r="K190" s="252"/>
      <c r="L190" s="252"/>
      <c r="M190" s="252"/>
      <c r="N190" s="252"/>
      <c r="O190" s="252"/>
      <c r="P190" s="252"/>
      <c r="Q190" s="253"/>
    </row>
    <row r="191" spans="1:17" s="3" customFormat="1" ht="25" customHeight="1" x14ac:dyDescent="0.25">
      <c r="A191" s="349" t="s">
        <v>282</v>
      </c>
      <c r="B191" s="353" t="s">
        <v>421</v>
      </c>
      <c r="C191" s="372">
        <v>3</v>
      </c>
      <c r="D191" s="352">
        <v>1</v>
      </c>
      <c r="E191" s="422">
        <v>3</v>
      </c>
      <c r="F191" s="254">
        <f t="shared" si="25"/>
        <v>222.75</v>
      </c>
      <c r="G191" s="293">
        <v>10</v>
      </c>
      <c r="H191" s="249">
        <f t="shared" si="27"/>
        <v>90</v>
      </c>
      <c r="I191" s="251">
        <f t="shared" si="26"/>
        <v>222.75</v>
      </c>
      <c r="J191" s="252"/>
      <c r="K191" s="252"/>
      <c r="L191" s="252"/>
      <c r="M191" s="252"/>
      <c r="N191" s="252"/>
      <c r="O191" s="252"/>
      <c r="P191" s="252"/>
      <c r="Q191" s="253"/>
    </row>
    <row r="192" spans="1:17" s="3" customFormat="1" ht="25" customHeight="1" x14ac:dyDescent="0.25">
      <c r="A192" s="354"/>
      <c r="B192" s="424" t="s">
        <v>380</v>
      </c>
      <c r="C192" s="364">
        <f>SUM(C185:C191)</f>
        <v>21</v>
      </c>
      <c r="D192" s="364">
        <f>SUM(D185:D191)</f>
        <v>7</v>
      </c>
      <c r="E192" s="364">
        <f>SUM(E185:E191)</f>
        <v>13</v>
      </c>
      <c r="F192" s="254">
        <f t="shared" si="25"/>
        <v>6756.75</v>
      </c>
      <c r="G192" s="293">
        <v>15</v>
      </c>
      <c r="H192" s="249">
        <f t="shared" si="27"/>
        <v>28665</v>
      </c>
      <c r="I192" s="251">
        <f t="shared" si="26"/>
        <v>6756.75</v>
      </c>
      <c r="J192" s="252"/>
      <c r="K192" s="252"/>
      <c r="L192" s="252"/>
      <c r="M192" s="252"/>
      <c r="N192" s="252"/>
      <c r="O192" s="252"/>
      <c r="P192" s="252"/>
      <c r="Q192" s="253"/>
    </row>
    <row r="193" spans="1:17" s="3" customFormat="1" ht="25" customHeight="1" x14ac:dyDescent="0.25">
      <c r="A193" s="423" t="s">
        <v>8</v>
      </c>
      <c r="B193" s="423" t="s">
        <v>224</v>
      </c>
      <c r="C193" s="352"/>
      <c r="D193" s="352"/>
      <c r="E193" s="352"/>
      <c r="F193" s="254">
        <f t="shared" si="25"/>
        <v>0</v>
      </c>
      <c r="G193" s="293">
        <v>10</v>
      </c>
      <c r="H193" s="249">
        <f t="shared" si="27"/>
        <v>0</v>
      </c>
      <c r="I193" s="251">
        <f t="shared" si="26"/>
        <v>0</v>
      </c>
      <c r="J193" s="252"/>
      <c r="K193" s="252"/>
      <c r="L193" s="252"/>
      <c r="M193" s="252"/>
      <c r="N193" s="252"/>
      <c r="O193" s="252"/>
      <c r="P193" s="252"/>
      <c r="Q193" s="253"/>
    </row>
    <row r="194" spans="1:17" s="3" customFormat="1" ht="25" customHeight="1" x14ac:dyDescent="0.25">
      <c r="A194" s="423">
        <v>1</v>
      </c>
      <c r="B194" s="357" t="s">
        <v>225</v>
      </c>
      <c r="C194" s="352"/>
      <c r="D194" s="352"/>
      <c r="E194" s="352"/>
      <c r="F194" s="254">
        <f t="shared" si="25"/>
        <v>0</v>
      </c>
      <c r="G194" s="293">
        <v>15</v>
      </c>
      <c r="H194" s="249">
        <f t="shared" si="27"/>
        <v>0</v>
      </c>
      <c r="I194" s="251">
        <f t="shared" si="26"/>
        <v>0</v>
      </c>
      <c r="J194" s="252"/>
      <c r="K194" s="252"/>
      <c r="L194" s="252"/>
      <c r="M194" s="252"/>
      <c r="N194" s="252"/>
      <c r="O194" s="252"/>
      <c r="P194" s="252"/>
      <c r="Q194" s="253"/>
    </row>
    <row r="195" spans="1:17" s="3" customFormat="1" ht="25" customHeight="1" x14ac:dyDescent="0.25">
      <c r="A195" s="423" t="s">
        <v>147</v>
      </c>
      <c r="B195" s="357" t="s">
        <v>163</v>
      </c>
      <c r="C195" s="352"/>
      <c r="D195" s="352"/>
      <c r="E195" s="352"/>
      <c r="F195" s="271">
        <f>SUM(F188:F194)</f>
        <v>7350.75</v>
      </c>
      <c r="G195" s="279">
        <f>SUM(G188:G194)</f>
        <v>85</v>
      </c>
      <c r="H195" s="279">
        <f>SUM(H188:H194)</f>
        <v>28920</v>
      </c>
      <c r="I195" s="279">
        <f>SUM(I188:I194)</f>
        <v>7350.75</v>
      </c>
      <c r="J195" s="252"/>
      <c r="K195" s="252"/>
      <c r="L195" s="252"/>
      <c r="M195" s="252"/>
      <c r="N195" s="252"/>
      <c r="O195" s="252"/>
      <c r="P195" s="252"/>
      <c r="Q195" s="253"/>
    </row>
    <row r="196" spans="1:17" s="3" customFormat="1" ht="25" customHeight="1" x14ac:dyDescent="0.25">
      <c r="A196" s="354" t="s">
        <v>226</v>
      </c>
      <c r="B196" s="350" t="s">
        <v>687</v>
      </c>
      <c r="C196" s="422">
        <v>5</v>
      </c>
      <c r="D196" s="352">
        <v>1</v>
      </c>
      <c r="E196" s="352">
        <v>25</v>
      </c>
      <c r="F196" s="295"/>
      <c r="G196" s="295"/>
      <c r="H196" s="295"/>
      <c r="I196" s="296"/>
      <c r="J196" s="296"/>
      <c r="K196" s="296"/>
      <c r="L196" s="296"/>
      <c r="M196" s="296"/>
      <c r="N196" s="296"/>
      <c r="O196" s="296"/>
      <c r="P196" s="296"/>
      <c r="Q196" s="297"/>
    </row>
    <row r="197" spans="1:17" s="3" customFormat="1" ht="25" customHeight="1" x14ac:dyDescent="0.25">
      <c r="A197" s="354" t="s">
        <v>227</v>
      </c>
      <c r="B197" s="350" t="s">
        <v>688</v>
      </c>
      <c r="C197" s="422">
        <v>5</v>
      </c>
      <c r="D197" s="352">
        <v>1</v>
      </c>
      <c r="E197" s="352">
        <v>26</v>
      </c>
      <c r="F197" s="295"/>
      <c r="G197" s="295"/>
      <c r="H197" s="295"/>
      <c r="I197" s="296"/>
      <c r="J197" s="296"/>
      <c r="K197" s="296"/>
      <c r="L197" s="296"/>
      <c r="M197" s="296"/>
      <c r="N197" s="296"/>
      <c r="O197" s="296"/>
      <c r="P197" s="296"/>
      <c r="Q197" s="297"/>
    </row>
    <row r="198" spans="1:17" s="3" customFormat="1" ht="25" customHeight="1" x14ac:dyDescent="0.25">
      <c r="A198" s="354"/>
      <c r="B198" s="361" t="s">
        <v>380</v>
      </c>
      <c r="C198" s="364">
        <f>SUM(C196:C197)</f>
        <v>10</v>
      </c>
      <c r="D198" s="364">
        <f>SUM(D196:D197)</f>
        <v>2</v>
      </c>
      <c r="E198" s="364">
        <f>SUM(E196:E197)</f>
        <v>51</v>
      </c>
      <c r="F198" s="295"/>
      <c r="G198" s="295"/>
      <c r="H198" s="295"/>
      <c r="I198" s="296"/>
      <c r="J198" s="296"/>
      <c r="K198" s="296"/>
      <c r="L198" s="296"/>
      <c r="M198" s="296"/>
      <c r="N198" s="296"/>
      <c r="O198" s="296"/>
      <c r="P198" s="296"/>
      <c r="Q198" s="297"/>
    </row>
    <row r="199" spans="1:17" s="3" customFormat="1" ht="25" customHeight="1" x14ac:dyDescent="0.25">
      <c r="A199" s="393"/>
      <c r="B199" s="398" t="s">
        <v>424</v>
      </c>
      <c r="C199" s="388">
        <f>C182+C192+C198</f>
        <v>58</v>
      </c>
      <c r="D199" s="388">
        <f>D182+D192+D198</f>
        <v>20.8</v>
      </c>
      <c r="E199" s="388">
        <f>E182+E192+E198</f>
        <v>116</v>
      </c>
      <c r="F199" s="254">
        <f>I199+J199+K199</f>
        <v>111012</v>
      </c>
      <c r="G199" s="295">
        <v>50</v>
      </c>
      <c r="H199" s="249">
        <f>C199*D199*E199*G199</f>
        <v>6997120.0000000009</v>
      </c>
      <c r="I199" s="251">
        <f>IF(G199&lt;70, C199*E199*16.5*1, C199*E199*16.5*1.3)</f>
        <v>111012</v>
      </c>
      <c r="J199" s="296"/>
      <c r="K199" s="296"/>
      <c r="L199" s="296"/>
      <c r="M199" s="296"/>
      <c r="N199" s="296"/>
      <c r="O199" s="296"/>
      <c r="P199" s="296"/>
      <c r="Q199" s="297"/>
    </row>
    <row r="200" spans="1:17" s="3" customFormat="1" ht="25" customHeight="1" x14ac:dyDescent="0.25">
      <c r="A200" s="288" t="s">
        <v>431</v>
      </c>
      <c r="B200" s="323" t="s">
        <v>432</v>
      </c>
      <c r="C200" s="287"/>
      <c r="D200" s="287"/>
      <c r="E200" s="287"/>
      <c r="F200" s="318"/>
      <c r="G200" s="287"/>
      <c r="H200" s="287"/>
      <c r="I200" s="287"/>
      <c r="J200" s="252"/>
      <c r="K200" s="252"/>
      <c r="L200" s="252"/>
      <c r="M200" s="252"/>
      <c r="N200" s="252"/>
      <c r="O200" s="252"/>
      <c r="P200" s="252"/>
      <c r="Q200" s="253"/>
    </row>
    <row r="201" spans="1:17" s="3" customFormat="1" ht="25" customHeight="1" x14ac:dyDescent="0.25">
      <c r="A201" s="288" t="s">
        <v>7</v>
      </c>
      <c r="B201" s="288" t="s">
        <v>223</v>
      </c>
      <c r="C201" s="287"/>
      <c r="D201" s="287"/>
      <c r="E201" s="287"/>
      <c r="F201" s="318"/>
      <c r="G201" s="287"/>
      <c r="H201" s="287"/>
      <c r="I201" s="287"/>
      <c r="J201" s="252"/>
      <c r="K201" s="252"/>
      <c r="L201" s="252"/>
      <c r="M201" s="252"/>
      <c r="N201" s="252"/>
      <c r="O201" s="252"/>
      <c r="P201" s="252"/>
      <c r="Q201" s="253"/>
    </row>
    <row r="202" spans="1:17" s="3" customFormat="1" ht="25" customHeight="1" x14ac:dyDescent="0.25">
      <c r="A202" s="288">
        <v>1</v>
      </c>
      <c r="B202" s="288" t="s">
        <v>4</v>
      </c>
      <c r="C202" s="287"/>
      <c r="D202" s="287"/>
      <c r="E202" s="287"/>
      <c r="F202" s="318"/>
      <c r="G202" s="287"/>
      <c r="H202" s="287"/>
      <c r="I202" s="287"/>
      <c r="J202" s="252"/>
      <c r="K202" s="252"/>
      <c r="L202" s="252"/>
      <c r="M202" s="252"/>
      <c r="N202" s="252"/>
      <c r="O202" s="252"/>
      <c r="P202" s="252"/>
      <c r="Q202" s="253"/>
    </row>
    <row r="203" spans="1:17" s="3" customFormat="1" ht="25" customHeight="1" x14ac:dyDescent="0.25">
      <c r="A203" s="349" t="s">
        <v>226</v>
      </c>
      <c r="B203" s="350" t="s">
        <v>689</v>
      </c>
      <c r="C203" s="351">
        <v>4</v>
      </c>
      <c r="D203" s="351">
        <v>1</v>
      </c>
      <c r="E203" s="351">
        <v>10</v>
      </c>
      <c r="F203" s="295"/>
      <c r="G203" s="291"/>
      <c r="H203" s="291"/>
      <c r="I203" s="298"/>
      <c r="J203" s="252"/>
      <c r="K203" s="252"/>
      <c r="L203" s="252"/>
      <c r="M203" s="252"/>
      <c r="N203" s="252"/>
      <c r="O203" s="252"/>
      <c r="P203" s="252"/>
      <c r="Q203" s="253"/>
    </row>
    <row r="204" spans="1:17" s="3" customFormat="1" ht="25" customHeight="1" x14ac:dyDescent="0.25">
      <c r="A204" s="349" t="s">
        <v>227</v>
      </c>
      <c r="B204" s="350" t="s">
        <v>690</v>
      </c>
      <c r="C204" s="352">
        <v>3</v>
      </c>
      <c r="D204" s="352">
        <v>1</v>
      </c>
      <c r="E204" s="352">
        <v>4</v>
      </c>
      <c r="F204" s="254">
        <f t="shared" ref="F204:F210" si="28">I204+J204+K204</f>
        <v>257.40000000000003</v>
      </c>
      <c r="G204" s="299">
        <v>70</v>
      </c>
      <c r="H204" s="249">
        <f t="shared" ref="H204:H210" si="29">C204*D204*E204*G204</f>
        <v>840</v>
      </c>
      <c r="I204" s="251">
        <f t="shared" ref="I204:I210" si="30">IF(G204&lt;70, C204*E204*16.5*1, C204*E204*16.5*1.3)</f>
        <v>257.40000000000003</v>
      </c>
      <c r="J204" s="252"/>
      <c r="K204" s="252"/>
      <c r="L204" s="252"/>
      <c r="M204" s="252"/>
      <c r="N204" s="252"/>
      <c r="O204" s="252"/>
      <c r="P204" s="252"/>
      <c r="Q204" s="253"/>
    </row>
    <row r="205" spans="1:17" s="3" customFormat="1" ht="25" customHeight="1" x14ac:dyDescent="0.25">
      <c r="A205" s="349" t="s">
        <v>228</v>
      </c>
      <c r="B205" s="350" t="s">
        <v>426</v>
      </c>
      <c r="C205" s="352">
        <v>3</v>
      </c>
      <c r="D205" s="352">
        <v>1</v>
      </c>
      <c r="E205" s="352">
        <v>3</v>
      </c>
      <c r="F205" s="254">
        <f t="shared" si="28"/>
        <v>193.05</v>
      </c>
      <c r="G205" s="295">
        <v>70</v>
      </c>
      <c r="H205" s="249">
        <f t="shared" si="29"/>
        <v>630</v>
      </c>
      <c r="I205" s="251">
        <f t="shared" si="30"/>
        <v>193.05</v>
      </c>
      <c r="J205" s="252"/>
      <c r="K205" s="252"/>
      <c r="L205" s="252"/>
      <c r="M205" s="252"/>
      <c r="N205" s="252"/>
      <c r="O205" s="252"/>
      <c r="P205" s="252"/>
      <c r="Q205" s="253"/>
    </row>
    <row r="206" spans="1:17" s="3" customFormat="1" ht="25" customHeight="1" x14ac:dyDescent="0.25">
      <c r="A206" s="349" t="s">
        <v>229</v>
      </c>
      <c r="B206" s="350" t="s">
        <v>427</v>
      </c>
      <c r="C206" s="352">
        <v>4</v>
      </c>
      <c r="D206" s="352">
        <v>1</v>
      </c>
      <c r="E206" s="352">
        <v>3</v>
      </c>
      <c r="F206" s="254">
        <f t="shared" si="28"/>
        <v>257.40000000000003</v>
      </c>
      <c r="G206" s="295">
        <v>70</v>
      </c>
      <c r="H206" s="249">
        <f t="shared" si="29"/>
        <v>840</v>
      </c>
      <c r="I206" s="251">
        <f t="shared" si="30"/>
        <v>257.40000000000003</v>
      </c>
      <c r="J206" s="252"/>
      <c r="K206" s="252"/>
      <c r="L206" s="252"/>
      <c r="M206" s="252"/>
      <c r="N206" s="252"/>
      <c r="O206" s="252"/>
      <c r="P206" s="252"/>
      <c r="Q206" s="253"/>
    </row>
    <row r="207" spans="1:17" s="3" customFormat="1" ht="25" customHeight="1" x14ac:dyDescent="0.25">
      <c r="A207" s="349" t="s">
        <v>230</v>
      </c>
      <c r="B207" s="350" t="s">
        <v>428</v>
      </c>
      <c r="C207" s="352">
        <v>4</v>
      </c>
      <c r="D207" s="352">
        <v>1</v>
      </c>
      <c r="E207" s="352">
        <v>4</v>
      </c>
      <c r="F207" s="254">
        <f t="shared" si="28"/>
        <v>343.2</v>
      </c>
      <c r="G207" s="295">
        <v>70</v>
      </c>
      <c r="H207" s="249">
        <f t="shared" si="29"/>
        <v>1120</v>
      </c>
      <c r="I207" s="251">
        <f t="shared" si="30"/>
        <v>343.2</v>
      </c>
      <c r="J207" s="252"/>
      <c r="K207" s="252"/>
      <c r="L207" s="252"/>
      <c r="M207" s="252"/>
      <c r="N207" s="252"/>
      <c r="O207" s="252"/>
      <c r="P207" s="252"/>
      <c r="Q207" s="253"/>
    </row>
    <row r="208" spans="1:17" s="3" customFormat="1" ht="25" customHeight="1" x14ac:dyDescent="0.25">
      <c r="A208" s="349" t="s">
        <v>231</v>
      </c>
      <c r="B208" s="353" t="s">
        <v>429</v>
      </c>
      <c r="C208" s="352">
        <v>4</v>
      </c>
      <c r="D208" s="352">
        <v>1</v>
      </c>
      <c r="E208" s="352">
        <v>1</v>
      </c>
      <c r="F208" s="254">
        <f t="shared" si="28"/>
        <v>85.8</v>
      </c>
      <c r="G208" s="295">
        <v>70</v>
      </c>
      <c r="H208" s="249">
        <f t="shared" si="29"/>
        <v>280</v>
      </c>
      <c r="I208" s="251">
        <f t="shared" si="30"/>
        <v>85.8</v>
      </c>
      <c r="J208" s="252"/>
      <c r="K208" s="252"/>
      <c r="L208" s="252"/>
      <c r="M208" s="252"/>
      <c r="N208" s="252"/>
      <c r="O208" s="252"/>
      <c r="P208" s="252"/>
      <c r="Q208" s="253"/>
    </row>
    <row r="209" spans="1:17" s="3" customFormat="1" ht="25" customHeight="1" x14ac:dyDescent="0.25">
      <c r="A209" s="349" t="s">
        <v>691</v>
      </c>
      <c r="B209" s="353" t="s">
        <v>692</v>
      </c>
      <c r="C209" s="352">
        <v>2</v>
      </c>
      <c r="D209" s="352">
        <v>1</v>
      </c>
      <c r="E209" s="352">
        <v>4</v>
      </c>
      <c r="F209" s="254">
        <f t="shared" si="28"/>
        <v>171.6</v>
      </c>
      <c r="G209" s="295">
        <v>70</v>
      </c>
      <c r="H209" s="249">
        <f t="shared" si="29"/>
        <v>560</v>
      </c>
      <c r="I209" s="251">
        <f t="shared" si="30"/>
        <v>171.6</v>
      </c>
      <c r="J209" s="252"/>
      <c r="K209" s="252"/>
      <c r="L209" s="252"/>
      <c r="M209" s="252"/>
      <c r="N209" s="252"/>
      <c r="O209" s="252"/>
      <c r="P209" s="252"/>
      <c r="Q209" s="253"/>
    </row>
    <row r="210" spans="1:17" s="3" customFormat="1" ht="25" customHeight="1" x14ac:dyDescent="0.25">
      <c r="A210" s="349" t="s">
        <v>693</v>
      </c>
      <c r="B210" s="353" t="s">
        <v>694</v>
      </c>
      <c r="C210" s="352">
        <v>2</v>
      </c>
      <c r="D210" s="352">
        <v>1</v>
      </c>
      <c r="E210" s="352">
        <v>10</v>
      </c>
      <c r="F210" s="254">
        <f t="shared" si="28"/>
        <v>429</v>
      </c>
      <c r="G210" s="295">
        <v>70</v>
      </c>
      <c r="H210" s="249">
        <f t="shared" si="29"/>
        <v>1400</v>
      </c>
      <c r="I210" s="251">
        <f t="shared" si="30"/>
        <v>429</v>
      </c>
      <c r="J210" s="252"/>
      <c r="K210" s="252"/>
      <c r="L210" s="252"/>
      <c r="M210" s="252"/>
      <c r="N210" s="252"/>
      <c r="O210" s="252"/>
      <c r="P210" s="252"/>
      <c r="Q210" s="253"/>
    </row>
    <row r="211" spans="1:17" s="3" customFormat="1" ht="25" customHeight="1" x14ac:dyDescent="0.25">
      <c r="A211" s="349" t="s">
        <v>282</v>
      </c>
      <c r="B211" s="353" t="s">
        <v>430</v>
      </c>
      <c r="C211" s="352">
        <v>3</v>
      </c>
      <c r="D211" s="352">
        <v>1</v>
      </c>
      <c r="E211" s="352">
        <v>4</v>
      </c>
      <c r="F211" s="271">
        <f>SUM(F204:F210)</f>
        <v>1737.45</v>
      </c>
      <c r="G211" s="279">
        <f>SUM(G204:G210)</f>
        <v>490</v>
      </c>
      <c r="H211" s="279">
        <f>SUM(H204:H210)</f>
        <v>5670</v>
      </c>
      <c r="I211" s="279">
        <f>SUM(I204:I210)</f>
        <v>1737.45</v>
      </c>
      <c r="J211" s="252"/>
      <c r="K211" s="252"/>
      <c r="L211" s="252"/>
      <c r="M211" s="252"/>
      <c r="N211" s="252"/>
      <c r="O211" s="252"/>
      <c r="P211" s="252"/>
      <c r="Q211" s="253"/>
    </row>
    <row r="212" spans="1:17" s="3" customFormat="1" ht="25" customHeight="1" x14ac:dyDescent="0.25">
      <c r="A212" s="354"/>
      <c r="B212" s="361" t="s">
        <v>380</v>
      </c>
      <c r="C212" s="364">
        <f>SUM(C203:C211)</f>
        <v>29</v>
      </c>
      <c r="D212" s="364">
        <f>SUM(D203:D211)</f>
        <v>9</v>
      </c>
      <c r="E212" s="364">
        <f>SUM(E203:E211)</f>
        <v>43</v>
      </c>
      <c r="F212" s="295"/>
      <c r="G212" s="295"/>
      <c r="H212" s="295"/>
      <c r="I212" s="296"/>
      <c r="J212" s="296"/>
      <c r="K212" s="296"/>
      <c r="L212" s="296"/>
      <c r="M212" s="296"/>
      <c r="N212" s="252"/>
      <c r="O212" s="252"/>
      <c r="P212" s="252"/>
      <c r="Q212" s="253"/>
    </row>
    <row r="213" spans="1:17" s="3" customFormat="1" ht="25" customHeight="1" x14ac:dyDescent="0.25">
      <c r="A213" s="359" t="s">
        <v>148</v>
      </c>
      <c r="B213" s="360" t="s">
        <v>151</v>
      </c>
      <c r="C213" s="352"/>
      <c r="D213" s="352"/>
      <c r="E213" s="352"/>
      <c r="F213" s="295"/>
      <c r="G213" s="295"/>
      <c r="H213" s="295"/>
      <c r="I213" s="296"/>
      <c r="J213" s="296"/>
      <c r="K213" s="296"/>
      <c r="L213" s="296"/>
      <c r="M213" s="296"/>
      <c r="N213" s="252"/>
      <c r="O213" s="252"/>
      <c r="P213" s="252"/>
      <c r="Q213" s="253"/>
    </row>
    <row r="214" spans="1:17" s="3" customFormat="1" ht="25" customHeight="1" x14ac:dyDescent="0.25">
      <c r="A214" s="354" t="s">
        <v>232</v>
      </c>
      <c r="B214" s="349" t="s">
        <v>154</v>
      </c>
      <c r="C214" s="352"/>
      <c r="D214" s="352"/>
      <c r="E214" s="352"/>
      <c r="F214" s="295"/>
      <c r="G214" s="295"/>
      <c r="H214" s="295"/>
      <c r="I214" s="296"/>
      <c r="J214" s="296"/>
      <c r="K214" s="296"/>
      <c r="L214" s="296"/>
      <c r="M214" s="296"/>
      <c r="N214" s="252"/>
      <c r="O214" s="252"/>
      <c r="P214" s="252"/>
      <c r="Q214" s="253"/>
    </row>
    <row r="215" spans="1:17" s="3" customFormat="1" ht="25" customHeight="1" x14ac:dyDescent="0.25">
      <c r="A215" s="354" t="s">
        <v>233</v>
      </c>
      <c r="B215" s="349" t="s">
        <v>153</v>
      </c>
      <c r="C215" s="352"/>
      <c r="D215" s="352"/>
      <c r="E215" s="352"/>
      <c r="F215" s="295"/>
      <c r="G215" s="295"/>
      <c r="H215" s="295"/>
      <c r="I215" s="296"/>
      <c r="J215" s="296"/>
      <c r="K215" s="296"/>
      <c r="L215" s="296"/>
      <c r="M215" s="296"/>
      <c r="N215" s="252"/>
      <c r="O215" s="252"/>
      <c r="P215" s="252"/>
      <c r="Q215" s="253"/>
    </row>
    <row r="216" spans="1:17" s="3" customFormat="1" ht="25" customHeight="1" x14ac:dyDescent="0.25">
      <c r="A216" s="354" t="s">
        <v>234</v>
      </c>
      <c r="B216" s="349" t="s">
        <v>155</v>
      </c>
      <c r="C216" s="352"/>
      <c r="D216" s="352"/>
      <c r="E216" s="352"/>
      <c r="F216" s="295"/>
      <c r="G216" s="295"/>
      <c r="H216" s="295"/>
      <c r="I216" s="296"/>
      <c r="J216" s="296"/>
      <c r="K216" s="296"/>
      <c r="L216" s="296"/>
      <c r="M216" s="296"/>
      <c r="N216" s="252"/>
      <c r="O216" s="252"/>
      <c r="P216" s="252"/>
      <c r="Q216" s="253"/>
    </row>
    <row r="217" spans="1:17" s="3" customFormat="1" ht="25" customHeight="1" x14ac:dyDescent="0.25">
      <c r="A217" s="354" t="s">
        <v>235</v>
      </c>
      <c r="B217" s="349" t="s">
        <v>156</v>
      </c>
      <c r="C217" s="352"/>
      <c r="D217" s="352"/>
      <c r="E217" s="352"/>
      <c r="F217" s="295"/>
      <c r="G217" s="295"/>
      <c r="H217" s="295"/>
      <c r="I217" s="296"/>
      <c r="J217" s="296"/>
      <c r="K217" s="296"/>
      <c r="L217" s="296"/>
      <c r="M217" s="296"/>
      <c r="N217" s="252"/>
      <c r="O217" s="252"/>
      <c r="P217" s="252"/>
      <c r="Q217" s="253"/>
    </row>
    <row r="218" spans="1:17" s="3" customFormat="1" ht="25" customHeight="1" x14ac:dyDescent="0.25">
      <c r="A218" s="354" t="s">
        <v>236</v>
      </c>
      <c r="B218" s="349" t="s">
        <v>157</v>
      </c>
      <c r="C218" s="352"/>
      <c r="D218" s="352"/>
      <c r="E218" s="352"/>
      <c r="F218" s="295"/>
      <c r="G218" s="295"/>
      <c r="H218" s="295"/>
      <c r="I218" s="296"/>
      <c r="J218" s="296"/>
      <c r="K218" s="296"/>
      <c r="L218" s="296"/>
      <c r="M218" s="296"/>
      <c r="N218" s="252"/>
      <c r="O218" s="252"/>
      <c r="P218" s="252"/>
      <c r="Q218" s="253"/>
    </row>
    <row r="219" spans="1:17" s="3" customFormat="1" ht="25" customHeight="1" x14ac:dyDescent="0.25">
      <c r="A219" s="423">
        <v>2</v>
      </c>
      <c r="B219" s="423" t="s">
        <v>164</v>
      </c>
      <c r="C219" s="352"/>
      <c r="D219" s="352"/>
      <c r="E219" s="352"/>
      <c r="F219" s="295"/>
      <c r="G219" s="295"/>
      <c r="H219" s="295"/>
      <c r="I219" s="296"/>
      <c r="J219" s="296"/>
      <c r="K219" s="296"/>
      <c r="L219" s="296"/>
      <c r="M219" s="296"/>
      <c r="N219" s="252"/>
      <c r="O219" s="252"/>
      <c r="P219" s="252"/>
      <c r="Q219" s="253"/>
    </row>
    <row r="220" spans="1:17" s="3" customFormat="1" ht="25" customHeight="1" x14ac:dyDescent="0.25">
      <c r="A220" s="356" t="s">
        <v>147</v>
      </c>
      <c r="B220" s="357" t="s">
        <v>165</v>
      </c>
      <c r="C220" s="352"/>
      <c r="D220" s="352"/>
      <c r="E220" s="352"/>
      <c r="F220" s="254">
        <f>I220+J220+K220</f>
        <v>0</v>
      </c>
      <c r="G220" s="295">
        <v>25</v>
      </c>
      <c r="H220" s="249">
        <f>C220*D220*E220*G220</f>
        <v>0</v>
      </c>
      <c r="I220" s="251">
        <f>IF(G220&lt;70, C220*E220*16.5*1.5, C220*E220*16.5*1.5)</f>
        <v>0</v>
      </c>
      <c r="J220" s="296"/>
      <c r="K220" s="296"/>
      <c r="L220" s="296"/>
      <c r="M220" s="296"/>
      <c r="N220" s="252"/>
      <c r="O220" s="252"/>
      <c r="P220" s="252"/>
      <c r="Q220" s="253"/>
    </row>
    <row r="221" spans="1:17" s="3" customFormat="1" ht="25" customHeight="1" x14ac:dyDescent="0.25">
      <c r="A221" s="349" t="s">
        <v>226</v>
      </c>
      <c r="B221" s="350" t="s">
        <v>433</v>
      </c>
      <c r="C221" s="352">
        <v>3</v>
      </c>
      <c r="D221" s="352">
        <v>1</v>
      </c>
      <c r="E221" s="352">
        <v>3</v>
      </c>
      <c r="F221" s="254">
        <f>I221+J221+K221</f>
        <v>222.75</v>
      </c>
      <c r="G221" s="295">
        <v>15</v>
      </c>
      <c r="H221" s="249">
        <f>C221*D221*E221*G221</f>
        <v>135</v>
      </c>
      <c r="I221" s="251">
        <f>IF(G221&lt;70, C221*E221*16.5*1.5, C221*E221*16.5*1.5)</f>
        <v>222.75</v>
      </c>
      <c r="J221" s="296"/>
      <c r="K221" s="296"/>
      <c r="L221" s="296"/>
      <c r="M221" s="296"/>
      <c r="N221" s="252"/>
      <c r="O221" s="252"/>
      <c r="P221" s="252"/>
      <c r="Q221" s="253"/>
    </row>
    <row r="222" spans="1:17" s="3" customFormat="1" ht="25" customHeight="1" x14ac:dyDescent="0.25">
      <c r="A222" s="349" t="s">
        <v>227</v>
      </c>
      <c r="B222" s="350" t="s">
        <v>434</v>
      </c>
      <c r="C222" s="352">
        <v>3</v>
      </c>
      <c r="D222" s="352">
        <v>1</v>
      </c>
      <c r="E222" s="352">
        <v>1</v>
      </c>
      <c r="F222" s="254">
        <f>I222+J222+K222</f>
        <v>74.25</v>
      </c>
      <c r="G222" s="295">
        <v>25</v>
      </c>
      <c r="H222" s="249">
        <f>C222*D222*E222*G222</f>
        <v>75</v>
      </c>
      <c r="I222" s="251">
        <f>IF(G222&lt;70, C222*E222*16.5*1.5, C222*E222*16.5*1.5)</f>
        <v>74.25</v>
      </c>
      <c r="J222" s="296"/>
      <c r="K222" s="296"/>
      <c r="L222" s="296"/>
      <c r="M222" s="296"/>
      <c r="N222" s="252"/>
      <c r="O222" s="252"/>
      <c r="P222" s="252"/>
      <c r="Q222" s="253"/>
    </row>
    <row r="223" spans="1:17" s="3" customFormat="1" ht="25" customHeight="1" x14ac:dyDescent="0.25">
      <c r="A223" s="349"/>
      <c r="B223" s="350" t="s">
        <v>695</v>
      </c>
      <c r="C223" s="352">
        <v>3</v>
      </c>
      <c r="D223" s="352">
        <v>1</v>
      </c>
      <c r="E223" s="352">
        <v>1</v>
      </c>
      <c r="F223" s="295">
        <f>SUM(F220:F222)</f>
        <v>297</v>
      </c>
      <c r="G223" s="291">
        <f>SUM(G220:G222)</f>
        <v>65</v>
      </c>
      <c r="H223" s="291">
        <f>SUM(H220:H222)</f>
        <v>210</v>
      </c>
      <c r="I223" s="291">
        <f>SUM(I220:I222)</f>
        <v>297</v>
      </c>
      <c r="J223" s="296"/>
      <c r="K223" s="296"/>
      <c r="L223" s="296"/>
      <c r="M223" s="296"/>
      <c r="N223" s="252"/>
      <c r="O223" s="252"/>
      <c r="P223" s="252"/>
      <c r="Q223" s="253"/>
    </row>
    <row r="224" spans="1:17" s="3" customFormat="1" ht="25" customHeight="1" x14ac:dyDescent="0.25">
      <c r="A224" s="349" t="s">
        <v>228</v>
      </c>
      <c r="B224" s="350" t="s">
        <v>435</v>
      </c>
      <c r="C224" s="352">
        <v>3</v>
      </c>
      <c r="D224" s="352">
        <v>1</v>
      </c>
      <c r="E224" s="352">
        <v>3</v>
      </c>
      <c r="F224" s="295"/>
      <c r="G224" s="295"/>
      <c r="H224" s="295"/>
      <c r="I224" s="296"/>
      <c r="J224" s="296"/>
      <c r="K224" s="296"/>
      <c r="L224" s="296"/>
      <c r="M224" s="296"/>
      <c r="N224" s="252"/>
      <c r="O224" s="252"/>
      <c r="P224" s="252"/>
      <c r="Q224" s="253"/>
    </row>
    <row r="225" spans="1:17" s="3" customFormat="1" ht="25" customHeight="1" x14ac:dyDescent="0.25">
      <c r="A225" s="349"/>
      <c r="B225" s="389" t="s">
        <v>380</v>
      </c>
      <c r="C225" s="364">
        <f>SUM(C221:C224)</f>
        <v>12</v>
      </c>
      <c r="D225" s="364">
        <f>SUM(D221:D224)</f>
        <v>4</v>
      </c>
      <c r="E225" s="364">
        <f>SUM(E221:E224)</f>
        <v>8</v>
      </c>
      <c r="F225" s="295"/>
      <c r="G225" s="295"/>
      <c r="H225" s="295"/>
      <c r="I225" s="296"/>
      <c r="J225" s="296"/>
      <c r="K225" s="296"/>
      <c r="L225" s="296"/>
      <c r="M225" s="296"/>
      <c r="N225" s="252"/>
      <c r="O225" s="252"/>
      <c r="P225" s="252"/>
      <c r="Q225" s="253"/>
    </row>
    <row r="226" spans="1:17" s="3" customFormat="1" ht="25" customHeight="1" x14ac:dyDescent="0.25">
      <c r="A226" s="359" t="s">
        <v>148</v>
      </c>
      <c r="B226" s="360" t="s">
        <v>696</v>
      </c>
      <c r="C226" s="352"/>
      <c r="D226" s="352"/>
      <c r="E226" s="352"/>
      <c r="F226" s="295"/>
      <c r="G226" s="295"/>
      <c r="H226" s="295"/>
      <c r="I226" s="296"/>
      <c r="J226" s="296"/>
      <c r="K226" s="296"/>
      <c r="L226" s="296"/>
      <c r="M226" s="296"/>
      <c r="N226" s="252"/>
      <c r="O226" s="252"/>
      <c r="P226" s="252"/>
      <c r="Q226" s="253"/>
    </row>
    <row r="227" spans="1:17" s="3" customFormat="1" ht="25" customHeight="1" x14ac:dyDescent="0.25">
      <c r="A227" s="423">
        <v>3</v>
      </c>
      <c r="B227" s="423" t="s">
        <v>166</v>
      </c>
      <c r="C227" s="352"/>
      <c r="D227" s="352"/>
      <c r="E227" s="352"/>
      <c r="F227" s="295"/>
      <c r="G227" s="295"/>
      <c r="H227" s="295"/>
      <c r="I227" s="296"/>
      <c r="J227" s="296"/>
      <c r="K227" s="296"/>
      <c r="L227" s="296"/>
      <c r="M227" s="296"/>
      <c r="N227" s="252"/>
      <c r="O227" s="252"/>
      <c r="P227" s="252"/>
      <c r="Q227" s="253"/>
    </row>
    <row r="228" spans="1:17" s="3" customFormat="1" ht="25" customHeight="1" x14ac:dyDescent="0.25">
      <c r="A228" s="356" t="s">
        <v>147</v>
      </c>
      <c r="B228" s="357" t="s">
        <v>167</v>
      </c>
      <c r="C228" s="352"/>
      <c r="D228" s="352"/>
      <c r="E228" s="352"/>
      <c r="F228" s="295"/>
      <c r="G228" s="295"/>
      <c r="H228" s="295"/>
      <c r="I228" s="296"/>
      <c r="J228" s="296"/>
      <c r="K228" s="296"/>
      <c r="L228" s="296"/>
      <c r="M228" s="296"/>
      <c r="N228" s="252"/>
      <c r="O228" s="252"/>
      <c r="P228" s="252"/>
      <c r="Q228" s="253"/>
    </row>
    <row r="229" spans="1:17" s="3" customFormat="1" ht="25" customHeight="1" x14ac:dyDescent="0.25">
      <c r="A229" s="359" t="s">
        <v>148</v>
      </c>
      <c r="B229" s="360" t="s">
        <v>168</v>
      </c>
      <c r="C229" s="352"/>
      <c r="D229" s="352"/>
      <c r="E229" s="352"/>
      <c r="F229" s="295">
        <f>F224+F227+F228</f>
        <v>0</v>
      </c>
      <c r="G229" s="291">
        <f>G224+G227+G228</f>
        <v>0</v>
      </c>
      <c r="H229" s="291">
        <f>H224+H227+H228</f>
        <v>0</v>
      </c>
      <c r="I229" s="291">
        <f>I224+I227+I228</f>
        <v>0</v>
      </c>
      <c r="J229" s="296"/>
      <c r="K229" s="296"/>
      <c r="L229" s="296"/>
      <c r="M229" s="296"/>
      <c r="N229" s="252"/>
      <c r="O229" s="252"/>
      <c r="P229" s="252"/>
      <c r="Q229" s="253"/>
    </row>
    <row r="230" spans="1:17" s="3" customFormat="1" ht="25" customHeight="1" x14ac:dyDescent="0.25">
      <c r="A230" s="359" t="s">
        <v>169</v>
      </c>
      <c r="B230" s="360" t="s">
        <v>170</v>
      </c>
      <c r="C230" s="352"/>
      <c r="D230" s="352"/>
      <c r="E230" s="352"/>
      <c r="F230" s="295"/>
      <c r="G230" s="295"/>
      <c r="H230" s="295"/>
      <c r="I230" s="296"/>
      <c r="J230" s="296"/>
      <c r="K230" s="296"/>
      <c r="L230" s="296"/>
      <c r="M230" s="296"/>
      <c r="N230" s="252"/>
      <c r="O230" s="252"/>
      <c r="P230" s="252"/>
      <c r="Q230" s="253"/>
    </row>
    <row r="231" spans="1:17" s="3" customFormat="1" ht="25" customHeight="1" x14ac:dyDescent="0.25">
      <c r="A231" s="354"/>
      <c r="B231" s="361" t="s">
        <v>438</v>
      </c>
      <c r="C231" s="364">
        <f>C229+C230</f>
        <v>0</v>
      </c>
      <c r="D231" s="364">
        <f>D226+D229+D230</f>
        <v>0</v>
      </c>
      <c r="E231" s="364">
        <f>E226+E229+E230</f>
        <v>0</v>
      </c>
      <c r="F231" s="295"/>
      <c r="G231" s="295"/>
      <c r="H231" s="295"/>
      <c r="I231" s="296"/>
      <c r="J231" s="296"/>
      <c r="K231" s="296"/>
      <c r="L231" s="296"/>
      <c r="M231" s="296"/>
      <c r="N231" s="252"/>
      <c r="O231" s="252"/>
      <c r="P231" s="252"/>
      <c r="Q231" s="253"/>
    </row>
    <row r="232" spans="1:17" s="3" customFormat="1" ht="25" customHeight="1" x14ac:dyDescent="0.25">
      <c r="A232" s="423" t="s">
        <v>8</v>
      </c>
      <c r="B232" s="423" t="s">
        <v>224</v>
      </c>
      <c r="C232" s="352"/>
      <c r="D232" s="352"/>
      <c r="E232" s="352"/>
      <c r="F232" s="295"/>
      <c r="G232" s="295"/>
      <c r="H232" s="295"/>
      <c r="I232" s="296"/>
      <c r="J232" s="296"/>
      <c r="K232" s="296"/>
      <c r="L232" s="296"/>
      <c r="M232" s="296"/>
      <c r="N232" s="252"/>
      <c r="O232" s="252"/>
      <c r="P232" s="252"/>
      <c r="Q232" s="253"/>
    </row>
    <row r="233" spans="1:17" s="3" customFormat="1" ht="25" customHeight="1" x14ac:dyDescent="0.25">
      <c r="A233" s="423">
        <v>1</v>
      </c>
      <c r="B233" s="357" t="s">
        <v>225</v>
      </c>
      <c r="C233" s="352"/>
      <c r="D233" s="352"/>
      <c r="E233" s="352"/>
      <c r="F233" s="254">
        <f t="shared" ref="F233:F238" si="31">I233+J233+K233</f>
        <v>0</v>
      </c>
      <c r="G233" s="295">
        <v>60</v>
      </c>
      <c r="H233" s="249">
        <f t="shared" ref="H233:H238" si="32">C233*D233*E233*G233</f>
        <v>0</v>
      </c>
      <c r="I233" s="251">
        <f t="shared" ref="I233:I238" si="33">IF(G233&lt;70, C233*E233*16.5*1, C233*E233*16.5*1.3)</f>
        <v>0</v>
      </c>
      <c r="J233" s="296"/>
      <c r="K233" s="296"/>
      <c r="L233" s="296"/>
      <c r="M233" s="296"/>
      <c r="N233" s="252"/>
      <c r="O233" s="252"/>
      <c r="P233" s="252"/>
      <c r="Q233" s="253"/>
    </row>
    <row r="234" spans="1:17" s="3" customFormat="1" ht="25" customHeight="1" x14ac:dyDescent="0.25">
      <c r="A234" s="423" t="s">
        <v>147</v>
      </c>
      <c r="B234" s="357" t="s">
        <v>163</v>
      </c>
      <c r="C234" s="352"/>
      <c r="D234" s="352"/>
      <c r="E234" s="352"/>
      <c r="F234" s="254">
        <f t="shared" si="31"/>
        <v>0</v>
      </c>
      <c r="G234" s="295">
        <v>60</v>
      </c>
      <c r="H234" s="249">
        <f t="shared" si="32"/>
        <v>0</v>
      </c>
      <c r="I234" s="251">
        <f t="shared" si="33"/>
        <v>0</v>
      </c>
      <c r="J234" s="296"/>
      <c r="K234" s="296"/>
      <c r="L234" s="296"/>
      <c r="M234" s="296"/>
      <c r="N234" s="252"/>
      <c r="O234" s="252"/>
      <c r="P234" s="252"/>
      <c r="Q234" s="253"/>
    </row>
    <row r="235" spans="1:17" s="3" customFormat="1" ht="25" customHeight="1" x14ac:dyDescent="0.25">
      <c r="A235" s="354" t="s">
        <v>226</v>
      </c>
      <c r="B235" s="350" t="s">
        <v>697</v>
      </c>
      <c r="C235" s="352">
        <v>5</v>
      </c>
      <c r="D235" s="352">
        <v>1</v>
      </c>
      <c r="E235" s="352">
        <v>16</v>
      </c>
      <c r="F235" s="254">
        <f t="shared" si="31"/>
        <v>1320</v>
      </c>
      <c r="G235" s="295">
        <v>60</v>
      </c>
      <c r="H235" s="249">
        <f t="shared" si="32"/>
        <v>4800</v>
      </c>
      <c r="I235" s="251">
        <f t="shared" si="33"/>
        <v>1320</v>
      </c>
      <c r="J235" s="296"/>
      <c r="K235" s="296"/>
      <c r="L235" s="296"/>
      <c r="M235" s="296"/>
      <c r="N235" s="252"/>
      <c r="O235" s="252"/>
      <c r="P235" s="252"/>
      <c r="Q235" s="253"/>
    </row>
    <row r="236" spans="1:17" s="3" customFormat="1" ht="25" customHeight="1" x14ac:dyDescent="0.25">
      <c r="A236" s="354" t="s">
        <v>227</v>
      </c>
      <c r="B236" s="350" t="s">
        <v>436</v>
      </c>
      <c r="C236" s="352">
        <v>5</v>
      </c>
      <c r="D236" s="352">
        <v>1</v>
      </c>
      <c r="E236" s="352">
        <v>7</v>
      </c>
      <c r="F236" s="254">
        <f t="shared" si="31"/>
        <v>577.5</v>
      </c>
      <c r="G236" s="295">
        <v>60</v>
      </c>
      <c r="H236" s="249">
        <f t="shared" si="32"/>
        <v>2100</v>
      </c>
      <c r="I236" s="251">
        <f t="shared" si="33"/>
        <v>577.5</v>
      </c>
      <c r="J236" s="296"/>
      <c r="K236" s="296"/>
      <c r="L236" s="296"/>
      <c r="M236" s="296"/>
      <c r="N236" s="252"/>
      <c r="O236" s="252"/>
      <c r="P236" s="252"/>
      <c r="Q236" s="253"/>
    </row>
    <row r="237" spans="1:17" s="3" customFormat="1" ht="25" customHeight="1" x14ac:dyDescent="0.25">
      <c r="A237" s="354" t="s">
        <v>228</v>
      </c>
      <c r="B237" s="350" t="s">
        <v>425</v>
      </c>
      <c r="C237" s="352">
        <v>3</v>
      </c>
      <c r="D237" s="352">
        <v>1</v>
      </c>
      <c r="E237" s="352">
        <v>16</v>
      </c>
      <c r="F237" s="254">
        <f t="shared" si="31"/>
        <v>792</v>
      </c>
      <c r="G237" s="259">
        <v>50</v>
      </c>
      <c r="H237" s="249">
        <f t="shared" si="32"/>
        <v>2400</v>
      </c>
      <c r="I237" s="251">
        <f t="shared" si="33"/>
        <v>792</v>
      </c>
      <c r="J237" s="296"/>
      <c r="K237" s="296"/>
      <c r="L237" s="296"/>
      <c r="M237" s="296"/>
      <c r="N237" s="252"/>
      <c r="O237" s="252"/>
      <c r="P237" s="252"/>
      <c r="Q237" s="253"/>
    </row>
    <row r="238" spans="1:17" s="3" customFormat="1" ht="25" customHeight="1" x14ac:dyDescent="0.25">
      <c r="A238" s="354" t="s">
        <v>229</v>
      </c>
      <c r="B238" s="350" t="s">
        <v>437</v>
      </c>
      <c r="C238" s="352">
        <v>3</v>
      </c>
      <c r="D238" s="352">
        <v>1</v>
      </c>
      <c r="E238" s="352">
        <v>7</v>
      </c>
      <c r="F238" s="254">
        <f t="shared" si="31"/>
        <v>346.5</v>
      </c>
      <c r="G238" s="259">
        <v>50</v>
      </c>
      <c r="H238" s="249">
        <f t="shared" si="32"/>
        <v>1050</v>
      </c>
      <c r="I238" s="251">
        <f t="shared" si="33"/>
        <v>346.5</v>
      </c>
      <c r="J238" s="296"/>
      <c r="K238" s="296"/>
      <c r="L238" s="296"/>
      <c r="M238" s="296"/>
      <c r="N238" s="252"/>
      <c r="O238" s="252"/>
      <c r="P238" s="252"/>
      <c r="Q238" s="253"/>
    </row>
    <row r="239" spans="1:17" s="3" customFormat="1" ht="25" customHeight="1" x14ac:dyDescent="0.25">
      <c r="A239" s="354" t="s">
        <v>230</v>
      </c>
      <c r="B239" s="350" t="s">
        <v>505</v>
      </c>
      <c r="C239" s="352">
        <v>5</v>
      </c>
      <c r="D239" s="352">
        <v>1</v>
      </c>
      <c r="E239" s="352">
        <v>7</v>
      </c>
      <c r="F239" s="271">
        <f>SUM(F233:F238)</f>
        <v>3036</v>
      </c>
      <c r="G239" s="279">
        <f>SUM(G233:G238)</f>
        <v>340</v>
      </c>
      <c r="H239" s="279">
        <f>SUM(H233:H238)</f>
        <v>10350</v>
      </c>
      <c r="I239" s="279">
        <f>SUM(I233:I238)</f>
        <v>3036</v>
      </c>
      <c r="J239" s="252"/>
      <c r="K239" s="252"/>
      <c r="L239" s="252"/>
      <c r="M239" s="252"/>
      <c r="N239" s="252"/>
      <c r="O239" s="252"/>
      <c r="P239" s="252"/>
      <c r="Q239" s="253"/>
    </row>
    <row r="240" spans="1:17" s="3" customFormat="1" ht="25" customHeight="1" x14ac:dyDescent="0.25">
      <c r="A240" s="354" t="s">
        <v>231</v>
      </c>
      <c r="B240" s="350" t="s">
        <v>506</v>
      </c>
      <c r="C240" s="352">
        <v>5</v>
      </c>
      <c r="D240" s="352">
        <v>1</v>
      </c>
      <c r="E240" s="352">
        <v>16</v>
      </c>
      <c r="F240" s="317">
        <f>F211+F223+F229+F239</f>
        <v>5070.45</v>
      </c>
      <c r="G240" s="282">
        <f>G211+G223+G229+G239</f>
        <v>895</v>
      </c>
      <c r="H240" s="282">
        <f>H211+H223+H229+H239</f>
        <v>16230</v>
      </c>
      <c r="I240" s="282">
        <f>I211+I223+I229+I239</f>
        <v>5070.45</v>
      </c>
      <c r="J240" s="300">
        <v>0</v>
      </c>
      <c r="K240" s="301">
        <v>0</v>
      </c>
      <c r="L240" s="264">
        <f>'Bieu3 GDH'!F20</f>
        <v>1080</v>
      </c>
      <c r="M240" s="264">
        <f>'Bieu3 GDH'!N20</f>
        <v>1039.5</v>
      </c>
      <c r="N240" s="260">
        <f>I240-M240</f>
        <v>4030.95</v>
      </c>
      <c r="O240" s="264">
        <f>'Bieu3 GDH'!O20</f>
        <v>805.25</v>
      </c>
      <c r="P240" s="264">
        <f>'Bieu3 GDH'!P20</f>
        <v>370</v>
      </c>
      <c r="Q240" s="265"/>
    </row>
    <row r="241" spans="1:17" s="3" customFormat="1" ht="25" customHeight="1" x14ac:dyDescent="0.25">
      <c r="A241" s="354"/>
      <c r="B241" s="361" t="s">
        <v>380</v>
      </c>
      <c r="C241" s="364">
        <f>SUM(C235:C240)</f>
        <v>26</v>
      </c>
      <c r="D241" s="364">
        <f>SUM(D235:D240)</f>
        <v>6</v>
      </c>
      <c r="E241" s="364">
        <f>SUM(E235:E240)</f>
        <v>69</v>
      </c>
      <c r="F241" s="439"/>
      <c r="G241" s="438"/>
      <c r="H241" s="438"/>
      <c r="I241" s="438"/>
      <c r="J241" s="440"/>
      <c r="K241" s="441"/>
      <c r="L241" s="370"/>
      <c r="M241" s="370"/>
      <c r="N241" s="365"/>
      <c r="O241" s="370"/>
      <c r="P241" s="370"/>
      <c r="Q241" s="371"/>
    </row>
    <row r="242" spans="1:17" s="3" customFormat="1" ht="25" customHeight="1" x14ac:dyDescent="0.25">
      <c r="A242" s="393"/>
      <c r="B242" s="442" t="s">
        <v>439</v>
      </c>
      <c r="C242" s="388">
        <f>C4+C212+C225+C231+C241</f>
        <v>67</v>
      </c>
      <c r="D242" s="388">
        <f>D212+D225+D231+D241</f>
        <v>19</v>
      </c>
      <c r="E242" s="388">
        <f>E212+E225+E231+E241</f>
        <v>120</v>
      </c>
      <c r="F242" s="439"/>
      <c r="G242" s="438"/>
      <c r="H242" s="438"/>
      <c r="I242" s="438"/>
      <c r="J242" s="440"/>
      <c r="K242" s="441"/>
      <c r="L242" s="370"/>
      <c r="M242" s="370"/>
      <c r="N242" s="365"/>
      <c r="O242" s="370"/>
      <c r="P242" s="370"/>
      <c r="Q242" s="371"/>
    </row>
    <row r="243" spans="1:17" s="3" customFormat="1" ht="25" customHeight="1" x14ac:dyDescent="0.25">
      <c r="A243" s="242" t="s">
        <v>6</v>
      </c>
      <c r="B243" s="242" t="s">
        <v>483</v>
      </c>
      <c r="C243" s="243"/>
      <c r="D243" s="243"/>
      <c r="E243" s="243"/>
      <c r="F243" s="315"/>
      <c r="G243" s="243"/>
      <c r="H243" s="243"/>
      <c r="I243" s="243"/>
      <c r="J243" s="243"/>
      <c r="K243" s="283"/>
      <c r="L243" s="284"/>
      <c r="M243" s="257"/>
      <c r="N243" s="257"/>
      <c r="O243" s="257"/>
      <c r="P243" s="257"/>
      <c r="Q243" s="257"/>
    </row>
    <row r="244" spans="1:17" s="3" customFormat="1" ht="25" customHeight="1" x14ac:dyDescent="0.25">
      <c r="A244" s="242" t="s">
        <v>7</v>
      </c>
      <c r="B244" s="242" t="s">
        <v>223</v>
      </c>
      <c r="C244" s="243"/>
      <c r="D244" s="243"/>
      <c r="E244" s="243"/>
      <c r="F244" s="315"/>
      <c r="G244" s="243"/>
      <c r="H244" s="243"/>
      <c r="I244" s="243"/>
      <c r="J244" s="243"/>
      <c r="K244" s="283"/>
      <c r="L244" s="284"/>
      <c r="M244" s="257"/>
      <c r="N244" s="257"/>
      <c r="O244" s="257"/>
      <c r="P244" s="257"/>
      <c r="Q244" s="257"/>
    </row>
    <row r="245" spans="1:17" s="3" customFormat="1" ht="25" customHeight="1" x14ac:dyDescent="0.25">
      <c r="A245" s="242">
        <v>1</v>
      </c>
      <c r="B245" s="242" t="s">
        <v>4</v>
      </c>
      <c r="C245" s="243"/>
      <c r="D245" s="243"/>
      <c r="E245" s="243"/>
      <c r="F245" s="315"/>
      <c r="G245" s="243"/>
      <c r="H245" s="243"/>
      <c r="I245" s="243"/>
      <c r="J245" s="243"/>
      <c r="K245" s="283"/>
      <c r="L245" s="284"/>
      <c r="M245" s="257"/>
      <c r="N245" s="257"/>
      <c r="O245" s="257"/>
      <c r="P245" s="257"/>
      <c r="Q245" s="257"/>
    </row>
    <row r="246" spans="1:17" s="3" customFormat="1" ht="25" customHeight="1" x14ac:dyDescent="0.25">
      <c r="A246" s="244" t="s">
        <v>147</v>
      </c>
      <c r="B246" s="245" t="s">
        <v>161</v>
      </c>
      <c r="C246" s="246"/>
      <c r="D246" s="246"/>
      <c r="E246" s="246"/>
      <c r="F246" s="249"/>
      <c r="G246" s="246"/>
      <c r="H246" s="246"/>
      <c r="I246" s="247"/>
      <c r="J246" s="247"/>
      <c r="K246" s="283"/>
      <c r="L246" s="284"/>
      <c r="M246" s="257"/>
      <c r="N246" s="257"/>
      <c r="O246" s="257"/>
      <c r="P246" s="257"/>
      <c r="Q246" s="257"/>
    </row>
    <row r="247" spans="1:17" s="3" customFormat="1" ht="25" customHeight="1" x14ac:dyDescent="0.25">
      <c r="A247" s="358" t="s">
        <v>226</v>
      </c>
      <c r="B247" s="372" t="s">
        <v>440</v>
      </c>
      <c r="C247" s="352">
        <v>2</v>
      </c>
      <c r="D247" s="351">
        <v>1</v>
      </c>
      <c r="E247" s="352">
        <v>1</v>
      </c>
      <c r="F247" s="254">
        <f t="shared" ref="F247:F272" si="34">I247+J247+K247</f>
        <v>33</v>
      </c>
      <c r="G247" s="249">
        <v>40</v>
      </c>
      <c r="H247" s="249">
        <f t="shared" ref="H247:H271" si="35">C247*D247*E247*G247</f>
        <v>80</v>
      </c>
      <c r="I247" s="251">
        <f t="shared" ref="I247:I272" si="36">IF(G247&lt;70, C247*E247*16.5*1, C247*E247*16.5*1.3)</f>
        <v>33</v>
      </c>
      <c r="J247" s="247"/>
      <c r="K247" s="283"/>
      <c r="L247" s="284"/>
      <c r="M247" s="257"/>
      <c r="N247" s="257"/>
      <c r="O247" s="257"/>
      <c r="P247" s="257"/>
      <c r="Q247" s="257"/>
    </row>
    <row r="248" spans="1:17" s="3" customFormat="1" ht="25" customHeight="1" x14ac:dyDescent="0.25">
      <c r="A248" s="358" t="s">
        <v>227</v>
      </c>
      <c r="B248" s="390" t="s">
        <v>441</v>
      </c>
      <c r="C248" s="352">
        <v>3</v>
      </c>
      <c r="D248" s="352">
        <v>1</v>
      </c>
      <c r="E248" s="352">
        <v>1</v>
      </c>
      <c r="F248" s="254">
        <f t="shared" si="34"/>
        <v>49.5</v>
      </c>
      <c r="G248" s="249">
        <v>20</v>
      </c>
      <c r="H248" s="249">
        <f t="shared" si="35"/>
        <v>60</v>
      </c>
      <c r="I248" s="251">
        <f t="shared" si="36"/>
        <v>49.5</v>
      </c>
      <c r="J248" s="247"/>
      <c r="K248" s="283"/>
      <c r="L248" s="284"/>
      <c r="M248" s="257"/>
      <c r="N248" s="257"/>
      <c r="O248" s="257"/>
      <c r="P248" s="257"/>
      <c r="Q248" s="257"/>
    </row>
    <row r="249" spans="1:17" s="3" customFormat="1" ht="25" customHeight="1" x14ac:dyDescent="0.25">
      <c r="A249" s="358" t="s">
        <v>228</v>
      </c>
      <c r="B249" s="350" t="s">
        <v>442</v>
      </c>
      <c r="C249" s="352">
        <v>2</v>
      </c>
      <c r="D249" s="352">
        <v>1</v>
      </c>
      <c r="E249" s="352">
        <v>3</v>
      </c>
      <c r="F249" s="254">
        <f t="shared" si="34"/>
        <v>128.70000000000002</v>
      </c>
      <c r="G249" s="249">
        <v>80</v>
      </c>
      <c r="H249" s="249">
        <f t="shared" si="35"/>
        <v>480</v>
      </c>
      <c r="I249" s="251">
        <f t="shared" si="36"/>
        <v>128.70000000000002</v>
      </c>
      <c r="J249" s="252"/>
      <c r="K249" s="283"/>
      <c r="L249" s="284"/>
      <c r="M249" s="257"/>
      <c r="N249" s="257"/>
      <c r="O249" s="257"/>
      <c r="P249" s="257"/>
      <c r="Q249" s="257"/>
    </row>
    <row r="250" spans="1:17" s="3" customFormat="1" ht="25" customHeight="1" x14ac:dyDescent="0.25">
      <c r="A250" s="358" t="s">
        <v>229</v>
      </c>
      <c r="B250" s="372" t="s">
        <v>443</v>
      </c>
      <c r="C250" s="352">
        <v>3</v>
      </c>
      <c r="D250" s="352">
        <v>1</v>
      </c>
      <c r="E250" s="352">
        <v>1</v>
      </c>
      <c r="F250" s="254">
        <f t="shared" si="34"/>
        <v>64.350000000000009</v>
      </c>
      <c r="G250" s="249">
        <v>80</v>
      </c>
      <c r="H250" s="249">
        <f t="shared" si="35"/>
        <v>240</v>
      </c>
      <c r="I250" s="251">
        <f t="shared" si="36"/>
        <v>64.350000000000009</v>
      </c>
      <c r="J250" s="247"/>
      <c r="K250" s="283"/>
      <c r="L250" s="284"/>
      <c r="M250" s="257"/>
      <c r="N250" s="257"/>
      <c r="O250" s="257"/>
      <c r="P250" s="257"/>
      <c r="Q250" s="257"/>
    </row>
    <row r="251" spans="1:17" s="3" customFormat="1" ht="25" customHeight="1" x14ac:dyDescent="0.25">
      <c r="A251" s="358" t="s">
        <v>230</v>
      </c>
      <c r="B251" s="350" t="s">
        <v>442</v>
      </c>
      <c r="C251" s="352">
        <v>2</v>
      </c>
      <c r="D251" s="352">
        <v>1</v>
      </c>
      <c r="E251" s="352">
        <v>2</v>
      </c>
      <c r="F251" s="254">
        <f t="shared" si="34"/>
        <v>85.8</v>
      </c>
      <c r="G251" s="249">
        <v>80</v>
      </c>
      <c r="H251" s="249">
        <f t="shared" si="35"/>
        <v>320</v>
      </c>
      <c r="I251" s="251">
        <f t="shared" si="36"/>
        <v>85.8</v>
      </c>
      <c r="J251" s="247"/>
      <c r="K251" s="283"/>
      <c r="L251" s="284"/>
      <c r="M251" s="257"/>
      <c r="N251" s="257"/>
      <c r="O251" s="257"/>
      <c r="P251" s="257"/>
      <c r="Q251" s="257"/>
    </row>
    <row r="252" spans="1:17" s="3" customFormat="1" ht="25" customHeight="1" x14ac:dyDescent="0.25">
      <c r="A252" s="358" t="s">
        <v>231</v>
      </c>
      <c r="B252" s="372" t="s">
        <v>440</v>
      </c>
      <c r="C252" s="352">
        <v>2</v>
      </c>
      <c r="D252" s="352">
        <v>1</v>
      </c>
      <c r="E252" s="352">
        <v>1</v>
      </c>
      <c r="F252" s="254">
        <f t="shared" si="34"/>
        <v>42.9</v>
      </c>
      <c r="G252" s="249">
        <v>80</v>
      </c>
      <c r="H252" s="249">
        <f t="shared" si="35"/>
        <v>160</v>
      </c>
      <c r="I252" s="251">
        <f t="shared" si="36"/>
        <v>42.9</v>
      </c>
      <c r="J252" s="247"/>
      <c r="K252" s="283"/>
      <c r="L252" s="284"/>
      <c r="M252" s="257"/>
      <c r="N252" s="257"/>
      <c r="O252" s="257"/>
      <c r="P252" s="257"/>
      <c r="Q252" s="257"/>
    </row>
    <row r="253" spans="1:17" s="3" customFormat="1" ht="25" customHeight="1" x14ac:dyDescent="0.25">
      <c r="A253" s="358" t="s">
        <v>282</v>
      </c>
      <c r="B253" s="350" t="s">
        <v>444</v>
      </c>
      <c r="C253" s="351">
        <v>3</v>
      </c>
      <c r="D253" s="351">
        <v>1</v>
      </c>
      <c r="E253" s="351">
        <v>1</v>
      </c>
      <c r="F253" s="254">
        <f t="shared" si="34"/>
        <v>49.5</v>
      </c>
      <c r="G253" s="251">
        <v>40</v>
      </c>
      <c r="H253" s="249">
        <f t="shared" si="35"/>
        <v>120</v>
      </c>
      <c r="I253" s="251">
        <f t="shared" si="36"/>
        <v>49.5</v>
      </c>
      <c r="J253" s="247"/>
      <c r="K253" s="283"/>
      <c r="L253" s="284"/>
      <c r="M253" s="257"/>
      <c r="N253" s="257"/>
      <c r="O253" s="257"/>
      <c r="P253" s="257"/>
      <c r="Q253" s="257"/>
    </row>
    <row r="254" spans="1:17" s="3" customFormat="1" ht="25" customHeight="1" x14ac:dyDescent="0.25">
      <c r="A254" s="358" t="s">
        <v>283</v>
      </c>
      <c r="B254" s="350" t="s">
        <v>445</v>
      </c>
      <c r="C254" s="351">
        <v>2</v>
      </c>
      <c r="D254" s="351">
        <v>1</v>
      </c>
      <c r="E254" s="351">
        <v>1</v>
      </c>
      <c r="F254" s="254">
        <f t="shared" si="34"/>
        <v>33</v>
      </c>
      <c r="G254" s="251">
        <v>40</v>
      </c>
      <c r="H254" s="249">
        <f t="shared" si="35"/>
        <v>80</v>
      </c>
      <c r="I254" s="251">
        <f t="shared" si="36"/>
        <v>33</v>
      </c>
      <c r="J254" s="247"/>
      <c r="K254" s="283"/>
      <c r="L254" s="284"/>
      <c r="M254" s="257"/>
      <c r="N254" s="257"/>
      <c r="O254" s="257"/>
      <c r="P254" s="257"/>
      <c r="Q254" s="257"/>
    </row>
    <row r="255" spans="1:17" s="3" customFormat="1" ht="25" customHeight="1" x14ac:dyDescent="0.25">
      <c r="A255" s="358" t="s">
        <v>284</v>
      </c>
      <c r="B255" s="350" t="s">
        <v>446</v>
      </c>
      <c r="C255" s="351">
        <v>3</v>
      </c>
      <c r="D255" s="351">
        <v>1</v>
      </c>
      <c r="E255" s="351">
        <v>1</v>
      </c>
      <c r="F255" s="254">
        <f t="shared" si="34"/>
        <v>49.5</v>
      </c>
      <c r="G255" s="251">
        <v>30</v>
      </c>
      <c r="H255" s="249">
        <f t="shared" si="35"/>
        <v>90</v>
      </c>
      <c r="I255" s="251">
        <f t="shared" si="36"/>
        <v>49.5</v>
      </c>
      <c r="J255" s="247"/>
      <c r="K255" s="283"/>
      <c r="L255" s="284"/>
      <c r="M255" s="257"/>
      <c r="N255" s="257"/>
      <c r="O255" s="257"/>
      <c r="P255" s="257"/>
      <c r="Q255" s="257"/>
    </row>
    <row r="256" spans="1:17" s="3" customFormat="1" ht="25" customHeight="1" x14ac:dyDescent="0.25">
      <c r="A256" s="358" t="s">
        <v>285</v>
      </c>
      <c r="B256" s="350" t="s">
        <v>447</v>
      </c>
      <c r="C256" s="351">
        <v>4</v>
      </c>
      <c r="D256" s="351">
        <v>1</v>
      </c>
      <c r="E256" s="351">
        <v>1</v>
      </c>
      <c r="F256" s="254">
        <f t="shared" si="34"/>
        <v>66</v>
      </c>
      <c r="G256" s="251">
        <v>30</v>
      </c>
      <c r="H256" s="249">
        <f t="shared" si="35"/>
        <v>120</v>
      </c>
      <c r="I256" s="251">
        <f t="shared" si="36"/>
        <v>66</v>
      </c>
      <c r="J256" s="247"/>
      <c r="K256" s="283"/>
      <c r="L256" s="284"/>
      <c r="M256" s="257"/>
      <c r="N256" s="257"/>
      <c r="O256" s="257"/>
      <c r="P256" s="257"/>
      <c r="Q256" s="257"/>
    </row>
    <row r="257" spans="1:17" s="3" customFormat="1" ht="25" customHeight="1" x14ac:dyDescent="0.25">
      <c r="A257" s="358" t="s">
        <v>286</v>
      </c>
      <c r="B257" s="372" t="s">
        <v>440</v>
      </c>
      <c r="C257" s="351">
        <v>2</v>
      </c>
      <c r="D257" s="351">
        <v>1</v>
      </c>
      <c r="E257" s="351">
        <v>1</v>
      </c>
      <c r="F257" s="254">
        <f t="shared" si="34"/>
        <v>42.9</v>
      </c>
      <c r="G257" s="251">
        <v>80</v>
      </c>
      <c r="H257" s="249">
        <f t="shared" si="35"/>
        <v>160</v>
      </c>
      <c r="I257" s="251">
        <f t="shared" si="36"/>
        <v>42.9</v>
      </c>
      <c r="J257" s="247"/>
      <c r="K257" s="283"/>
      <c r="L257" s="284"/>
      <c r="M257" s="257"/>
      <c r="N257" s="257"/>
      <c r="O257" s="257"/>
      <c r="P257" s="257"/>
      <c r="Q257" s="257"/>
    </row>
    <row r="258" spans="1:17" s="3" customFormat="1" ht="25" customHeight="1" x14ac:dyDescent="0.25">
      <c r="A258" s="358" t="s">
        <v>289</v>
      </c>
      <c r="B258" s="350" t="s">
        <v>442</v>
      </c>
      <c r="C258" s="352">
        <v>2</v>
      </c>
      <c r="D258" s="352">
        <v>1</v>
      </c>
      <c r="E258" s="351">
        <v>1</v>
      </c>
      <c r="F258" s="254">
        <f t="shared" si="34"/>
        <v>42.9</v>
      </c>
      <c r="G258" s="249">
        <v>80</v>
      </c>
      <c r="H258" s="249">
        <f t="shared" si="35"/>
        <v>160</v>
      </c>
      <c r="I258" s="251">
        <f t="shared" si="36"/>
        <v>42.9</v>
      </c>
      <c r="J258" s="247"/>
      <c r="K258" s="283"/>
      <c r="L258" s="284"/>
      <c r="M258" s="257"/>
      <c r="N258" s="257"/>
      <c r="O258" s="257"/>
      <c r="P258" s="257"/>
      <c r="Q258" s="257"/>
    </row>
    <row r="259" spans="1:17" s="3" customFormat="1" ht="25" customHeight="1" x14ac:dyDescent="0.25">
      <c r="A259" s="358" t="s">
        <v>290</v>
      </c>
      <c r="B259" s="350" t="s">
        <v>448</v>
      </c>
      <c r="C259" s="352">
        <v>4</v>
      </c>
      <c r="D259" s="352">
        <v>1</v>
      </c>
      <c r="E259" s="352">
        <v>1</v>
      </c>
      <c r="F259" s="254">
        <f t="shared" si="34"/>
        <v>66</v>
      </c>
      <c r="G259" s="249">
        <v>30</v>
      </c>
      <c r="H259" s="249">
        <f t="shared" si="35"/>
        <v>120</v>
      </c>
      <c r="I259" s="251">
        <f t="shared" si="36"/>
        <v>66</v>
      </c>
      <c r="J259" s="247"/>
      <c r="K259" s="283"/>
      <c r="L259" s="284"/>
      <c r="M259" s="257"/>
      <c r="N259" s="257"/>
      <c r="O259" s="257"/>
      <c r="P259" s="257"/>
      <c r="Q259" s="257"/>
    </row>
    <row r="260" spans="1:17" s="3" customFormat="1" ht="25" customHeight="1" x14ac:dyDescent="0.25">
      <c r="A260" s="358" t="s">
        <v>291</v>
      </c>
      <c r="B260" s="350" t="s">
        <v>449</v>
      </c>
      <c r="C260" s="391">
        <v>4</v>
      </c>
      <c r="D260" s="376">
        <v>1</v>
      </c>
      <c r="E260" s="376">
        <v>1</v>
      </c>
      <c r="F260" s="254">
        <f t="shared" si="34"/>
        <v>66</v>
      </c>
      <c r="G260" s="322">
        <v>40</v>
      </c>
      <c r="H260" s="249">
        <f t="shared" si="35"/>
        <v>160</v>
      </c>
      <c r="I260" s="251">
        <f t="shared" si="36"/>
        <v>66</v>
      </c>
      <c r="J260" s="247"/>
      <c r="K260" s="283"/>
      <c r="L260" s="284"/>
      <c r="M260" s="257"/>
      <c r="N260" s="257"/>
      <c r="O260" s="257"/>
      <c r="P260" s="257"/>
      <c r="Q260" s="257"/>
    </row>
    <row r="261" spans="1:17" s="3" customFormat="1" ht="25" customHeight="1" x14ac:dyDescent="0.25">
      <c r="A261" s="358" t="s">
        <v>292</v>
      </c>
      <c r="B261" s="372" t="s">
        <v>440</v>
      </c>
      <c r="C261" s="391">
        <v>2</v>
      </c>
      <c r="D261" s="376">
        <v>1</v>
      </c>
      <c r="E261" s="376">
        <v>1</v>
      </c>
      <c r="F261" s="254">
        <f t="shared" si="34"/>
        <v>42.9</v>
      </c>
      <c r="G261" s="322">
        <v>89</v>
      </c>
      <c r="H261" s="249">
        <f t="shared" si="35"/>
        <v>178</v>
      </c>
      <c r="I261" s="251">
        <f t="shared" si="36"/>
        <v>42.9</v>
      </c>
      <c r="J261" s="247"/>
      <c r="K261" s="283"/>
      <c r="L261" s="284"/>
      <c r="M261" s="257"/>
      <c r="N261" s="257"/>
      <c r="O261" s="257"/>
      <c r="P261" s="257"/>
      <c r="Q261" s="257"/>
    </row>
    <row r="262" spans="1:17" s="3" customFormat="1" ht="25" customHeight="1" x14ac:dyDescent="0.25">
      <c r="A262" s="358" t="s">
        <v>394</v>
      </c>
      <c r="B262" s="350" t="s">
        <v>450</v>
      </c>
      <c r="C262" s="391">
        <v>3</v>
      </c>
      <c r="D262" s="376">
        <v>1</v>
      </c>
      <c r="E262" s="376">
        <v>1</v>
      </c>
      <c r="F262" s="254">
        <f t="shared" si="34"/>
        <v>49.5</v>
      </c>
      <c r="G262" s="322">
        <v>40</v>
      </c>
      <c r="H262" s="249">
        <f t="shared" si="35"/>
        <v>120</v>
      </c>
      <c r="I262" s="251">
        <f t="shared" si="36"/>
        <v>49.5</v>
      </c>
      <c r="J262" s="252"/>
      <c r="K262" s="283"/>
      <c r="L262" s="284"/>
      <c r="M262" s="257"/>
      <c r="N262" s="257"/>
      <c r="O262" s="257"/>
      <c r="P262" s="257"/>
      <c r="Q262" s="257"/>
    </row>
    <row r="263" spans="1:17" s="3" customFormat="1" ht="25" customHeight="1" x14ac:dyDescent="0.25">
      <c r="A263" s="358" t="s">
        <v>395</v>
      </c>
      <c r="B263" s="350" t="s">
        <v>442</v>
      </c>
      <c r="C263" s="352">
        <v>2</v>
      </c>
      <c r="D263" s="352">
        <v>1</v>
      </c>
      <c r="E263" s="352">
        <v>1</v>
      </c>
      <c r="F263" s="254">
        <f t="shared" si="34"/>
        <v>42.9</v>
      </c>
      <c r="G263" s="249">
        <v>80</v>
      </c>
      <c r="H263" s="249">
        <f t="shared" si="35"/>
        <v>160</v>
      </c>
      <c r="I263" s="251">
        <f t="shared" si="36"/>
        <v>42.9</v>
      </c>
      <c r="J263" s="252"/>
      <c r="K263" s="283"/>
      <c r="L263" s="284"/>
      <c r="M263" s="257"/>
      <c r="N263" s="257"/>
      <c r="O263" s="257"/>
      <c r="P263" s="257"/>
      <c r="Q263" s="257"/>
    </row>
    <row r="264" spans="1:17" s="3" customFormat="1" ht="25" customHeight="1" x14ac:dyDescent="0.25">
      <c r="A264" s="358" t="s">
        <v>396</v>
      </c>
      <c r="B264" s="375" t="s">
        <v>451</v>
      </c>
      <c r="C264" s="352">
        <v>2</v>
      </c>
      <c r="D264" s="352">
        <v>1</v>
      </c>
      <c r="E264" s="352">
        <v>1</v>
      </c>
      <c r="F264" s="254">
        <f t="shared" si="34"/>
        <v>33</v>
      </c>
      <c r="G264" s="249">
        <v>40</v>
      </c>
      <c r="H264" s="249">
        <f t="shared" si="35"/>
        <v>80</v>
      </c>
      <c r="I264" s="251">
        <f t="shared" si="36"/>
        <v>33</v>
      </c>
      <c r="J264" s="252"/>
      <c r="K264" s="283"/>
      <c r="L264" s="284"/>
      <c r="M264" s="257"/>
      <c r="N264" s="257"/>
      <c r="O264" s="257"/>
      <c r="P264" s="257"/>
      <c r="Q264" s="257"/>
    </row>
    <row r="265" spans="1:17" s="3" customFormat="1" ht="25" customHeight="1" x14ac:dyDescent="0.25">
      <c r="A265" s="358" t="s">
        <v>397</v>
      </c>
      <c r="B265" s="350" t="s">
        <v>452</v>
      </c>
      <c r="C265" s="352">
        <v>3</v>
      </c>
      <c r="D265" s="352">
        <v>1</v>
      </c>
      <c r="E265" s="352">
        <v>1</v>
      </c>
      <c r="F265" s="254">
        <f t="shared" si="34"/>
        <v>49.5</v>
      </c>
      <c r="G265" s="249">
        <v>40</v>
      </c>
      <c r="H265" s="249">
        <f t="shared" si="35"/>
        <v>120</v>
      </c>
      <c r="I265" s="251">
        <f t="shared" si="36"/>
        <v>49.5</v>
      </c>
      <c r="J265" s="252"/>
      <c r="K265" s="283"/>
      <c r="L265" s="284"/>
      <c r="M265" s="257"/>
      <c r="N265" s="257"/>
      <c r="O265" s="257"/>
      <c r="P265" s="257"/>
      <c r="Q265" s="257"/>
    </row>
    <row r="266" spans="1:17" s="3" customFormat="1" ht="25" customHeight="1" x14ac:dyDescent="0.25">
      <c r="A266" s="358" t="s">
        <v>398</v>
      </c>
      <c r="B266" s="350" t="s">
        <v>453</v>
      </c>
      <c r="C266" s="352">
        <v>2</v>
      </c>
      <c r="D266" s="352">
        <v>1</v>
      </c>
      <c r="E266" s="352">
        <v>1</v>
      </c>
      <c r="F266" s="254">
        <f t="shared" si="34"/>
        <v>42.9</v>
      </c>
      <c r="G266" s="249">
        <v>80</v>
      </c>
      <c r="H266" s="249">
        <f t="shared" si="35"/>
        <v>160</v>
      </c>
      <c r="I266" s="251">
        <f t="shared" si="36"/>
        <v>42.9</v>
      </c>
      <c r="J266" s="252"/>
      <c r="K266" s="283"/>
      <c r="L266" s="284"/>
      <c r="M266" s="257"/>
      <c r="N266" s="257"/>
      <c r="O266" s="257"/>
      <c r="P266" s="257"/>
      <c r="Q266" s="257"/>
    </row>
    <row r="267" spans="1:17" s="3" customFormat="1" ht="25" customHeight="1" x14ac:dyDescent="0.25">
      <c r="A267" s="358" t="s">
        <v>399</v>
      </c>
      <c r="B267" s="350" t="s">
        <v>445</v>
      </c>
      <c r="C267" s="351">
        <v>2</v>
      </c>
      <c r="D267" s="377">
        <v>1</v>
      </c>
      <c r="E267" s="377">
        <v>1</v>
      </c>
      <c r="F267" s="254">
        <f t="shared" si="34"/>
        <v>33</v>
      </c>
      <c r="G267" s="255">
        <v>40</v>
      </c>
      <c r="H267" s="249">
        <f t="shared" si="35"/>
        <v>80</v>
      </c>
      <c r="I267" s="251">
        <f t="shared" si="36"/>
        <v>33</v>
      </c>
      <c r="J267" s="252"/>
      <c r="K267" s="283"/>
      <c r="L267" s="284"/>
      <c r="M267" s="257"/>
      <c r="N267" s="257"/>
      <c r="O267" s="257"/>
      <c r="P267" s="257"/>
      <c r="Q267" s="257"/>
    </row>
    <row r="268" spans="1:17" s="3" customFormat="1" ht="25" customHeight="1" x14ac:dyDescent="0.25">
      <c r="A268" s="358" t="s">
        <v>400</v>
      </c>
      <c r="B268" s="350" t="s">
        <v>453</v>
      </c>
      <c r="C268" s="352">
        <v>2</v>
      </c>
      <c r="D268" s="352">
        <v>1.3</v>
      </c>
      <c r="E268" s="352">
        <v>1</v>
      </c>
      <c r="F268" s="254">
        <f t="shared" si="34"/>
        <v>33</v>
      </c>
      <c r="G268" s="249">
        <v>40</v>
      </c>
      <c r="H268" s="249">
        <f t="shared" si="35"/>
        <v>104</v>
      </c>
      <c r="I268" s="251">
        <f t="shared" si="36"/>
        <v>33</v>
      </c>
      <c r="J268" s="252"/>
      <c r="K268" s="283"/>
      <c r="L268" s="284"/>
      <c r="M268" s="257"/>
      <c r="N268" s="257"/>
      <c r="O268" s="257"/>
      <c r="P268" s="257"/>
      <c r="Q268" s="257"/>
    </row>
    <row r="269" spans="1:17" s="3" customFormat="1" ht="25" customHeight="1" x14ac:dyDescent="0.25">
      <c r="A269" s="358" t="s">
        <v>401</v>
      </c>
      <c r="B269" s="350" t="s">
        <v>454</v>
      </c>
      <c r="C269" s="352">
        <v>4</v>
      </c>
      <c r="D269" s="352">
        <v>1</v>
      </c>
      <c r="E269" s="352">
        <v>1</v>
      </c>
      <c r="F269" s="254">
        <f t="shared" si="34"/>
        <v>66</v>
      </c>
      <c r="G269" s="249">
        <v>40</v>
      </c>
      <c r="H269" s="249">
        <f t="shared" si="35"/>
        <v>160</v>
      </c>
      <c r="I269" s="251">
        <f t="shared" si="36"/>
        <v>66</v>
      </c>
      <c r="J269" s="252"/>
      <c r="K269" s="283"/>
      <c r="L269" s="284"/>
      <c r="M269" s="257"/>
      <c r="N269" s="257"/>
      <c r="O269" s="257"/>
      <c r="P269" s="257"/>
      <c r="Q269" s="257"/>
    </row>
    <row r="270" spans="1:17" s="3" customFormat="1" ht="25" customHeight="1" x14ac:dyDescent="0.25">
      <c r="A270" s="358" t="s">
        <v>402</v>
      </c>
      <c r="B270" s="350" t="s">
        <v>455</v>
      </c>
      <c r="C270" s="352">
        <v>4</v>
      </c>
      <c r="D270" s="352">
        <v>1</v>
      </c>
      <c r="E270" s="352">
        <v>1</v>
      </c>
      <c r="F270" s="254">
        <f t="shared" si="34"/>
        <v>66</v>
      </c>
      <c r="G270" s="249">
        <v>40</v>
      </c>
      <c r="H270" s="249">
        <f t="shared" si="35"/>
        <v>160</v>
      </c>
      <c r="I270" s="251">
        <f t="shared" si="36"/>
        <v>66</v>
      </c>
      <c r="J270" s="252"/>
      <c r="K270" s="283"/>
      <c r="L270" s="284"/>
      <c r="M270" s="257"/>
      <c r="N270" s="257"/>
      <c r="O270" s="257"/>
      <c r="P270" s="257"/>
      <c r="Q270" s="257"/>
    </row>
    <row r="271" spans="1:17" s="3" customFormat="1" ht="25" customHeight="1" x14ac:dyDescent="0.25">
      <c r="A271" s="358" t="s">
        <v>403</v>
      </c>
      <c r="B271" s="350" t="s">
        <v>456</v>
      </c>
      <c r="C271" s="352">
        <v>3</v>
      </c>
      <c r="D271" s="352">
        <v>1</v>
      </c>
      <c r="E271" s="352">
        <v>1</v>
      </c>
      <c r="F271" s="254">
        <f t="shared" si="34"/>
        <v>49.5</v>
      </c>
      <c r="G271" s="249">
        <v>40</v>
      </c>
      <c r="H271" s="249">
        <f t="shared" si="35"/>
        <v>120</v>
      </c>
      <c r="I271" s="251">
        <f t="shared" si="36"/>
        <v>49.5</v>
      </c>
      <c r="J271" s="252"/>
      <c r="K271" s="283"/>
      <c r="L271" s="284"/>
      <c r="M271" s="257"/>
      <c r="N271" s="257"/>
      <c r="O271" s="257"/>
      <c r="P271" s="257"/>
      <c r="Q271" s="257"/>
    </row>
    <row r="272" spans="1:17" s="3" customFormat="1" ht="25" customHeight="1" x14ac:dyDescent="0.25">
      <c r="A272" s="358" t="s">
        <v>404</v>
      </c>
      <c r="B272" s="350" t="s">
        <v>457</v>
      </c>
      <c r="C272" s="352">
        <v>1</v>
      </c>
      <c r="D272" s="352">
        <v>1.3</v>
      </c>
      <c r="E272" s="352">
        <v>1</v>
      </c>
      <c r="F272" s="254">
        <f t="shared" si="34"/>
        <v>16.5</v>
      </c>
      <c r="G272" s="249">
        <v>40</v>
      </c>
      <c r="H272" s="249">
        <f>C272*D272*E272*G272</f>
        <v>52</v>
      </c>
      <c r="I272" s="251">
        <f t="shared" si="36"/>
        <v>16.5</v>
      </c>
      <c r="J272" s="252"/>
      <c r="K272" s="283"/>
      <c r="L272" s="284"/>
      <c r="M272" s="257"/>
      <c r="N272" s="257"/>
      <c r="O272" s="257"/>
      <c r="P272" s="257"/>
      <c r="Q272" s="257"/>
    </row>
    <row r="273" spans="1:17" s="3" customFormat="1" ht="25" customHeight="1" x14ac:dyDescent="0.25">
      <c r="A273" s="349"/>
      <c r="B273" s="392" t="s">
        <v>380</v>
      </c>
      <c r="C273" s="351">
        <f>SUM(C247:C272)</f>
        <v>68</v>
      </c>
      <c r="D273" s="351">
        <f t="shared" ref="D273:I273" si="37">SUM(D247:D272)</f>
        <v>26.6</v>
      </c>
      <c r="E273" s="351">
        <f t="shared" si="37"/>
        <v>29</v>
      </c>
      <c r="F273" s="269">
        <f t="shared" si="37"/>
        <v>1344.75</v>
      </c>
      <c r="G273" s="269">
        <f t="shared" si="37"/>
        <v>1359</v>
      </c>
      <c r="H273" s="269">
        <f t="shared" si="37"/>
        <v>3844</v>
      </c>
      <c r="I273" s="269">
        <f t="shared" si="37"/>
        <v>1344.75</v>
      </c>
      <c r="J273" s="252"/>
      <c r="K273" s="283"/>
      <c r="L273" s="284"/>
      <c r="M273" s="257"/>
      <c r="N273" s="257"/>
      <c r="O273" s="257"/>
      <c r="P273" s="257"/>
      <c r="Q273" s="257"/>
    </row>
    <row r="274" spans="1:17" s="3" customFormat="1" ht="25" customHeight="1" x14ac:dyDescent="0.25">
      <c r="A274" s="359" t="s">
        <v>148</v>
      </c>
      <c r="B274" s="360" t="s">
        <v>151</v>
      </c>
      <c r="C274" s="352"/>
      <c r="D274" s="352"/>
      <c r="E274" s="352"/>
      <c r="F274" s="249"/>
      <c r="G274" s="249"/>
      <c r="H274" s="249"/>
      <c r="I274" s="252"/>
      <c r="J274" s="252"/>
      <c r="K274" s="283"/>
      <c r="L274" s="284"/>
      <c r="M274" s="257"/>
      <c r="N274" s="257"/>
      <c r="O274" s="257"/>
      <c r="P274" s="257"/>
      <c r="Q274" s="257"/>
    </row>
    <row r="275" spans="1:17" s="3" customFormat="1" ht="25" customHeight="1" x14ac:dyDescent="0.25">
      <c r="A275" s="354" t="s">
        <v>232</v>
      </c>
      <c r="B275" s="349" t="s">
        <v>154</v>
      </c>
      <c r="C275" s="352"/>
      <c r="D275" s="352"/>
      <c r="E275" s="352"/>
      <c r="F275" s="249"/>
      <c r="G275" s="249"/>
      <c r="H275" s="249"/>
      <c r="I275" s="252"/>
      <c r="J275" s="252"/>
      <c r="K275" s="283"/>
      <c r="L275" s="284"/>
      <c r="M275" s="257"/>
      <c r="N275" s="257"/>
      <c r="O275" s="257"/>
      <c r="P275" s="257"/>
      <c r="Q275" s="257"/>
    </row>
    <row r="276" spans="1:17" s="3" customFormat="1" ht="25" customHeight="1" x14ac:dyDescent="0.25">
      <c r="A276" s="354" t="s">
        <v>233</v>
      </c>
      <c r="B276" s="349" t="s">
        <v>153</v>
      </c>
      <c r="C276" s="352"/>
      <c r="D276" s="352"/>
      <c r="E276" s="352"/>
      <c r="F276" s="249"/>
      <c r="G276" s="249"/>
      <c r="H276" s="249"/>
      <c r="I276" s="252"/>
      <c r="J276" s="252"/>
      <c r="K276" s="283"/>
      <c r="L276" s="284"/>
      <c r="M276" s="257"/>
      <c r="N276" s="257"/>
      <c r="O276" s="257"/>
      <c r="P276" s="257"/>
      <c r="Q276" s="257"/>
    </row>
    <row r="277" spans="1:17" s="3" customFormat="1" ht="25" customHeight="1" x14ac:dyDescent="0.25">
      <c r="A277" s="393" t="s">
        <v>234</v>
      </c>
      <c r="B277" s="394" t="s">
        <v>155</v>
      </c>
      <c r="C277" s="395">
        <v>5</v>
      </c>
      <c r="D277" s="395" t="s">
        <v>665</v>
      </c>
      <c r="E277" s="395">
        <v>21</v>
      </c>
      <c r="F277" s="249"/>
      <c r="G277" s="249"/>
      <c r="H277" s="249"/>
      <c r="I277" s="252"/>
      <c r="J277" s="252"/>
      <c r="K277" s="283"/>
      <c r="L277" s="284"/>
      <c r="M277" s="257"/>
      <c r="N277" s="257"/>
      <c r="O277" s="257"/>
      <c r="P277" s="257"/>
      <c r="Q277" s="257"/>
    </row>
    <row r="278" spans="1:17" s="3" customFormat="1" ht="25" customHeight="1" x14ac:dyDescent="0.25">
      <c r="A278" s="393" t="s">
        <v>235</v>
      </c>
      <c r="B278" s="394" t="s">
        <v>156</v>
      </c>
      <c r="C278" s="395">
        <v>5</v>
      </c>
      <c r="D278" s="395" t="s">
        <v>665</v>
      </c>
      <c r="E278" s="395">
        <v>21</v>
      </c>
      <c r="F278" s="249"/>
      <c r="G278" s="249"/>
      <c r="H278" s="249"/>
      <c r="I278" s="252"/>
      <c r="J278" s="252"/>
      <c r="K278" s="283"/>
      <c r="L278" s="284"/>
      <c r="M278" s="257"/>
      <c r="N278" s="257"/>
      <c r="O278" s="257"/>
      <c r="P278" s="257"/>
      <c r="Q278" s="257"/>
    </row>
    <row r="279" spans="1:17" s="3" customFormat="1" ht="25" customHeight="1" x14ac:dyDescent="0.25">
      <c r="A279" s="354" t="s">
        <v>236</v>
      </c>
      <c r="B279" s="349" t="s">
        <v>157</v>
      </c>
      <c r="C279" s="352"/>
      <c r="D279" s="352"/>
      <c r="E279" s="352"/>
      <c r="F279" s="249"/>
      <c r="G279" s="249"/>
      <c r="H279" s="249"/>
      <c r="I279" s="252"/>
      <c r="J279" s="252"/>
      <c r="K279" s="283"/>
      <c r="L279" s="284"/>
      <c r="M279" s="257"/>
      <c r="N279" s="257"/>
      <c r="O279" s="257"/>
      <c r="P279" s="257"/>
      <c r="Q279" s="257"/>
    </row>
    <row r="280" spans="1:17" s="3" customFormat="1" ht="25" customHeight="1" x14ac:dyDescent="0.25">
      <c r="A280" s="385">
        <v>2</v>
      </c>
      <c r="B280" s="385" t="s">
        <v>164</v>
      </c>
      <c r="C280" s="352"/>
      <c r="D280" s="352"/>
      <c r="E280" s="352"/>
      <c r="F280" s="249"/>
      <c r="G280" s="249"/>
      <c r="H280" s="249"/>
      <c r="I280" s="252"/>
      <c r="J280" s="252"/>
      <c r="K280" s="283"/>
      <c r="L280" s="284"/>
      <c r="M280" s="257"/>
      <c r="N280" s="257"/>
      <c r="O280" s="257"/>
      <c r="P280" s="257"/>
      <c r="Q280" s="257"/>
    </row>
    <row r="281" spans="1:17" s="3" customFormat="1" ht="25" customHeight="1" x14ac:dyDescent="0.25">
      <c r="A281" s="356" t="s">
        <v>147</v>
      </c>
      <c r="B281" s="357" t="s">
        <v>165</v>
      </c>
      <c r="C281" s="352"/>
      <c r="D281" s="352"/>
      <c r="E281" s="352"/>
      <c r="F281" s="249"/>
      <c r="G281" s="249"/>
      <c r="H281" s="249"/>
      <c r="I281" s="252"/>
      <c r="J281" s="252"/>
      <c r="K281" s="283"/>
      <c r="L281" s="284"/>
      <c r="M281" s="257"/>
      <c r="N281" s="257"/>
      <c r="O281" s="257"/>
      <c r="P281" s="257"/>
      <c r="Q281" s="257"/>
    </row>
    <row r="282" spans="1:17" s="3" customFormat="1" ht="25" customHeight="1" x14ac:dyDescent="0.25">
      <c r="A282" s="349" t="s">
        <v>226</v>
      </c>
      <c r="B282" s="350" t="s">
        <v>458</v>
      </c>
      <c r="C282" s="352">
        <v>3</v>
      </c>
      <c r="D282" s="352">
        <v>1</v>
      </c>
      <c r="E282" s="352">
        <v>6</v>
      </c>
      <c r="F282" s="254">
        <f t="shared" ref="F282:F294" si="38">I282+J282+K282</f>
        <v>445.5</v>
      </c>
      <c r="G282" s="249">
        <v>30</v>
      </c>
      <c r="H282" s="249">
        <f t="shared" ref="H282:H294" si="39">C282*D282*E282*G282</f>
        <v>540</v>
      </c>
      <c r="I282" s="251">
        <f>IF(G282&lt;70, C282*E282*16.5*1.5, C282*E282*16.5*1.5)</f>
        <v>445.5</v>
      </c>
      <c r="J282" s="252"/>
      <c r="K282" s="283"/>
      <c r="L282" s="284"/>
      <c r="M282" s="257"/>
      <c r="N282" s="257"/>
      <c r="O282" s="257"/>
      <c r="P282" s="257"/>
      <c r="Q282" s="257"/>
    </row>
    <row r="283" spans="1:17" s="3" customFormat="1" ht="25" customHeight="1" x14ac:dyDescent="0.25">
      <c r="A283" s="349" t="s">
        <v>227</v>
      </c>
      <c r="B283" s="350" t="s">
        <v>459</v>
      </c>
      <c r="C283" s="352">
        <v>3</v>
      </c>
      <c r="D283" s="352">
        <v>1</v>
      </c>
      <c r="E283" s="352">
        <v>6</v>
      </c>
      <c r="F283" s="254">
        <f t="shared" si="38"/>
        <v>445.5</v>
      </c>
      <c r="G283" s="249">
        <v>30</v>
      </c>
      <c r="H283" s="249">
        <f t="shared" si="39"/>
        <v>540</v>
      </c>
      <c r="I283" s="251">
        <f t="shared" ref="I283:I289" si="40">IF(G283&lt;70, C283*E283*16.5*1.5, C283*E283*16.5*1.5)</f>
        <v>445.5</v>
      </c>
      <c r="J283" s="252"/>
      <c r="K283" s="283"/>
      <c r="L283" s="284"/>
      <c r="M283" s="257"/>
      <c r="N283" s="257"/>
      <c r="O283" s="257"/>
      <c r="P283" s="257"/>
      <c r="Q283" s="257"/>
    </row>
    <row r="284" spans="1:17" s="3" customFormat="1" ht="25" customHeight="1" x14ac:dyDescent="0.25">
      <c r="A284" s="349" t="s">
        <v>228</v>
      </c>
      <c r="B284" s="350" t="s">
        <v>460</v>
      </c>
      <c r="C284" s="352">
        <v>3</v>
      </c>
      <c r="D284" s="352">
        <v>1</v>
      </c>
      <c r="E284" s="352">
        <v>1</v>
      </c>
      <c r="F284" s="254">
        <f t="shared" si="38"/>
        <v>74.25</v>
      </c>
      <c r="G284" s="249">
        <v>30</v>
      </c>
      <c r="H284" s="249">
        <f t="shared" si="39"/>
        <v>90</v>
      </c>
      <c r="I284" s="251">
        <f t="shared" si="40"/>
        <v>74.25</v>
      </c>
      <c r="J284" s="252"/>
      <c r="K284" s="283"/>
      <c r="L284" s="284"/>
      <c r="M284" s="257"/>
      <c r="N284" s="257"/>
      <c r="O284" s="257"/>
      <c r="P284" s="257"/>
      <c r="Q284" s="257"/>
    </row>
    <row r="285" spans="1:17" s="3" customFormat="1" ht="25" customHeight="1" x14ac:dyDescent="0.25">
      <c r="A285" s="349" t="s">
        <v>229</v>
      </c>
      <c r="B285" s="350" t="s">
        <v>461</v>
      </c>
      <c r="C285" s="352">
        <v>3</v>
      </c>
      <c r="D285" s="352">
        <v>1</v>
      </c>
      <c r="E285" s="352">
        <v>1</v>
      </c>
      <c r="F285" s="254">
        <f t="shared" si="38"/>
        <v>74.25</v>
      </c>
      <c r="G285" s="249">
        <v>30</v>
      </c>
      <c r="H285" s="249">
        <f t="shared" si="39"/>
        <v>90</v>
      </c>
      <c r="I285" s="251">
        <f t="shared" si="40"/>
        <v>74.25</v>
      </c>
      <c r="J285" s="252"/>
      <c r="K285" s="283"/>
      <c r="L285" s="284"/>
      <c r="M285" s="257"/>
      <c r="N285" s="257"/>
      <c r="O285" s="257"/>
      <c r="P285" s="257"/>
      <c r="Q285" s="257"/>
    </row>
    <row r="286" spans="1:17" s="3" customFormat="1" ht="25" customHeight="1" x14ac:dyDescent="0.25">
      <c r="A286" s="349" t="s">
        <v>230</v>
      </c>
      <c r="B286" s="353" t="s">
        <v>462</v>
      </c>
      <c r="C286" s="352">
        <v>3</v>
      </c>
      <c r="D286" s="352">
        <v>1</v>
      </c>
      <c r="E286" s="352">
        <v>6</v>
      </c>
      <c r="F286" s="254">
        <f t="shared" si="38"/>
        <v>445.5</v>
      </c>
      <c r="G286" s="249">
        <v>30</v>
      </c>
      <c r="H286" s="249">
        <f t="shared" si="39"/>
        <v>540</v>
      </c>
      <c r="I286" s="251">
        <f t="shared" si="40"/>
        <v>445.5</v>
      </c>
      <c r="J286" s="252"/>
      <c r="K286" s="283"/>
      <c r="L286" s="284"/>
      <c r="M286" s="257"/>
      <c r="N286" s="257"/>
      <c r="O286" s="257"/>
      <c r="P286" s="257"/>
      <c r="Q286" s="257"/>
    </row>
    <row r="287" spans="1:17" s="3" customFormat="1" ht="25" customHeight="1" x14ac:dyDescent="0.25">
      <c r="A287" s="349" t="s">
        <v>231</v>
      </c>
      <c r="B287" s="353" t="s">
        <v>463</v>
      </c>
      <c r="C287" s="352">
        <v>3</v>
      </c>
      <c r="D287" s="352">
        <v>1</v>
      </c>
      <c r="E287" s="352">
        <v>6</v>
      </c>
      <c r="F287" s="254">
        <f t="shared" si="38"/>
        <v>445.5</v>
      </c>
      <c r="G287" s="249">
        <v>30</v>
      </c>
      <c r="H287" s="249">
        <f t="shared" si="39"/>
        <v>540</v>
      </c>
      <c r="I287" s="251">
        <f t="shared" si="40"/>
        <v>445.5</v>
      </c>
      <c r="J287" s="252"/>
      <c r="K287" s="256"/>
      <c r="L287" s="245"/>
      <c r="M287" s="302"/>
      <c r="N287" s="302"/>
      <c r="O287" s="302"/>
      <c r="P287" s="302"/>
      <c r="Q287" s="302"/>
    </row>
    <row r="288" spans="1:17" s="3" customFormat="1" ht="25" customHeight="1" x14ac:dyDescent="0.25">
      <c r="A288" s="349" t="s">
        <v>282</v>
      </c>
      <c r="B288" s="353" t="s">
        <v>464</v>
      </c>
      <c r="C288" s="352">
        <v>3</v>
      </c>
      <c r="D288" s="352">
        <v>1</v>
      </c>
      <c r="E288" s="352">
        <v>1</v>
      </c>
      <c r="F288" s="254">
        <f t="shared" si="38"/>
        <v>74.25</v>
      </c>
      <c r="G288" s="249">
        <v>30</v>
      </c>
      <c r="H288" s="249">
        <f t="shared" si="39"/>
        <v>90</v>
      </c>
      <c r="I288" s="251">
        <f t="shared" si="40"/>
        <v>74.25</v>
      </c>
      <c r="J288" s="252"/>
      <c r="K288" s="242"/>
      <c r="L288" s="242"/>
      <c r="M288" s="302"/>
      <c r="N288" s="302"/>
      <c r="O288" s="302"/>
      <c r="P288" s="302"/>
      <c r="Q288" s="302"/>
    </row>
    <row r="289" spans="1:17" s="3" customFormat="1" ht="25" customHeight="1" x14ac:dyDescent="0.25">
      <c r="A289" s="349" t="s">
        <v>283</v>
      </c>
      <c r="B289" s="353" t="s">
        <v>465</v>
      </c>
      <c r="C289" s="352">
        <v>3</v>
      </c>
      <c r="D289" s="352">
        <v>1</v>
      </c>
      <c r="E289" s="352">
        <v>1</v>
      </c>
      <c r="F289" s="254">
        <f t="shared" si="38"/>
        <v>74.25</v>
      </c>
      <c r="G289" s="249">
        <v>30</v>
      </c>
      <c r="H289" s="249">
        <f t="shared" si="39"/>
        <v>90</v>
      </c>
      <c r="I289" s="251">
        <f t="shared" si="40"/>
        <v>74.25</v>
      </c>
      <c r="J289" s="252"/>
      <c r="K289" s="256"/>
      <c r="L289" s="242"/>
      <c r="M289" s="302"/>
      <c r="N289" s="302"/>
      <c r="O289" s="302"/>
      <c r="P289" s="302"/>
      <c r="Q289" s="302"/>
    </row>
    <row r="290" spans="1:17" s="3" customFormat="1" ht="25" customHeight="1" x14ac:dyDescent="0.25">
      <c r="A290" s="349" t="s">
        <v>284</v>
      </c>
      <c r="B290" s="353" t="s">
        <v>466</v>
      </c>
      <c r="C290" s="352">
        <v>3</v>
      </c>
      <c r="D290" s="352">
        <v>1</v>
      </c>
      <c r="E290" s="352">
        <v>6</v>
      </c>
      <c r="F290" s="254">
        <f t="shared" si="38"/>
        <v>445.5</v>
      </c>
      <c r="G290" s="249">
        <v>30</v>
      </c>
      <c r="H290" s="249">
        <f t="shared" si="39"/>
        <v>540</v>
      </c>
      <c r="I290" s="300"/>
      <c r="J290" s="251">
        <f>IF(G290&lt;70, C290*E290*16.5*1.5, C290*E290*16.5*1.5)</f>
        <v>445.5</v>
      </c>
      <c r="K290" s="242"/>
      <c r="L290" s="242"/>
      <c r="M290" s="302"/>
      <c r="N290" s="302"/>
      <c r="O290" s="302"/>
      <c r="P290" s="302"/>
      <c r="Q290" s="302"/>
    </row>
    <row r="291" spans="1:17" s="3" customFormat="1" ht="25" customHeight="1" x14ac:dyDescent="0.25">
      <c r="A291" s="349" t="s">
        <v>285</v>
      </c>
      <c r="B291" s="353" t="s">
        <v>467</v>
      </c>
      <c r="C291" s="352">
        <v>3</v>
      </c>
      <c r="D291" s="352">
        <v>1</v>
      </c>
      <c r="E291" s="352">
        <v>6</v>
      </c>
      <c r="F291" s="254">
        <f t="shared" si="38"/>
        <v>445.5</v>
      </c>
      <c r="G291" s="249">
        <v>30</v>
      </c>
      <c r="H291" s="249">
        <f t="shared" si="39"/>
        <v>540</v>
      </c>
      <c r="I291" s="300"/>
      <c r="J291" s="251">
        <f>IF(G291&lt;70, C291*E291*16.5*1.5, C291*E291*16.5*1.5)</f>
        <v>445.5</v>
      </c>
      <c r="K291" s="242"/>
      <c r="L291" s="242"/>
      <c r="M291" s="302"/>
      <c r="N291" s="302"/>
      <c r="O291" s="302"/>
      <c r="P291" s="302"/>
      <c r="Q291" s="302"/>
    </row>
    <row r="292" spans="1:17" s="324" customFormat="1" ht="25" customHeight="1" x14ac:dyDescent="0.25">
      <c r="A292" s="349" t="s">
        <v>286</v>
      </c>
      <c r="B292" s="353" t="s">
        <v>468</v>
      </c>
      <c r="C292" s="352">
        <v>3</v>
      </c>
      <c r="D292" s="352">
        <v>1</v>
      </c>
      <c r="E292" s="352">
        <v>1</v>
      </c>
      <c r="F292" s="254">
        <f t="shared" si="38"/>
        <v>74.25</v>
      </c>
      <c r="G292" s="249">
        <v>30</v>
      </c>
      <c r="H292" s="249">
        <f t="shared" si="39"/>
        <v>90</v>
      </c>
      <c r="I292" s="322"/>
      <c r="J292" s="251">
        <f>IF(G292&lt;70, C292*E292*16.5*1.5, C292*E292*16.5*1.5)</f>
        <v>74.25</v>
      </c>
      <c r="K292" s="238"/>
      <c r="L292" s="258"/>
      <c r="M292" s="302"/>
      <c r="N292" s="302"/>
      <c r="O292" s="302"/>
      <c r="P292" s="302"/>
      <c r="Q292" s="302"/>
    </row>
    <row r="293" spans="1:17" s="324" customFormat="1" ht="25" customHeight="1" x14ac:dyDescent="0.25">
      <c r="A293" s="349" t="s">
        <v>289</v>
      </c>
      <c r="B293" s="353" t="s">
        <v>469</v>
      </c>
      <c r="C293" s="352">
        <v>3</v>
      </c>
      <c r="D293" s="352">
        <v>1</v>
      </c>
      <c r="E293" s="352">
        <v>1</v>
      </c>
      <c r="F293" s="254">
        <f t="shared" si="38"/>
        <v>74.25</v>
      </c>
      <c r="G293" s="249">
        <v>30</v>
      </c>
      <c r="H293" s="249">
        <f t="shared" si="39"/>
        <v>90</v>
      </c>
      <c r="I293" s="322"/>
      <c r="J293" s="251">
        <f>IF(G293&lt;70, C293*E293*16.5*1.5, C293*E293*16.5*1.5)</f>
        <v>74.25</v>
      </c>
      <c r="K293" s="238"/>
      <c r="L293" s="258"/>
      <c r="M293" s="302"/>
      <c r="N293" s="302"/>
      <c r="O293" s="302"/>
      <c r="P293" s="302"/>
      <c r="Q293" s="302"/>
    </row>
    <row r="294" spans="1:17" s="324" customFormat="1" ht="25" customHeight="1" x14ac:dyDescent="0.3">
      <c r="A294" s="349" t="s">
        <v>290</v>
      </c>
      <c r="B294" s="353" t="s">
        <v>463</v>
      </c>
      <c r="C294" s="352">
        <v>3</v>
      </c>
      <c r="D294" s="352">
        <v>1</v>
      </c>
      <c r="E294" s="352">
        <v>1</v>
      </c>
      <c r="F294" s="254">
        <f t="shared" si="38"/>
        <v>74.25</v>
      </c>
      <c r="G294" s="249">
        <v>30</v>
      </c>
      <c r="H294" s="249">
        <f t="shared" si="39"/>
        <v>90</v>
      </c>
      <c r="I294" s="252"/>
      <c r="J294" s="251">
        <f>IF(G294&lt;70, C294*E294*16.5*1.5, C294*E294*16.5*1.5)</f>
        <v>74.25</v>
      </c>
      <c r="K294" s="303"/>
      <c r="L294" s="303"/>
      <c r="M294" s="304"/>
      <c r="N294" s="304"/>
      <c r="O294" s="304"/>
      <c r="P294" s="304"/>
      <c r="Q294" s="304"/>
    </row>
    <row r="295" spans="1:17" s="324" customFormat="1" ht="25" customHeight="1" x14ac:dyDescent="0.3">
      <c r="A295" s="396"/>
      <c r="B295" s="361" t="s">
        <v>380</v>
      </c>
      <c r="C295" s="364">
        <f>SUM(C282:C294)</f>
        <v>39</v>
      </c>
      <c r="D295" s="364">
        <f t="shared" ref="D295:J295" si="41">SUM(D282:D294)</f>
        <v>13</v>
      </c>
      <c r="E295" s="364">
        <f t="shared" si="41"/>
        <v>43</v>
      </c>
      <c r="F295" s="246">
        <f t="shared" si="41"/>
        <v>3192.75</v>
      </c>
      <c r="G295" s="246">
        <f t="shared" si="41"/>
        <v>390</v>
      </c>
      <c r="H295" s="246">
        <f t="shared" si="41"/>
        <v>3870</v>
      </c>
      <c r="I295" s="246">
        <f t="shared" si="41"/>
        <v>2079</v>
      </c>
      <c r="J295" s="246">
        <f t="shared" si="41"/>
        <v>1113.75</v>
      </c>
      <c r="K295" s="303"/>
      <c r="L295" s="303"/>
      <c r="M295" s="304"/>
      <c r="N295" s="304"/>
      <c r="O295" s="304"/>
      <c r="P295" s="304"/>
      <c r="Q295" s="304"/>
    </row>
    <row r="296" spans="1:17" s="324" customFormat="1" ht="25" customHeight="1" x14ac:dyDescent="0.3">
      <c r="A296" s="359" t="s">
        <v>148</v>
      </c>
      <c r="B296" s="360" t="s">
        <v>507</v>
      </c>
      <c r="C296" s="352"/>
      <c r="D296" s="352"/>
      <c r="E296" s="352"/>
      <c r="F296" s="249"/>
      <c r="G296" s="249"/>
      <c r="H296" s="249"/>
      <c r="I296" s="252"/>
      <c r="J296" s="252"/>
      <c r="K296" s="303"/>
      <c r="L296" s="303"/>
      <c r="M296" s="304"/>
      <c r="N296" s="304"/>
      <c r="O296" s="304"/>
      <c r="P296" s="304"/>
      <c r="Q296" s="304"/>
    </row>
    <row r="297" spans="1:17" s="324" customFormat="1" ht="25" customHeight="1" x14ac:dyDescent="0.3">
      <c r="A297" s="354" t="s">
        <v>512</v>
      </c>
      <c r="B297" s="349" t="s">
        <v>471</v>
      </c>
      <c r="C297" s="352">
        <v>15</v>
      </c>
      <c r="D297" s="352">
        <v>1</v>
      </c>
      <c r="E297" s="352">
        <v>1</v>
      </c>
      <c r="F297" s="254">
        <f>I297+J297+K297</f>
        <v>175</v>
      </c>
      <c r="G297" s="249">
        <v>5</v>
      </c>
      <c r="H297" s="249">
        <f>C297*G297</f>
        <v>75</v>
      </c>
      <c r="I297" s="251">
        <f>G297*35</f>
        <v>175</v>
      </c>
      <c r="J297" s="252"/>
      <c r="K297" s="303"/>
      <c r="L297" s="305"/>
      <c r="M297" s="305"/>
      <c r="N297" s="305"/>
      <c r="O297" s="305"/>
      <c r="P297" s="305"/>
      <c r="Q297" s="305"/>
    </row>
    <row r="298" spans="1:17" s="324" customFormat="1" ht="25" customHeight="1" x14ac:dyDescent="0.3">
      <c r="A298" s="354" t="s">
        <v>513</v>
      </c>
      <c r="B298" s="349" t="s">
        <v>666</v>
      </c>
      <c r="C298" s="352">
        <v>15</v>
      </c>
      <c r="D298" s="352">
        <v>1</v>
      </c>
      <c r="E298" s="352">
        <v>1</v>
      </c>
      <c r="F298" s="254">
        <f t="shared" ref="F298:F307" si="42">I298+J298+K298</f>
        <v>175</v>
      </c>
      <c r="G298" s="249">
        <v>5</v>
      </c>
      <c r="H298" s="249">
        <f>C298*G298</f>
        <v>75</v>
      </c>
      <c r="I298" s="251"/>
      <c r="J298" s="251">
        <f>G298*35</f>
        <v>175</v>
      </c>
      <c r="K298" s="303"/>
      <c r="L298" s="306"/>
      <c r="M298" s="306"/>
      <c r="N298" s="306"/>
      <c r="O298" s="306"/>
      <c r="P298" s="306"/>
      <c r="Q298" s="306"/>
    </row>
    <row r="299" spans="1:17" s="324" customFormat="1" ht="25" customHeight="1" x14ac:dyDescent="0.3">
      <c r="A299" s="354" t="s">
        <v>514</v>
      </c>
      <c r="B299" s="349" t="s">
        <v>472</v>
      </c>
      <c r="C299" s="352">
        <v>15</v>
      </c>
      <c r="D299" s="352">
        <v>1</v>
      </c>
      <c r="E299" s="352">
        <v>1</v>
      </c>
      <c r="F299" s="254">
        <f t="shared" si="42"/>
        <v>175</v>
      </c>
      <c r="G299" s="249">
        <v>5</v>
      </c>
      <c r="H299" s="249">
        <f>C299*G299*E299*D299</f>
        <v>75</v>
      </c>
      <c r="I299" s="251">
        <f>G299*35</f>
        <v>175</v>
      </c>
      <c r="J299" s="251"/>
      <c r="K299" s="303"/>
      <c r="L299" s="307"/>
      <c r="M299" s="307"/>
      <c r="N299" s="307"/>
      <c r="O299" s="307"/>
      <c r="P299" s="307"/>
      <c r="Q299" s="307"/>
    </row>
    <row r="300" spans="1:17" s="324" customFormat="1" ht="25" customHeight="1" x14ac:dyDescent="0.3">
      <c r="A300" s="354" t="s">
        <v>515</v>
      </c>
      <c r="B300" s="349" t="s">
        <v>473</v>
      </c>
      <c r="C300" s="352">
        <v>15</v>
      </c>
      <c r="D300" s="352">
        <v>1</v>
      </c>
      <c r="E300" s="352">
        <v>1</v>
      </c>
      <c r="F300" s="254">
        <f t="shared" si="42"/>
        <v>175</v>
      </c>
      <c r="G300" s="249">
        <v>5</v>
      </c>
      <c r="H300" s="249">
        <f t="shared" ref="H300:H307" si="43">C300*G300*E300*D300</f>
        <v>75</v>
      </c>
      <c r="I300" s="252"/>
      <c r="J300" s="251">
        <f>G300*35</f>
        <v>175</v>
      </c>
      <c r="K300" s="303"/>
      <c r="L300" s="303"/>
      <c r="M300" s="1449"/>
      <c r="N300" s="1449"/>
      <c r="O300" s="1449"/>
      <c r="P300" s="1449"/>
      <c r="Q300" s="1449"/>
    </row>
    <row r="301" spans="1:17" s="324" customFormat="1" ht="25" customHeight="1" x14ac:dyDescent="0.3">
      <c r="A301" s="354" t="s">
        <v>516</v>
      </c>
      <c r="B301" s="349" t="s">
        <v>474</v>
      </c>
      <c r="C301" s="352">
        <v>15</v>
      </c>
      <c r="D301" s="352">
        <v>1</v>
      </c>
      <c r="E301" s="352">
        <v>1</v>
      </c>
      <c r="F301" s="254">
        <f t="shared" si="42"/>
        <v>175</v>
      </c>
      <c r="G301" s="249">
        <v>5</v>
      </c>
      <c r="H301" s="249">
        <f t="shared" si="43"/>
        <v>75</v>
      </c>
      <c r="I301" s="252"/>
      <c r="J301" s="251">
        <f>G301*35</f>
        <v>175</v>
      </c>
      <c r="K301" s="303"/>
      <c r="L301" s="303"/>
      <c r="M301" s="304"/>
      <c r="N301" s="304"/>
      <c r="O301" s="304"/>
      <c r="P301" s="304"/>
      <c r="Q301" s="304"/>
    </row>
    <row r="302" spans="1:17" ht="25" customHeight="1" x14ac:dyDescent="0.3">
      <c r="A302" s="354" t="s">
        <v>517</v>
      </c>
      <c r="B302" s="349" t="s">
        <v>508</v>
      </c>
      <c r="C302" s="352">
        <v>15</v>
      </c>
      <c r="D302" s="352">
        <v>1</v>
      </c>
      <c r="E302" s="352">
        <v>1</v>
      </c>
      <c r="F302" s="254">
        <f t="shared" si="42"/>
        <v>175</v>
      </c>
      <c r="G302" s="249">
        <v>5</v>
      </c>
      <c r="H302" s="249">
        <f t="shared" si="43"/>
        <v>75</v>
      </c>
      <c r="I302" s="251">
        <f>G302*35</f>
        <v>175</v>
      </c>
      <c r="J302" s="325"/>
      <c r="K302" s="303"/>
      <c r="L302" s="303"/>
      <c r="M302" s="304"/>
      <c r="N302" s="304"/>
      <c r="O302" s="304"/>
      <c r="P302" s="304"/>
      <c r="Q302" s="304"/>
    </row>
    <row r="303" spans="1:17" ht="25" customHeight="1" x14ac:dyDescent="0.3">
      <c r="A303" s="354" t="s">
        <v>518</v>
      </c>
      <c r="B303" s="349" t="s">
        <v>509</v>
      </c>
      <c r="C303" s="352">
        <v>15</v>
      </c>
      <c r="D303" s="352">
        <v>1</v>
      </c>
      <c r="E303" s="352">
        <v>1</v>
      </c>
      <c r="F303" s="254">
        <f t="shared" si="42"/>
        <v>175</v>
      </c>
      <c r="G303" s="249">
        <v>5</v>
      </c>
      <c r="H303" s="249">
        <f t="shared" si="43"/>
        <v>75</v>
      </c>
      <c r="I303" s="251">
        <f>G303*35</f>
        <v>175</v>
      </c>
      <c r="J303" s="325"/>
      <c r="K303" s="303"/>
      <c r="L303" s="303"/>
      <c r="M303" s="308"/>
      <c r="N303" s="308"/>
      <c r="O303" s="308"/>
      <c r="P303" s="308"/>
      <c r="Q303" s="308"/>
    </row>
    <row r="304" spans="1:17" ht="25" customHeight="1" x14ac:dyDescent="0.3">
      <c r="A304" s="354" t="s">
        <v>519</v>
      </c>
      <c r="B304" s="349" t="s">
        <v>510</v>
      </c>
      <c r="C304" s="352">
        <v>15</v>
      </c>
      <c r="D304" s="352">
        <v>1</v>
      </c>
      <c r="E304" s="352">
        <v>1</v>
      </c>
      <c r="F304" s="254">
        <f t="shared" si="42"/>
        <v>175</v>
      </c>
      <c r="G304" s="249">
        <v>5</v>
      </c>
      <c r="H304" s="249">
        <f t="shared" si="43"/>
        <v>75</v>
      </c>
      <c r="I304" s="251">
        <f>G304*35</f>
        <v>175</v>
      </c>
      <c r="J304" s="326"/>
      <c r="K304" s="303"/>
      <c r="L304" s="303"/>
      <c r="M304" s="308"/>
      <c r="N304" s="308"/>
      <c r="O304" s="308"/>
      <c r="P304" s="308"/>
      <c r="Q304" s="308"/>
    </row>
    <row r="305" spans="1:17" ht="25" customHeight="1" x14ac:dyDescent="0.3">
      <c r="A305" s="354" t="s">
        <v>520</v>
      </c>
      <c r="B305" s="349" t="s">
        <v>511</v>
      </c>
      <c r="C305" s="352">
        <v>15</v>
      </c>
      <c r="D305" s="352">
        <v>1</v>
      </c>
      <c r="E305" s="352">
        <v>1</v>
      </c>
      <c r="F305" s="254">
        <f t="shared" si="42"/>
        <v>175</v>
      </c>
      <c r="G305" s="249">
        <v>5</v>
      </c>
      <c r="H305" s="249">
        <f t="shared" si="43"/>
        <v>75</v>
      </c>
      <c r="I305" s="251">
        <f>G305*35</f>
        <v>175</v>
      </c>
      <c r="J305" s="251"/>
      <c r="K305" s="303"/>
      <c r="L305" s="303"/>
      <c r="M305" s="308"/>
      <c r="N305" s="308"/>
      <c r="O305" s="308"/>
      <c r="P305" s="308"/>
      <c r="Q305" s="308"/>
    </row>
    <row r="306" spans="1:17" ht="25" customHeight="1" x14ac:dyDescent="0.3">
      <c r="A306" s="354" t="s">
        <v>521</v>
      </c>
      <c r="B306" s="349" t="s">
        <v>566</v>
      </c>
      <c r="C306" s="352">
        <v>15</v>
      </c>
      <c r="D306" s="352">
        <v>1</v>
      </c>
      <c r="E306" s="352">
        <v>1</v>
      </c>
      <c r="F306" s="254">
        <f t="shared" si="42"/>
        <v>175</v>
      </c>
      <c r="G306" s="249">
        <v>5</v>
      </c>
      <c r="H306" s="249">
        <f t="shared" si="43"/>
        <v>75</v>
      </c>
      <c r="I306" s="251">
        <f>G306*35</f>
        <v>175</v>
      </c>
      <c r="J306" s="251"/>
      <c r="K306" s="303"/>
      <c r="L306" s="303"/>
      <c r="M306" s="308"/>
      <c r="N306" s="308"/>
      <c r="O306" s="308"/>
      <c r="P306" s="308"/>
      <c r="Q306" s="308"/>
    </row>
    <row r="307" spans="1:17" ht="25" customHeight="1" x14ac:dyDescent="0.3">
      <c r="A307" s="354" t="s">
        <v>667</v>
      </c>
      <c r="B307" s="349" t="s">
        <v>668</v>
      </c>
      <c r="C307" s="352">
        <v>15</v>
      </c>
      <c r="D307" s="352">
        <v>1</v>
      </c>
      <c r="E307" s="352">
        <v>1</v>
      </c>
      <c r="F307" s="254">
        <f t="shared" si="42"/>
        <v>4515</v>
      </c>
      <c r="G307" s="249">
        <v>129</v>
      </c>
      <c r="H307" s="249">
        <f t="shared" si="43"/>
        <v>1935</v>
      </c>
      <c r="I307" s="326"/>
      <c r="J307" s="251"/>
      <c r="K307" s="251">
        <f>G307*35</f>
        <v>4515</v>
      </c>
      <c r="L307" s="303"/>
      <c r="M307" s="308"/>
      <c r="N307" s="308"/>
      <c r="O307" s="308"/>
      <c r="P307" s="308"/>
      <c r="Q307" s="308"/>
    </row>
    <row r="308" spans="1:17" ht="25" customHeight="1" x14ac:dyDescent="0.3">
      <c r="A308" s="354" t="s">
        <v>669</v>
      </c>
      <c r="B308" s="349" t="s">
        <v>670</v>
      </c>
      <c r="C308" s="352">
        <v>15</v>
      </c>
      <c r="D308" s="352">
        <v>1</v>
      </c>
      <c r="E308" s="352">
        <v>1</v>
      </c>
      <c r="F308" s="246">
        <f t="shared" ref="F308:K308" si="44">SUM(F297:F307)</f>
        <v>6265</v>
      </c>
      <c r="G308" s="246">
        <f t="shared" si="44"/>
        <v>179</v>
      </c>
      <c r="H308" s="246">
        <f t="shared" si="44"/>
        <v>2685</v>
      </c>
      <c r="I308" s="246">
        <f t="shared" si="44"/>
        <v>1225</v>
      </c>
      <c r="J308" s="246">
        <f t="shared" si="44"/>
        <v>525</v>
      </c>
      <c r="K308" s="246">
        <f t="shared" si="44"/>
        <v>4515</v>
      </c>
      <c r="L308" s="303"/>
      <c r="M308" s="308"/>
      <c r="N308" s="308"/>
      <c r="O308" s="308"/>
      <c r="P308" s="308"/>
      <c r="Q308" s="308"/>
    </row>
    <row r="309" spans="1:17" ht="25" customHeight="1" x14ac:dyDescent="0.3">
      <c r="A309" s="354" t="s">
        <v>671</v>
      </c>
      <c r="B309" s="349" t="s">
        <v>672</v>
      </c>
      <c r="C309" s="352">
        <v>15</v>
      </c>
      <c r="D309" s="352">
        <v>1</v>
      </c>
      <c r="E309" s="352">
        <v>1</v>
      </c>
      <c r="F309" s="249"/>
      <c r="G309" s="249"/>
      <c r="H309" s="249"/>
      <c r="I309" s="252"/>
      <c r="J309" s="252"/>
      <c r="K309" s="303"/>
      <c r="L309" s="303"/>
      <c r="M309" s="309"/>
      <c r="N309" s="309"/>
      <c r="O309" s="309"/>
      <c r="P309" s="309"/>
      <c r="Q309" s="309"/>
    </row>
    <row r="310" spans="1:17" ht="25" customHeight="1" x14ac:dyDescent="0.3">
      <c r="A310" s="393"/>
      <c r="B310" s="394" t="s">
        <v>673</v>
      </c>
      <c r="C310" s="352">
        <v>15</v>
      </c>
      <c r="D310" s="352">
        <v>1</v>
      </c>
      <c r="E310" s="352">
        <v>1</v>
      </c>
      <c r="F310" s="249"/>
      <c r="G310" s="249"/>
      <c r="H310" s="249"/>
      <c r="I310" s="252"/>
      <c r="J310" s="252"/>
      <c r="K310" s="303"/>
      <c r="L310" s="303"/>
      <c r="M310" s="304"/>
      <c r="N310" s="304"/>
      <c r="O310" s="304"/>
      <c r="P310" s="304"/>
      <c r="Q310" s="304"/>
    </row>
    <row r="311" spans="1:17" ht="25" customHeight="1" x14ac:dyDescent="0.3">
      <c r="A311" s="354"/>
      <c r="B311" s="361" t="s">
        <v>380</v>
      </c>
      <c r="C311" s="364">
        <f>SUM(C297:C310)</f>
        <v>210</v>
      </c>
      <c r="D311" s="364">
        <f>SUM(D297:D310)</f>
        <v>14</v>
      </c>
      <c r="E311" s="364">
        <f>SUM(E297:E310)</f>
        <v>14</v>
      </c>
      <c r="F311" s="254">
        <f>I311+J311+K311</f>
        <v>97020</v>
      </c>
      <c r="G311" s="249">
        <v>11</v>
      </c>
      <c r="H311" s="249">
        <f>C311*D311*E311*G311</f>
        <v>452760</v>
      </c>
      <c r="I311" s="251">
        <f>IF(G311&lt;70, C311*E311*16.5*1*2, C311*E311*16.5*1.3*2)</f>
        <v>97020</v>
      </c>
      <c r="J311" s="252"/>
      <c r="K311" s="303"/>
      <c r="L311" s="303"/>
      <c r="M311" s="304"/>
      <c r="N311" s="304"/>
      <c r="O311" s="304"/>
      <c r="P311" s="304"/>
      <c r="Q311" s="304"/>
    </row>
    <row r="312" spans="1:17" ht="25" customHeight="1" x14ac:dyDescent="0.3">
      <c r="A312" s="385">
        <v>3</v>
      </c>
      <c r="B312" s="385" t="s">
        <v>166</v>
      </c>
      <c r="C312" s="352"/>
      <c r="D312" s="352"/>
      <c r="E312" s="352"/>
      <c r="F312" s="254">
        <f>I312+J312+K312</f>
        <v>0</v>
      </c>
      <c r="G312" s="249">
        <v>11</v>
      </c>
      <c r="H312" s="249">
        <f>C312*D312*E312*G312</f>
        <v>0</v>
      </c>
      <c r="I312" s="251">
        <f>IF(G312&lt;70, C312*E312*16.5*1*2, C312*E312*16.5*1.3*2)</f>
        <v>0</v>
      </c>
      <c r="J312" s="252"/>
      <c r="K312" s="303"/>
      <c r="L312" s="303"/>
      <c r="M312" s="304"/>
      <c r="N312" s="304"/>
      <c r="O312" s="304"/>
      <c r="P312" s="304"/>
      <c r="Q312" s="304"/>
    </row>
    <row r="313" spans="1:17" ht="25" customHeight="1" x14ac:dyDescent="0.3">
      <c r="A313" s="356" t="s">
        <v>147</v>
      </c>
      <c r="B313" s="357" t="s">
        <v>167</v>
      </c>
      <c r="C313" s="352"/>
      <c r="D313" s="352"/>
      <c r="E313" s="352"/>
      <c r="F313" s="254">
        <f>I313+J313+K313</f>
        <v>0</v>
      </c>
      <c r="G313" s="249">
        <v>11</v>
      </c>
      <c r="H313" s="249">
        <f>C313*D313*E313*G313</f>
        <v>0</v>
      </c>
      <c r="I313" s="251">
        <f>IF(G313&lt;70, C313*E313*16.5*1*2, C313*E313*16.5*1.3*2)</f>
        <v>0</v>
      </c>
      <c r="J313" s="252"/>
      <c r="K313" s="303"/>
      <c r="L313" s="303"/>
      <c r="M313" s="304"/>
      <c r="N313" s="304"/>
      <c r="O313" s="304"/>
      <c r="P313" s="304"/>
      <c r="Q313" s="304"/>
    </row>
    <row r="314" spans="1:17" ht="25" customHeight="1" x14ac:dyDescent="0.3">
      <c r="A314" s="349" t="s">
        <v>226</v>
      </c>
      <c r="B314" s="350" t="s">
        <v>475</v>
      </c>
      <c r="C314" s="352">
        <v>3</v>
      </c>
      <c r="D314" s="352">
        <v>1</v>
      </c>
      <c r="E314" s="352">
        <v>1</v>
      </c>
      <c r="F314" s="249"/>
      <c r="G314" s="249"/>
      <c r="H314" s="249"/>
      <c r="I314" s="252"/>
      <c r="J314" s="252"/>
      <c r="K314" s="303"/>
      <c r="L314" s="303"/>
      <c r="M314" s="304"/>
      <c r="N314" s="304"/>
      <c r="O314" s="304"/>
      <c r="P314" s="304"/>
      <c r="Q314" s="304"/>
    </row>
    <row r="315" spans="1:17" ht="25" customHeight="1" x14ac:dyDescent="0.3">
      <c r="A315" s="349" t="s">
        <v>227</v>
      </c>
      <c r="B315" s="350" t="s">
        <v>476</v>
      </c>
      <c r="C315" s="352">
        <v>3</v>
      </c>
      <c r="D315" s="352">
        <v>1</v>
      </c>
      <c r="E315" s="352">
        <v>1</v>
      </c>
      <c r="F315" s="249"/>
      <c r="G315" s="249"/>
      <c r="H315" s="249"/>
      <c r="I315" s="252"/>
      <c r="J315" s="252"/>
      <c r="K315" s="303"/>
      <c r="L315" s="303"/>
      <c r="M315" s="304"/>
      <c r="N315" s="304"/>
      <c r="O315" s="304"/>
      <c r="P315" s="304"/>
      <c r="Q315" s="304"/>
    </row>
    <row r="316" spans="1:17" ht="25" customHeight="1" x14ac:dyDescent="0.3">
      <c r="A316" s="354" t="s">
        <v>477</v>
      </c>
      <c r="B316" s="349" t="s">
        <v>478</v>
      </c>
      <c r="C316" s="352">
        <v>3</v>
      </c>
      <c r="D316" s="352">
        <v>1</v>
      </c>
      <c r="E316" s="352">
        <v>1</v>
      </c>
      <c r="F316" s="249"/>
      <c r="G316" s="249"/>
      <c r="H316" s="249"/>
      <c r="I316" s="252"/>
      <c r="J316" s="252"/>
      <c r="K316" s="303"/>
      <c r="L316" s="303"/>
      <c r="M316" s="304"/>
      <c r="N316" s="304"/>
      <c r="O316" s="304"/>
      <c r="P316" s="304"/>
      <c r="Q316" s="304"/>
    </row>
    <row r="317" spans="1:17" ht="25" customHeight="1" x14ac:dyDescent="0.3">
      <c r="A317" s="359" t="s">
        <v>148</v>
      </c>
      <c r="B317" s="360" t="s">
        <v>168</v>
      </c>
      <c r="C317" s="352"/>
      <c r="D317" s="352"/>
      <c r="E317" s="352"/>
      <c r="F317" s="254">
        <f>I317+J317+K317</f>
        <v>600</v>
      </c>
      <c r="G317" s="249"/>
      <c r="H317" s="249"/>
      <c r="I317" s="252">
        <v>600</v>
      </c>
      <c r="J317" s="252"/>
      <c r="K317" s="303"/>
      <c r="L317" s="303"/>
      <c r="M317" s="304"/>
      <c r="N317" s="304"/>
      <c r="O317" s="304"/>
      <c r="P317" s="304"/>
      <c r="Q317" s="304"/>
    </row>
    <row r="318" spans="1:17" ht="25" customHeight="1" x14ac:dyDescent="0.3">
      <c r="A318" s="359"/>
      <c r="B318" s="360" t="s">
        <v>674</v>
      </c>
      <c r="C318" s="352"/>
      <c r="D318" s="352"/>
      <c r="E318" s="352"/>
      <c r="F318" s="254">
        <f>I318+J318+K318</f>
        <v>300</v>
      </c>
      <c r="G318" s="249"/>
      <c r="H318" s="249"/>
      <c r="I318" s="252"/>
      <c r="J318" s="252">
        <v>300</v>
      </c>
      <c r="K318" s="303"/>
      <c r="L318" s="303"/>
      <c r="M318" s="304"/>
      <c r="N318" s="304"/>
      <c r="O318" s="304"/>
      <c r="P318" s="304"/>
      <c r="Q318" s="304"/>
    </row>
    <row r="319" spans="1:17" ht="25" customHeight="1" x14ac:dyDescent="0.3">
      <c r="A319" s="359"/>
      <c r="B319" s="360" t="s">
        <v>675</v>
      </c>
      <c r="C319" s="352"/>
      <c r="D319" s="352"/>
      <c r="E319" s="352"/>
      <c r="F319" s="249"/>
      <c r="G319" s="249"/>
      <c r="H319" s="249"/>
      <c r="I319" s="252"/>
      <c r="J319" s="252"/>
      <c r="K319" s="303"/>
      <c r="L319" s="303"/>
      <c r="M319" s="304"/>
      <c r="N319" s="304"/>
      <c r="O319" s="304"/>
      <c r="P319" s="304"/>
      <c r="Q319" s="304"/>
    </row>
    <row r="320" spans="1:17" ht="25" customHeight="1" x14ac:dyDescent="0.3">
      <c r="A320" s="359"/>
      <c r="B320" s="360" t="s">
        <v>479</v>
      </c>
      <c r="C320" s="352"/>
      <c r="D320" s="352"/>
      <c r="E320" s="352"/>
      <c r="F320" s="249"/>
      <c r="G320" s="249"/>
      <c r="H320" s="249"/>
      <c r="I320" s="252"/>
      <c r="J320" s="252"/>
      <c r="K320" s="303"/>
      <c r="L320" s="303"/>
      <c r="M320" s="304"/>
      <c r="N320" s="304"/>
      <c r="O320" s="304"/>
      <c r="P320" s="304"/>
      <c r="Q320" s="304"/>
    </row>
    <row r="321" spans="1:17" ht="25" customHeight="1" x14ac:dyDescent="0.3">
      <c r="A321" s="354"/>
      <c r="B321" s="349" t="s">
        <v>480</v>
      </c>
      <c r="C321" s="352"/>
      <c r="D321" s="352"/>
      <c r="E321" s="352"/>
      <c r="F321" s="254">
        <f>I321+J321+K321</f>
        <v>1120</v>
      </c>
      <c r="G321" s="249"/>
      <c r="H321" s="249"/>
      <c r="I321" s="252">
        <v>1120</v>
      </c>
      <c r="J321" s="252"/>
      <c r="K321" s="303"/>
      <c r="L321" s="303"/>
      <c r="M321" s="304"/>
      <c r="N321" s="304"/>
      <c r="O321" s="304"/>
      <c r="P321" s="304"/>
      <c r="Q321" s="304"/>
    </row>
    <row r="322" spans="1:17" ht="25" customHeight="1" x14ac:dyDescent="0.3">
      <c r="A322" s="359" t="s">
        <v>169</v>
      </c>
      <c r="B322" s="360" t="s">
        <v>170</v>
      </c>
      <c r="C322" s="352"/>
      <c r="D322" s="352"/>
      <c r="E322" s="352"/>
      <c r="F322" s="254">
        <f>I322+J322+K322</f>
        <v>680</v>
      </c>
      <c r="G322" s="249"/>
      <c r="H322" s="249"/>
      <c r="I322" s="252"/>
      <c r="J322" s="252">
        <v>680</v>
      </c>
      <c r="K322" s="303"/>
      <c r="L322" s="303"/>
      <c r="M322" s="304"/>
      <c r="N322" s="304"/>
      <c r="O322" s="304"/>
      <c r="P322" s="304"/>
      <c r="Q322" s="304"/>
    </row>
    <row r="323" spans="1:17" ht="25" customHeight="1" x14ac:dyDescent="0.3">
      <c r="A323" s="354"/>
      <c r="B323" s="349" t="s">
        <v>676</v>
      </c>
      <c r="C323" s="352"/>
      <c r="D323" s="352"/>
      <c r="E323" s="352"/>
      <c r="F323" s="249">
        <f>SUM(F311:F322)</f>
        <v>99720</v>
      </c>
      <c r="G323" s="246">
        <f>SUM(G311:G322)</f>
        <v>33</v>
      </c>
      <c r="H323" s="246">
        <f>SUM(H311:H322)</f>
        <v>452760</v>
      </c>
      <c r="I323" s="246">
        <f>SUM(I311:I322)</f>
        <v>98740</v>
      </c>
      <c r="J323" s="246">
        <f>SUM(J311:J322)</f>
        <v>980</v>
      </c>
      <c r="K323" s="303"/>
      <c r="L323" s="303"/>
      <c r="M323" s="304"/>
      <c r="N323" s="304"/>
      <c r="O323" s="304"/>
      <c r="P323" s="304"/>
      <c r="Q323" s="304"/>
    </row>
    <row r="324" spans="1:17" ht="25" customHeight="1" x14ac:dyDescent="0.3">
      <c r="A324" s="354"/>
      <c r="B324" s="349" t="s">
        <v>481</v>
      </c>
      <c r="C324" s="352"/>
      <c r="D324" s="352"/>
      <c r="E324" s="352"/>
      <c r="F324" s="249"/>
      <c r="G324" s="249"/>
      <c r="H324" s="249"/>
      <c r="I324" s="252"/>
      <c r="J324" s="252"/>
      <c r="K324" s="303"/>
      <c r="L324" s="303"/>
      <c r="M324" s="304"/>
      <c r="N324" s="304"/>
      <c r="O324" s="304"/>
      <c r="P324" s="304"/>
      <c r="Q324" s="304"/>
    </row>
    <row r="325" spans="1:17" ht="25" customHeight="1" x14ac:dyDescent="0.3">
      <c r="A325" s="354"/>
      <c r="B325" s="349" t="s">
        <v>480</v>
      </c>
      <c r="C325" s="352"/>
      <c r="D325" s="352"/>
      <c r="E325" s="352"/>
      <c r="F325" s="249"/>
      <c r="G325" s="249"/>
      <c r="H325" s="249"/>
      <c r="I325" s="252"/>
      <c r="J325" s="252"/>
      <c r="K325" s="303"/>
      <c r="L325" s="303"/>
      <c r="M325" s="304"/>
      <c r="N325" s="304"/>
      <c r="O325" s="304"/>
      <c r="P325" s="304"/>
      <c r="Q325" s="304"/>
    </row>
    <row r="326" spans="1:17" ht="25" customHeight="1" x14ac:dyDescent="0.3">
      <c r="A326" s="354"/>
      <c r="B326" s="361" t="s">
        <v>380</v>
      </c>
      <c r="C326" s="364">
        <f>SUM(C314:C325)</f>
        <v>9</v>
      </c>
      <c r="D326" s="364">
        <f>SUM(D314:D325)</f>
        <v>3</v>
      </c>
      <c r="E326" s="364">
        <f>SUM(E314:E325)</f>
        <v>3</v>
      </c>
      <c r="F326" s="249"/>
      <c r="G326" s="249"/>
      <c r="H326" s="249"/>
      <c r="I326" s="252"/>
      <c r="J326" s="252"/>
      <c r="K326" s="303"/>
      <c r="L326" s="303"/>
      <c r="M326" s="304"/>
      <c r="N326" s="304"/>
      <c r="O326" s="304"/>
      <c r="P326" s="304"/>
      <c r="Q326" s="304"/>
    </row>
    <row r="327" spans="1:17" ht="25" customHeight="1" x14ac:dyDescent="0.3">
      <c r="A327" s="355" t="s">
        <v>502</v>
      </c>
      <c r="B327" s="355" t="s">
        <v>503</v>
      </c>
      <c r="C327" s="352"/>
      <c r="D327" s="352"/>
      <c r="E327" s="352"/>
      <c r="F327" s="254">
        <f>I327+J327+K327</f>
        <v>0</v>
      </c>
      <c r="G327" s="259">
        <v>40</v>
      </c>
      <c r="H327" s="249">
        <f>C327*D327*E327*G327</f>
        <v>0</v>
      </c>
      <c r="I327" s="251">
        <f>IF(G327&lt;70, C327*E327*16.5*1, C327*E327*16.5*1.3)</f>
        <v>0</v>
      </c>
      <c r="J327" s="252"/>
      <c r="K327" s="303"/>
      <c r="L327" s="303"/>
      <c r="M327" s="304"/>
      <c r="N327" s="304"/>
      <c r="O327" s="304"/>
      <c r="P327" s="304"/>
      <c r="Q327" s="304"/>
    </row>
    <row r="328" spans="1:17" ht="25" customHeight="1" x14ac:dyDescent="0.3">
      <c r="A328" s="355">
        <v>1</v>
      </c>
      <c r="B328" s="357" t="s">
        <v>225</v>
      </c>
      <c r="C328" s="352"/>
      <c r="D328" s="352"/>
      <c r="E328" s="352"/>
      <c r="F328" s="254">
        <f>I328+J328+K328</f>
        <v>0</v>
      </c>
      <c r="G328" s="259">
        <v>40</v>
      </c>
      <c r="H328" s="249">
        <f>C328*D328*E328*G328</f>
        <v>0</v>
      </c>
      <c r="I328" s="251">
        <f>IF(G328&lt;70, C328*E328*16.5*1, C328*E328*16.5*1.3)</f>
        <v>0</v>
      </c>
      <c r="J328" s="252"/>
      <c r="K328" s="303"/>
      <c r="L328" s="303"/>
      <c r="M328" s="304"/>
      <c r="N328" s="304"/>
      <c r="O328" s="304"/>
      <c r="P328" s="304"/>
      <c r="Q328" s="304"/>
    </row>
    <row r="329" spans="1:17" ht="25" customHeight="1" x14ac:dyDescent="0.3">
      <c r="A329" s="355" t="s">
        <v>381</v>
      </c>
      <c r="B329" s="357" t="s">
        <v>163</v>
      </c>
      <c r="C329" s="352"/>
      <c r="D329" s="352"/>
      <c r="E329" s="352"/>
      <c r="F329" s="249">
        <f>SUM(F327:F328)</f>
        <v>0</v>
      </c>
      <c r="G329" s="246">
        <f>SUM(G327:G328)</f>
        <v>80</v>
      </c>
      <c r="H329" s="246">
        <f>SUM(H327:H328)</f>
        <v>0</v>
      </c>
      <c r="I329" s="246">
        <f>SUM(I327:I328)</f>
        <v>0</v>
      </c>
      <c r="J329" s="246">
        <f>SUM(J327:J328)</f>
        <v>0</v>
      </c>
      <c r="K329" s="303"/>
      <c r="L329" s="303"/>
      <c r="M329" s="304"/>
      <c r="N329" s="304"/>
      <c r="O329" s="304"/>
      <c r="P329" s="304"/>
      <c r="Q329" s="304"/>
    </row>
    <row r="330" spans="1:17" s="405" customFormat="1" ht="25" customHeight="1" x14ac:dyDescent="0.3">
      <c r="A330" s="399" t="s">
        <v>226</v>
      </c>
      <c r="B330" s="397" t="s">
        <v>677</v>
      </c>
      <c r="C330" s="400">
        <v>2</v>
      </c>
      <c r="D330" s="400">
        <v>1</v>
      </c>
      <c r="E330" s="400">
        <v>5</v>
      </c>
      <c r="F330" s="414">
        <f t="shared" ref="F330:K330" si="45">F273+F295+F308+F329+F323</f>
        <v>110522.5</v>
      </c>
      <c r="G330" s="415">
        <f t="shared" si="45"/>
        <v>2041</v>
      </c>
      <c r="H330" s="415">
        <f t="shared" si="45"/>
        <v>463159</v>
      </c>
      <c r="I330" s="415">
        <f t="shared" si="45"/>
        <v>103388.75</v>
      </c>
      <c r="J330" s="415">
        <f t="shared" si="45"/>
        <v>2618.75</v>
      </c>
      <c r="K330" s="415">
        <f t="shared" si="45"/>
        <v>4515</v>
      </c>
      <c r="L330" s="416">
        <f>'Bieu3 QLGD'!F25</f>
        <v>1890</v>
      </c>
      <c r="M330" s="417">
        <f>'Bieu3 QLGD'!N25</f>
        <v>1606.5</v>
      </c>
      <c r="N330" s="417">
        <f>I330-M330</f>
        <v>101782.25</v>
      </c>
      <c r="O330" s="417">
        <f>'Bieu3 QLGD'!O25</f>
        <v>1266.75</v>
      </c>
      <c r="P330" s="417">
        <f>'Bieu3 QLGD'!P25</f>
        <v>650</v>
      </c>
      <c r="Q330" s="417"/>
    </row>
    <row r="331" spans="1:17" s="405" customFormat="1" ht="25" customHeight="1" x14ac:dyDescent="0.3">
      <c r="A331" s="399" t="s">
        <v>226</v>
      </c>
      <c r="B331" s="397" t="s">
        <v>678</v>
      </c>
      <c r="C331" s="400">
        <v>2</v>
      </c>
      <c r="D331" s="400">
        <v>1</v>
      </c>
      <c r="E331" s="400">
        <v>4</v>
      </c>
      <c r="F331" s="418"/>
      <c r="G331" s="419"/>
      <c r="H331" s="419"/>
      <c r="I331" s="419"/>
      <c r="J331" s="419"/>
      <c r="K331" s="419"/>
      <c r="L331" s="420"/>
      <c r="M331" s="404"/>
      <c r="N331" s="404"/>
      <c r="O331" s="404"/>
      <c r="P331" s="404"/>
      <c r="Q331" s="404"/>
    </row>
    <row r="332" spans="1:17" s="405" customFormat="1" ht="25" customHeight="1" x14ac:dyDescent="0.3">
      <c r="A332" s="399" t="s">
        <v>227</v>
      </c>
      <c r="B332" s="397" t="s">
        <v>679</v>
      </c>
      <c r="C332" s="400">
        <v>2</v>
      </c>
      <c r="D332" s="400">
        <v>1</v>
      </c>
      <c r="E332" s="400">
        <v>4</v>
      </c>
      <c r="F332" s="401"/>
      <c r="G332" s="401"/>
      <c r="H332" s="401"/>
      <c r="I332" s="401"/>
      <c r="J332" s="401"/>
      <c r="K332" s="402"/>
      <c r="L332" s="403"/>
      <c r="M332" s="403"/>
      <c r="N332" s="403"/>
      <c r="O332" s="403"/>
      <c r="P332" s="403"/>
      <c r="Q332" s="404"/>
    </row>
    <row r="333" spans="1:17" s="405" customFormat="1" ht="25" customHeight="1" x14ac:dyDescent="0.3">
      <c r="A333" s="399"/>
      <c r="B333" s="406" t="s">
        <v>380</v>
      </c>
      <c r="C333" s="407">
        <f>SUM(C331:C332)</f>
        <v>4</v>
      </c>
      <c r="D333" s="407">
        <f>SUM(D331:D332)</f>
        <v>2</v>
      </c>
      <c r="E333" s="407">
        <f>SUM(E331:E332)</f>
        <v>8</v>
      </c>
      <c r="F333" s="408"/>
      <c r="G333" s="408"/>
      <c r="H333" s="408"/>
      <c r="I333" s="408"/>
      <c r="J333" s="408"/>
      <c r="K333" s="409"/>
      <c r="L333" s="410"/>
      <c r="M333" s="410"/>
      <c r="N333" s="410"/>
      <c r="O333" s="410"/>
      <c r="P333" s="410"/>
      <c r="Q333" s="404"/>
    </row>
    <row r="334" spans="1:17" s="405" customFormat="1" ht="25" customHeight="1" x14ac:dyDescent="0.3">
      <c r="A334" s="399"/>
      <c r="B334" s="406" t="s">
        <v>482</v>
      </c>
      <c r="C334" s="407">
        <f>C273+C295+C311+C333+C326</f>
        <v>330</v>
      </c>
      <c r="D334" s="407">
        <f>D273+D295+D311+D333+D326</f>
        <v>58.6</v>
      </c>
      <c r="E334" s="407">
        <f>E273+E295+E311+E333+E326</f>
        <v>97</v>
      </c>
      <c r="F334" s="408"/>
      <c r="G334" s="408"/>
      <c r="H334" s="408"/>
      <c r="I334" s="408"/>
      <c r="J334" s="408"/>
      <c r="K334" s="409"/>
      <c r="L334" s="410"/>
      <c r="M334" s="410"/>
      <c r="N334" s="410"/>
      <c r="O334" s="410"/>
      <c r="P334" s="410"/>
      <c r="Q334" s="404"/>
    </row>
    <row r="335" spans="1:17" s="405" customFormat="1" ht="25" customHeight="1" x14ac:dyDescent="0.3">
      <c r="A335" s="411"/>
      <c r="B335" s="412"/>
      <c r="C335" s="408"/>
      <c r="D335" s="408"/>
      <c r="E335" s="413"/>
      <c r="F335" s="408"/>
      <c r="G335" s="408"/>
      <c r="H335" s="408"/>
      <c r="I335" s="408"/>
      <c r="J335" s="408"/>
      <c r="K335" s="409"/>
      <c r="L335" s="410"/>
      <c r="M335" s="410"/>
      <c r="N335" s="410"/>
      <c r="O335" s="410"/>
      <c r="P335" s="410"/>
      <c r="Q335" s="404"/>
    </row>
    <row r="336" spans="1:17" ht="25" customHeight="1" x14ac:dyDescent="0.25">
      <c r="A336" s="242" t="s">
        <v>7</v>
      </c>
      <c r="B336" s="242" t="s">
        <v>162</v>
      </c>
      <c r="C336" s="246">
        <f t="shared" ref="C336:K336" si="46">C48+C185+C211+C273+C126</f>
        <v>76</v>
      </c>
      <c r="D336" s="246">
        <f t="shared" si="46"/>
        <v>29.6</v>
      </c>
      <c r="E336" s="246">
        <f t="shared" si="46"/>
        <v>38</v>
      </c>
      <c r="F336" s="246">
        <f t="shared" si="46"/>
        <v>45451.149999999994</v>
      </c>
      <c r="G336" s="246">
        <f t="shared" si="46"/>
        <v>5620</v>
      </c>
      <c r="H336" s="246">
        <f t="shared" si="46"/>
        <v>1371917.36</v>
      </c>
      <c r="I336" s="246">
        <f t="shared" si="46"/>
        <v>45253.149999999994</v>
      </c>
      <c r="J336" s="246">
        <f t="shared" si="46"/>
        <v>198</v>
      </c>
      <c r="K336" s="246">
        <f t="shared" si="46"/>
        <v>0</v>
      </c>
      <c r="L336" s="310" t="e">
        <f>L330+L240+#REF!+L165+L85</f>
        <v>#REF!</v>
      </c>
      <c r="M336" s="310" t="e">
        <f>M330+M240+#REF!+M165+M85</f>
        <v>#REF!</v>
      </c>
      <c r="N336" s="310" t="e">
        <f>N330+N240+#REF!+N165+N85</f>
        <v>#REF!</v>
      </c>
      <c r="O336" s="310" t="e">
        <f>O330+O240+#REF!+O165+O85</f>
        <v>#REF!</v>
      </c>
      <c r="P336" s="310" t="e">
        <f>P330+P240+#REF!+P165+P85</f>
        <v>#REF!</v>
      </c>
      <c r="Q336" s="253"/>
    </row>
    <row r="337" spans="1:17" ht="25" customHeight="1" x14ac:dyDescent="0.25">
      <c r="A337" s="256" t="s">
        <v>8</v>
      </c>
      <c r="B337" s="242" t="s">
        <v>172</v>
      </c>
      <c r="C337" s="246">
        <f t="shared" ref="C337:K337" si="47">C308+C295+C223+C195+C63+C146</f>
        <v>63</v>
      </c>
      <c r="D337" s="246">
        <f t="shared" si="47"/>
        <v>17</v>
      </c>
      <c r="E337" s="246">
        <f t="shared" si="47"/>
        <v>62</v>
      </c>
      <c r="F337" s="246">
        <f t="shared" si="47"/>
        <v>58648.25</v>
      </c>
      <c r="G337" s="246">
        <f t="shared" si="47"/>
        <v>928</v>
      </c>
      <c r="H337" s="246">
        <f t="shared" si="47"/>
        <v>217128</v>
      </c>
      <c r="I337" s="246">
        <f t="shared" si="47"/>
        <v>52494.5</v>
      </c>
      <c r="J337" s="246">
        <f t="shared" si="47"/>
        <v>1638.75</v>
      </c>
      <c r="K337" s="246">
        <f t="shared" si="47"/>
        <v>4515</v>
      </c>
      <c r="L337" s="246">
        <f>L308+L295+L223+L195+L146</f>
        <v>0</v>
      </c>
      <c r="M337" s="246">
        <f>M308+M295+M223+M195+M146</f>
        <v>0</v>
      </c>
      <c r="N337" s="246">
        <f>N308+N295+N223+N195+N146</f>
        <v>0</v>
      </c>
      <c r="O337" s="246">
        <f>O308+O295+O223+O195+O146</f>
        <v>0</v>
      </c>
      <c r="P337" s="246">
        <f>P308+P295+P223+P195+P146</f>
        <v>0</v>
      </c>
      <c r="Q337" s="253"/>
    </row>
    <row r="338" spans="1:17" ht="25" customHeight="1" x14ac:dyDescent="0.25">
      <c r="A338" s="256" t="s">
        <v>25</v>
      </c>
      <c r="B338" s="245" t="s">
        <v>166</v>
      </c>
      <c r="C338" s="246">
        <f t="shared" ref="C338:J338" si="48">C323+C229</f>
        <v>0</v>
      </c>
      <c r="D338" s="246">
        <f t="shared" si="48"/>
        <v>0</v>
      </c>
      <c r="E338" s="246">
        <f t="shared" si="48"/>
        <v>0</v>
      </c>
      <c r="F338" s="246">
        <f t="shared" si="48"/>
        <v>99720</v>
      </c>
      <c r="G338" s="246">
        <f t="shared" si="48"/>
        <v>33</v>
      </c>
      <c r="H338" s="246">
        <f t="shared" si="48"/>
        <v>452760</v>
      </c>
      <c r="I338" s="246">
        <f t="shared" si="48"/>
        <v>98740</v>
      </c>
      <c r="J338" s="246">
        <f t="shared" si="48"/>
        <v>980</v>
      </c>
      <c r="K338" s="246">
        <f t="shared" ref="K338:P338" si="49">K329+K229</f>
        <v>0</v>
      </c>
      <c r="L338" s="246">
        <f t="shared" si="49"/>
        <v>0</v>
      </c>
      <c r="M338" s="246">
        <f t="shared" si="49"/>
        <v>0</v>
      </c>
      <c r="N338" s="246">
        <f t="shared" si="49"/>
        <v>0</v>
      </c>
      <c r="O338" s="246">
        <f t="shared" si="49"/>
        <v>0</v>
      </c>
      <c r="P338" s="246">
        <f t="shared" si="49"/>
        <v>0</v>
      </c>
      <c r="Q338" s="253"/>
    </row>
    <row r="339" spans="1:17" ht="25" customHeight="1" x14ac:dyDescent="0.25">
      <c r="A339" s="256"/>
      <c r="B339" s="245" t="s">
        <v>542</v>
      </c>
      <c r="C339" s="246" t="e">
        <f>C329+C239+#REF!+C164+C83</f>
        <v>#REF!</v>
      </c>
      <c r="D339" s="246" t="e">
        <f>D329+D239+#REF!+D164+D83</f>
        <v>#REF!</v>
      </c>
      <c r="E339" s="246" t="e">
        <f>E329+E239+#REF!+E164+E83</f>
        <v>#REF!</v>
      </c>
      <c r="F339" s="246" t="e">
        <f>F329+F239+#REF!+F164+F83</f>
        <v>#REF!</v>
      </c>
      <c r="G339" s="246" t="e">
        <f>G329+G239+#REF!+G164+G83</f>
        <v>#REF!</v>
      </c>
      <c r="H339" s="246" t="e">
        <f>H329+H239+#REF!+H164+H83</f>
        <v>#REF!</v>
      </c>
      <c r="I339" s="246" t="e">
        <f>I329+I239+#REF!+I164+I83</f>
        <v>#REF!</v>
      </c>
      <c r="J339" s="246" t="e">
        <f>J329+J239+#REF!+J164+J83</f>
        <v>#REF!</v>
      </c>
      <c r="K339" s="246" t="e">
        <f>K329+K239+#REF!+K164+K83</f>
        <v>#REF!</v>
      </c>
      <c r="L339" s="246" t="e">
        <f>L329+L239+#REF!+L164+L83</f>
        <v>#REF!</v>
      </c>
      <c r="M339" s="246" t="e">
        <f>M329+M239+#REF!+M164+M83</f>
        <v>#REF!</v>
      </c>
      <c r="N339" s="246" t="e">
        <f>N329+N239+#REF!+N164+N83</f>
        <v>#REF!</v>
      </c>
      <c r="O339" s="246" t="e">
        <f>O329+O239+#REF!+O164+O83</f>
        <v>#REF!</v>
      </c>
      <c r="P339" s="246" t="e">
        <f>P329+P239+#REF!+P164+P83</f>
        <v>#REF!</v>
      </c>
      <c r="Q339" s="253"/>
    </row>
    <row r="340" spans="1:17" ht="25" customHeight="1" x14ac:dyDescent="0.25">
      <c r="A340" s="256"/>
      <c r="B340" s="245" t="s">
        <v>543</v>
      </c>
      <c r="C340" s="246"/>
      <c r="D340" s="246"/>
      <c r="E340" s="246"/>
      <c r="F340" s="246"/>
      <c r="G340" s="246"/>
      <c r="H340" s="246"/>
      <c r="I340" s="246"/>
      <c r="J340" s="246"/>
      <c r="K340" s="311"/>
      <c r="L340" s="311"/>
      <c r="M340" s="311"/>
      <c r="N340" s="311"/>
      <c r="O340" s="311"/>
      <c r="P340" s="311"/>
      <c r="Q340" s="253"/>
    </row>
    <row r="341" spans="1:17" ht="25" customHeight="1" x14ac:dyDescent="0.25">
      <c r="A341" s="238"/>
      <c r="B341" s="264" t="s">
        <v>484</v>
      </c>
      <c r="C341" s="260" t="e">
        <f>C330+C240+#REF!+C165+C85</f>
        <v>#REF!</v>
      </c>
      <c r="D341" s="260" t="e">
        <f>D330+D240+#REF!+D165+D85</f>
        <v>#REF!</v>
      </c>
      <c r="E341" s="260" t="e">
        <f>E330+E240+#REF!+E165+E85</f>
        <v>#REF!</v>
      </c>
      <c r="F341" s="260" t="e">
        <f>F330+F240+#REF!+F165+F85</f>
        <v>#REF!</v>
      </c>
      <c r="G341" s="260" t="e">
        <f>G330+G240+#REF!+G165+G85</f>
        <v>#REF!</v>
      </c>
      <c r="H341" s="260" t="e">
        <f>H330+H240+#REF!+H165+H85</f>
        <v>#REF!</v>
      </c>
      <c r="I341" s="260" t="e">
        <f>I330+I240+#REF!+I165+I85</f>
        <v>#REF!</v>
      </c>
      <c r="J341" s="260" t="e">
        <f>J330+J240+#REF!+J165+J85</f>
        <v>#REF!</v>
      </c>
      <c r="K341" s="260" t="e">
        <f>K330+K240+#REF!+K165+K85</f>
        <v>#REF!</v>
      </c>
      <c r="L341" s="312" t="e">
        <f>L330+L240+#REF!+L165+L85</f>
        <v>#REF!</v>
      </c>
      <c r="M341" s="313" t="e">
        <f>M330+M240+#REF!+M165+M85</f>
        <v>#REF!</v>
      </c>
      <c r="N341" s="313" t="e">
        <f>N330+N240+#REF!+N165+N85</f>
        <v>#REF!</v>
      </c>
      <c r="O341" s="312" t="e">
        <f>O330+O240+#REF!+O165+O85</f>
        <v>#REF!</v>
      </c>
      <c r="P341" s="312" t="e">
        <f>P330+P240+#REF!+P165+P85</f>
        <v>#REF!</v>
      </c>
      <c r="Q341" s="253"/>
    </row>
    <row r="342" spans="1:17" x14ac:dyDescent="0.3">
      <c r="C342" s="174"/>
      <c r="D342" s="1450" t="s">
        <v>570</v>
      </c>
      <c r="E342" s="1450"/>
      <c r="F342" s="1450"/>
      <c r="G342" s="1450"/>
      <c r="H342" s="1450"/>
      <c r="I342" s="1450"/>
      <c r="J342" s="241" t="e">
        <f>J341+K341</f>
        <v>#REF!</v>
      </c>
      <c r="K342" s="10"/>
      <c r="L342" s="10"/>
      <c r="M342" s="10"/>
      <c r="N342" s="1451" t="s">
        <v>589</v>
      </c>
      <c r="O342" s="1451"/>
      <c r="P342" s="1451"/>
      <c r="Q342" s="1451"/>
    </row>
    <row r="343" spans="1:17" ht="12.75" customHeight="1" x14ac:dyDescent="0.3">
      <c r="A343" s="14"/>
      <c r="B343" s="14"/>
      <c r="C343" s="174"/>
      <c r="D343" s="174"/>
      <c r="E343" s="174"/>
      <c r="F343" s="174"/>
      <c r="G343" s="174"/>
      <c r="H343" s="174"/>
      <c r="I343" s="174"/>
      <c r="J343" s="174"/>
      <c r="K343" s="10"/>
      <c r="L343" s="10"/>
      <c r="M343" s="10"/>
      <c r="N343" s="1442" t="s">
        <v>548</v>
      </c>
      <c r="O343" s="1442"/>
      <c r="P343" s="1442"/>
      <c r="Q343" s="1442"/>
    </row>
    <row r="344" spans="1:17" x14ac:dyDescent="0.3">
      <c r="A344" s="14"/>
      <c r="B344" s="1452" t="s">
        <v>150</v>
      </c>
      <c r="C344" s="1452"/>
      <c r="D344" s="1452"/>
      <c r="E344" s="1452"/>
      <c r="F344" s="1452"/>
      <c r="G344" s="1452"/>
      <c r="H344" s="1452"/>
      <c r="I344" s="1452"/>
      <c r="J344" s="1452"/>
      <c r="K344" s="1452"/>
      <c r="L344" s="10"/>
      <c r="M344" s="10"/>
      <c r="N344" s="10"/>
      <c r="O344" s="10"/>
      <c r="P344" s="10"/>
      <c r="Q344" s="153"/>
    </row>
    <row r="345" spans="1:17" ht="26.25" customHeight="1" x14ac:dyDescent="0.3">
      <c r="A345" s="14"/>
      <c r="B345" s="1463" t="s">
        <v>237</v>
      </c>
      <c r="C345" s="1463"/>
      <c r="D345" s="1463"/>
      <c r="E345" s="1463"/>
      <c r="F345" s="1463"/>
      <c r="G345" s="1463"/>
      <c r="H345" s="1463"/>
      <c r="I345" s="1463"/>
      <c r="J345" s="1463"/>
      <c r="K345" s="1463"/>
      <c r="L345" s="10"/>
      <c r="M345" s="10"/>
      <c r="N345" s="10"/>
      <c r="O345" s="10"/>
      <c r="P345" s="10"/>
      <c r="Q345" s="153"/>
    </row>
    <row r="346" spans="1:17" ht="30" customHeight="1" x14ac:dyDescent="0.3">
      <c r="A346" s="14"/>
      <c r="B346" s="1448" t="s">
        <v>74</v>
      </c>
      <c r="C346" s="1448"/>
      <c r="D346" s="1448"/>
      <c r="E346" s="1448"/>
      <c r="F346" s="1448"/>
      <c r="G346" s="1448"/>
      <c r="H346" s="1448"/>
      <c r="I346" s="1448"/>
      <c r="J346" s="1448"/>
      <c r="K346" s="1448"/>
      <c r="L346" s="10"/>
      <c r="M346" s="10"/>
      <c r="N346" s="1435" t="s">
        <v>549</v>
      </c>
      <c r="O346" s="1435"/>
      <c r="P346" s="1435"/>
      <c r="Q346" s="1435"/>
    </row>
  </sheetData>
  <mergeCells count="30">
    <mergeCell ref="A5:A6"/>
    <mergeCell ref="B5:B6"/>
    <mergeCell ref="C5:C6"/>
    <mergeCell ref="D5:D6"/>
    <mergeCell ref="E5:E6"/>
    <mergeCell ref="A1:C1"/>
    <mergeCell ref="I1:N1"/>
    <mergeCell ref="A2:C2"/>
    <mergeCell ref="I2:N2"/>
    <mergeCell ref="A3:Q3"/>
    <mergeCell ref="Q128:Q134"/>
    <mergeCell ref="F5:F6"/>
    <mergeCell ref="G5:G6"/>
    <mergeCell ref="H5:H6"/>
    <mergeCell ref="I5:K5"/>
    <mergeCell ref="L5:L6"/>
    <mergeCell ref="M5:M6"/>
    <mergeCell ref="N5:N6"/>
    <mergeCell ref="O5:O6"/>
    <mergeCell ref="P5:P6"/>
    <mergeCell ref="Q5:Q6"/>
    <mergeCell ref="Q50:Q52"/>
    <mergeCell ref="B346:K346"/>
    <mergeCell ref="N346:Q346"/>
    <mergeCell ref="M300:Q300"/>
    <mergeCell ref="D342:I342"/>
    <mergeCell ref="N342:Q342"/>
    <mergeCell ref="N343:Q343"/>
    <mergeCell ref="B344:K344"/>
    <mergeCell ref="B345:K345"/>
  </mergeCells>
  <pageMargins left="0.2" right="0.2" top="0.5" bottom="0.42" header="0.62" footer="0.6"/>
  <pageSetup paperSize="9" scale="8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defaultColWidth="9.1796875" defaultRowHeight="13" x14ac:dyDescent="0.3"/>
  <cols>
    <col min="1" max="1" width="5.453125" style="327" customWidth="1"/>
    <col min="2" max="2" width="41.1796875" style="327" customWidth="1"/>
    <col min="3" max="3" width="7" style="319" customWidth="1"/>
    <col min="4" max="4" width="7" style="319" hidden="1" customWidth="1"/>
    <col min="5" max="5" width="6" style="319" customWidth="1"/>
    <col min="6" max="6" width="7.453125" style="175" customWidth="1"/>
    <col min="7" max="7" width="6.81640625" style="319" customWidth="1"/>
    <col min="8" max="8" width="11.1796875" style="319" customWidth="1"/>
    <col min="9" max="10" width="8.36328125" style="319" customWidth="1"/>
    <col min="11" max="11" width="6.453125" style="328" customWidth="1"/>
    <col min="12" max="12" width="7.6328125" style="328" customWidth="1"/>
    <col min="13" max="13" width="9.453125" style="328" customWidth="1"/>
    <col min="14" max="14" width="11" style="328" customWidth="1"/>
    <col min="15" max="15" width="6.6328125" style="328" customWidth="1"/>
    <col min="16" max="16" width="9.6328125" style="328" customWidth="1"/>
    <col min="17" max="17" width="12.6328125" style="197" customWidth="1"/>
    <col min="18" max="16384" width="9.1796875" style="197"/>
  </cols>
  <sheetData>
    <row r="1" spans="1:17" ht="14.25" customHeight="1" x14ac:dyDescent="0.3">
      <c r="A1" s="1459" t="s">
        <v>3</v>
      </c>
      <c r="B1" s="1459"/>
      <c r="C1" s="1459"/>
      <c r="D1" s="14"/>
      <c r="E1" s="14"/>
      <c r="F1" s="14"/>
      <c r="G1" s="14"/>
      <c r="H1" s="174"/>
      <c r="I1" s="1435"/>
      <c r="J1" s="1435"/>
      <c r="K1" s="1435"/>
      <c r="L1" s="1435"/>
      <c r="M1" s="1435"/>
      <c r="N1" s="1435"/>
      <c r="O1" s="15"/>
      <c r="P1" s="15"/>
      <c r="Q1" s="320" t="s">
        <v>30</v>
      </c>
    </row>
    <row r="2" spans="1:17" x14ac:dyDescent="0.3">
      <c r="A2" s="1439" t="s">
        <v>530</v>
      </c>
      <c r="B2" s="1439"/>
      <c r="C2" s="1439"/>
      <c r="D2" s="153"/>
      <c r="E2" s="153"/>
      <c r="F2" s="14"/>
      <c r="G2" s="153"/>
      <c r="H2" s="174"/>
      <c r="I2" s="1435"/>
      <c r="J2" s="1435"/>
      <c r="K2" s="1435"/>
      <c r="L2" s="1435"/>
      <c r="M2" s="1435"/>
      <c r="N2" s="1435"/>
      <c r="O2" s="15"/>
      <c r="P2" s="15"/>
      <c r="Q2" s="15"/>
    </row>
    <row r="3" spans="1:17" ht="30" customHeight="1" x14ac:dyDescent="0.25">
      <c r="A3" s="1437" t="s">
        <v>590</v>
      </c>
      <c r="B3" s="1437"/>
      <c r="C3" s="1437"/>
      <c r="D3" s="1437"/>
      <c r="E3" s="1437"/>
      <c r="F3" s="1437"/>
      <c r="G3" s="1437"/>
      <c r="H3" s="1437"/>
      <c r="I3" s="1437"/>
      <c r="J3" s="1437"/>
      <c r="K3" s="1437"/>
      <c r="L3" s="1437"/>
      <c r="M3" s="1437"/>
      <c r="N3" s="1437"/>
      <c r="O3" s="1437"/>
      <c r="P3" s="1437"/>
      <c r="Q3" s="1437"/>
    </row>
    <row r="4" spans="1:17" x14ac:dyDescent="0.3">
      <c r="A4" s="51"/>
      <c r="B4" s="51"/>
      <c r="C4" s="61"/>
      <c r="D4" s="61"/>
      <c r="E4" s="61"/>
      <c r="F4" s="61"/>
      <c r="G4" s="61"/>
      <c r="H4" s="61"/>
      <c r="I4" s="61"/>
      <c r="J4" s="61"/>
      <c r="K4" s="51"/>
      <c r="L4" s="51"/>
      <c r="M4" s="51"/>
      <c r="N4" s="51" t="s">
        <v>20</v>
      </c>
      <c r="O4" s="51"/>
      <c r="P4" s="51"/>
      <c r="Q4" s="61"/>
    </row>
    <row r="5" spans="1:17" ht="133.5" customHeight="1" x14ac:dyDescent="0.25">
      <c r="A5" s="1469" t="s">
        <v>0</v>
      </c>
      <c r="B5" s="1464" t="s">
        <v>171</v>
      </c>
      <c r="C5" s="1464" t="s">
        <v>204</v>
      </c>
      <c r="D5" s="1464" t="s">
        <v>205</v>
      </c>
      <c r="E5" s="1464" t="s">
        <v>152</v>
      </c>
      <c r="F5" s="1464" t="s">
        <v>159</v>
      </c>
      <c r="G5" s="1464" t="s">
        <v>208</v>
      </c>
      <c r="H5" s="1464" t="s">
        <v>207</v>
      </c>
      <c r="I5" s="1466" t="s">
        <v>209</v>
      </c>
      <c r="J5" s="1467"/>
      <c r="K5" s="1468"/>
      <c r="L5" s="1464" t="s">
        <v>210</v>
      </c>
      <c r="M5" s="1464" t="s">
        <v>211</v>
      </c>
      <c r="N5" s="1464" t="s">
        <v>39</v>
      </c>
      <c r="O5" s="1464" t="s">
        <v>86</v>
      </c>
      <c r="P5" s="1464" t="s">
        <v>87</v>
      </c>
      <c r="Q5" s="1464" t="s">
        <v>2</v>
      </c>
    </row>
    <row r="6" spans="1:17" ht="50" customHeight="1" x14ac:dyDescent="0.25">
      <c r="A6" s="1470"/>
      <c r="B6" s="1465"/>
      <c r="C6" s="1465"/>
      <c r="D6" s="1465"/>
      <c r="E6" s="1465"/>
      <c r="F6" s="1465"/>
      <c r="G6" s="1465"/>
      <c r="H6" s="1465"/>
      <c r="I6" s="196" t="s">
        <v>160</v>
      </c>
      <c r="J6" s="196" t="s">
        <v>101</v>
      </c>
      <c r="K6" s="196" t="s">
        <v>158</v>
      </c>
      <c r="L6" s="1465"/>
      <c r="M6" s="1465"/>
      <c r="N6" s="1465"/>
      <c r="O6" s="1465"/>
      <c r="P6" s="1465"/>
      <c r="Q6" s="1465"/>
    </row>
    <row r="7" spans="1:17" s="321" customFormat="1" ht="30" customHeight="1" x14ac:dyDescent="0.25">
      <c r="A7" s="199" t="s">
        <v>115</v>
      </c>
      <c r="B7" s="200" t="s">
        <v>116</v>
      </c>
      <c r="C7" s="200" t="s">
        <v>117</v>
      </c>
      <c r="D7" s="201" t="s">
        <v>118</v>
      </c>
      <c r="E7" s="201" t="s">
        <v>118</v>
      </c>
      <c r="F7" s="201" t="s">
        <v>119</v>
      </c>
      <c r="G7" s="201" t="s">
        <v>120</v>
      </c>
      <c r="H7" s="201" t="s">
        <v>596</v>
      </c>
      <c r="I7" s="201" t="s">
        <v>123</v>
      </c>
      <c r="J7" s="201" t="s">
        <v>125</v>
      </c>
      <c r="K7" s="201" t="s">
        <v>134</v>
      </c>
      <c r="L7" s="201" t="s">
        <v>126</v>
      </c>
      <c r="M7" s="201" t="s">
        <v>127</v>
      </c>
      <c r="N7" s="201" t="s">
        <v>128</v>
      </c>
      <c r="O7" s="202" t="s">
        <v>129</v>
      </c>
      <c r="P7" s="202" t="s">
        <v>130</v>
      </c>
      <c r="Q7" s="201" t="s">
        <v>206</v>
      </c>
    </row>
    <row r="8" spans="1:17" ht="25" customHeight="1" x14ac:dyDescent="0.25">
      <c r="A8" s="209" t="s">
        <v>6</v>
      </c>
      <c r="B8" s="209" t="s">
        <v>294</v>
      </c>
      <c r="C8" s="210"/>
      <c r="D8" s="210"/>
      <c r="E8" s="210"/>
      <c r="F8" s="314"/>
      <c r="G8" s="210"/>
      <c r="H8" s="210"/>
      <c r="I8" s="210"/>
      <c r="J8" s="210"/>
      <c r="K8" s="209"/>
      <c r="L8" s="209"/>
      <c r="M8" s="209"/>
      <c r="N8" s="209"/>
      <c r="O8" s="209"/>
      <c r="P8" s="209"/>
      <c r="Q8" s="209"/>
    </row>
    <row r="9" spans="1:17" ht="25" customHeight="1" x14ac:dyDescent="0.25">
      <c r="A9" s="242" t="s">
        <v>7</v>
      </c>
      <c r="B9" s="242" t="s">
        <v>591</v>
      </c>
      <c r="C9" s="243"/>
      <c r="D9" s="243"/>
      <c r="E9" s="243"/>
      <c r="F9" s="315"/>
      <c r="G9" s="243"/>
      <c r="H9" s="243"/>
      <c r="I9" s="243"/>
      <c r="J9" s="243"/>
      <c r="K9" s="242"/>
      <c r="L9" s="242"/>
      <c r="M9" s="242"/>
      <c r="N9" s="242"/>
      <c r="O9" s="242"/>
      <c r="P9" s="242"/>
      <c r="Q9" s="242"/>
    </row>
    <row r="10" spans="1:17" ht="25" customHeight="1" x14ac:dyDescent="0.25">
      <c r="A10" s="242">
        <v>1</v>
      </c>
      <c r="B10" s="242" t="s">
        <v>4</v>
      </c>
      <c r="C10" s="243"/>
      <c r="D10" s="243"/>
      <c r="E10" s="243"/>
      <c r="F10" s="315"/>
      <c r="G10" s="243"/>
      <c r="H10" s="243"/>
      <c r="I10" s="243"/>
      <c r="J10" s="243"/>
      <c r="K10" s="242"/>
      <c r="L10" s="242"/>
      <c r="M10" s="242"/>
      <c r="N10" s="242"/>
      <c r="O10" s="242"/>
      <c r="P10" s="242"/>
      <c r="Q10" s="242"/>
    </row>
    <row r="11" spans="1:17" s="3" customFormat="1" ht="25" customHeight="1" x14ac:dyDescent="0.25">
      <c r="A11" s="244" t="s">
        <v>147</v>
      </c>
      <c r="B11" s="245" t="s">
        <v>161</v>
      </c>
      <c r="C11" s="246"/>
      <c r="D11" s="246"/>
      <c r="E11" s="246"/>
      <c r="F11" s="249"/>
      <c r="G11" s="246"/>
      <c r="H11" s="246"/>
      <c r="I11" s="247"/>
      <c r="J11" s="247"/>
      <c r="K11" s="247"/>
      <c r="L11" s="247"/>
      <c r="M11" s="247"/>
      <c r="N11" s="247"/>
      <c r="O11" s="247"/>
      <c r="P11" s="247"/>
      <c r="Q11" s="248"/>
    </row>
    <row r="12" spans="1:17" s="3" customFormat="1" ht="25" customHeight="1" x14ac:dyDescent="0.25">
      <c r="A12" s="349" t="s">
        <v>226</v>
      </c>
      <c r="B12" s="372" t="s">
        <v>250</v>
      </c>
      <c r="C12" s="352">
        <v>2</v>
      </c>
      <c r="D12" s="351">
        <v>1</v>
      </c>
      <c r="E12" s="352">
        <v>1</v>
      </c>
      <c r="F12" s="254">
        <f>I12+J12+K12</f>
        <v>33</v>
      </c>
      <c r="G12" s="249">
        <v>40</v>
      </c>
      <c r="H12" s="249">
        <f>C12*D12*E12*G12</f>
        <v>80</v>
      </c>
      <c r="I12" s="251">
        <f>IF(G12&lt;70, C12*E12*16.5*1, C12*E12*16.5*1.3)</f>
        <v>33</v>
      </c>
      <c r="J12" s="247"/>
      <c r="K12" s="247"/>
      <c r="L12" s="247"/>
      <c r="M12" s="247"/>
      <c r="N12" s="247"/>
      <c r="O12" s="247"/>
      <c r="P12" s="247"/>
      <c r="Q12" s="248"/>
    </row>
    <row r="13" spans="1:17" s="3" customFormat="1" ht="25" customHeight="1" x14ac:dyDescent="0.25">
      <c r="A13" s="349" t="s">
        <v>227</v>
      </c>
      <c r="B13" s="372" t="s">
        <v>635</v>
      </c>
      <c r="C13" s="352">
        <v>1</v>
      </c>
      <c r="D13" s="352">
        <v>1.4</v>
      </c>
      <c r="E13" s="352">
        <v>14</v>
      </c>
      <c r="F13" s="254">
        <f>I13+J13+K13</f>
        <v>231</v>
      </c>
      <c r="G13" s="249">
        <v>20</v>
      </c>
      <c r="H13" s="249">
        <f t="shared" ref="H13:H44" si="0">C13*D13*E13*G13</f>
        <v>391.99999999999994</v>
      </c>
      <c r="I13" s="251">
        <f t="shared" ref="I13:I45" si="1">IF(G13&lt;70, C13*E13*16.5*1, C13*E13*16.5*1.3)</f>
        <v>231</v>
      </c>
      <c r="J13" s="247"/>
      <c r="K13" s="247"/>
      <c r="L13" s="247"/>
      <c r="M13" s="247"/>
      <c r="N13" s="247"/>
      <c r="O13" s="247"/>
      <c r="P13" s="247"/>
      <c r="Q13" s="248"/>
    </row>
    <row r="14" spans="1:17" s="3" customFormat="1" ht="25" customHeight="1" x14ac:dyDescent="0.25">
      <c r="A14" s="349" t="s">
        <v>228</v>
      </c>
      <c r="B14" s="372" t="s">
        <v>251</v>
      </c>
      <c r="C14" s="352">
        <v>2</v>
      </c>
      <c r="D14" s="352">
        <v>1</v>
      </c>
      <c r="E14" s="352">
        <v>1</v>
      </c>
      <c r="F14" s="254">
        <f t="shared" ref="F14:F46" si="2">I14+J14+K14</f>
        <v>42.9</v>
      </c>
      <c r="G14" s="249">
        <v>80</v>
      </c>
      <c r="H14" s="249">
        <f t="shared" si="0"/>
        <v>160</v>
      </c>
      <c r="I14" s="251">
        <f t="shared" si="1"/>
        <v>42.9</v>
      </c>
      <c r="J14" s="247"/>
      <c r="K14" s="247"/>
      <c r="L14" s="247"/>
      <c r="M14" s="247"/>
      <c r="N14" s="247"/>
      <c r="O14" s="247"/>
      <c r="P14" s="247"/>
      <c r="Q14" s="248"/>
    </row>
    <row r="15" spans="1:17" s="3" customFormat="1" ht="25" customHeight="1" x14ac:dyDescent="0.25">
      <c r="A15" s="349" t="s">
        <v>229</v>
      </c>
      <c r="B15" s="372" t="s">
        <v>636</v>
      </c>
      <c r="C15" s="352">
        <v>2</v>
      </c>
      <c r="D15" s="352">
        <v>1</v>
      </c>
      <c r="E15" s="352">
        <v>3</v>
      </c>
      <c r="F15" s="254">
        <f t="shared" si="2"/>
        <v>128.70000000000002</v>
      </c>
      <c r="G15" s="249">
        <v>70</v>
      </c>
      <c r="H15" s="249">
        <f t="shared" si="0"/>
        <v>420</v>
      </c>
      <c r="I15" s="251">
        <f t="shared" si="1"/>
        <v>128.70000000000002</v>
      </c>
      <c r="J15" s="247"/>
      <c r="K15" s="247"/>
      <c r="L15" s="247"/>
      <c r="M15" s="247"/>
      <c r="N15" s="247"/>
      <c r="O15" s="247"/>
      <c r="P15" s="247"/>
      <c r="Q15" s="248"/>
    </row>
    <row r="16" spans="1:17" s="3" customFormat="1" ht="25" customHeight="1" x14ac:dyDescent="0.3">
      <c r="A16" s="349" t="s">
        <v>230</v>
      </c>
      <c r="B16" s="373" t="s">
        <v>637</v>
      </c>
      <c r="C16" s="352">
        <v>2</v>
      </c>
      <c r="D16" s="352">
        <v>1</v>
      </c>
      <c r="E16" s="352">
        <v>3</v>
      </c>
      <c r="F16" s="254">
        <f t="shared" si="2"/>
        <v>128.70000000000002</v>
      </c>
      <c r="G16" s="249">
        <v>70</v>
      </c>
      <c r="H16" s="249">
        <f t="shared" si="0"/>
        <v>420</v>
      </c>
      <c r="I16" s="251">
        <f t="shared" si="1"/>
        <v>128.70000000000002</v>
      </c>
      <c r="J16" s="247"/>
      <c r="K16" s="247"/>
      <c r="L16" s="247"/>
      <c r="M16" s="247"/>
      <c r="N16" s="247"/>
      <c r="O16" s="247"/>
      <c r="P16" s="247"/>
      <c r="Q16" s="248"/>
    </row>
    <row r="17" spans="1:17" s="3" customFormat="1" ht="25" customHeight="1" x14ac:dyDescent="0.25">
      <c r="A17" s="349" t="s">
        <v>231</v>
      </c>
      <c r="B17" s="372" t="s">
        <v>259</v>
      </c>
      <c r="C17" s="352">
        <v>5</v>
      </c>
      <c r="D17" s="352">
        <v>1</v>
      </c>
      <c r="E17" s="352">
        <v>4</v>
      </c>
      <c r="F17" s="254">
        <f t="shared" si="2"/>
        <v>429</v>
      </c>
      <c r="G17" s="249">
        <v>70</v>
      </c>
      <c r="H17" s="249">
        <f t="shared" si="0"/>
        <v>1400</v>
      </c>
      <c r="I17" s="251">
        <f t="shared" si="1"/>
        <v>429</v>
      </c>
      <c r="J17" s="247"/>
      <c r="K17" s="247"/>
      <c r="L17" s="247"/>
      <c r="M17" s="247"/>
      <c r="N17" s="247"/>
      <c r="O17" s="247"/>
      <c r="P17" s="247"/>
      <c r="Q17" s="248"/>
    </row>
    <row r="18" spans="1:17" s="3" customFormat="1" ht="25" customHeight="1" x14ac:dyDescent="0.25">
      <c r="A18" s="349" t="s">
        <v>282</v>
      </c>
      <c r="B18" s="372" t="s">
        <v>249</v>
      </c>
      <c r="C18" s="351">
        <v>2</v>
      </c>
      <c r="D18" s="351">
        <v>1</v>
      </c>
      <c r="E18" s="351">
        <v>1</v>
      </c>
      <c r="F18" s="254">
        <f t="shared" si="2"/>
        <v>33</v>
      </c>
      <c r="G18" s="251">
        <v>40</v>
      </c>
      <c r="H18" s="249">
        <f t="shared" si="0"/>
        <v>80</v>
      </c>
      <c r="I18" s="251">
        <f t="shared" si="1"/>
        <v>33</v>
      </c>
      <c r="J18" s="247"/>
      <c r="K18" s="247"/>
      <c r="L18" s="247"/>
      <c r="M18" s="247"/>
      <c r="N18" s="247"/>
      <c r="O18" s="247"/>
      <c r="P18" s="247"/>
      <c r="Q18" s="248"/>
    </row>
    <row r="19" spans="1:17" s="3" customFormat="1" ht="25" customHeight="1" x14ac:dyDescent="0.3">
      <c r="A19" s="349" t="s">
        <v>283</v>
      </c>
      <c r="B19" s="373" t="s">
        <v>638</v>
      </c>
      <c r="C19" s="352">
        <v>2</v>
      </c>
      <c r="D19" s="352">
        <v>1</v>
      </c>
      <c r="E19" s="352">
        <v>2</v>
      </c>
      <c r="F19" s="254">
        <f t="shared" si="2"/>
        <v>85.8</v>
      </c>
      <c r="G19" s="249">
        <v>80</v>
      </c>
      <c r="H19" s="249">
        <f t="shared" si="0"/>
        <v>320</v>
      </c>
      <c r="I19" s="251">
        <f t="shared" si="1"/>
        <v>85.8</v>
      </c>
      <c r="J19" s="247"/>
      <c r="K19" s="247"/>
      <c r="L19" s="247"/>
      <c r="M19" s="247"/>
      <c r="N19" s="247"/>
      <c r="O19" s="247"/>
      <c r="P19" s="247"/>
      <c r="Q19" s="248"/>
    </row>
    <row r="20" spans="1:17" s="3" customFormat="1" ht="25" customHeight="1" x14ac:dyDescent="0.25">
      <c r="A20" s="349" t="s">
        <v>284</v>
      </c>
      <c r="B20" s="372" t="s">
        <v>639</v>
      </c>
      <c r="C20" s="352">
        <v>1</v>
      </c>
      <c r="D20" s="352">
        <v>1.4</v>
      </c>
      <c r="E20" s="352">
        <v>6</v>
      </c>
      <c r="F20" s="254">
        <f t="shared" si="2"/>
        <v>99</v>
      </c>
      <c r="G20" s="249">
        <v>20</v>
      </c>
      <c r="H20" s="249">
        <f t="shared" si="0"/>
        <v>167.99999999999997</v>
      </c>
      <c r="I20" s="251">
        <f t="shared" si="1"/>
        <v>99</v>
      </c>
      <c r="J20" s="247"/>
      <c r="K20" s="247"/>
      <c r="L20" s="247"/>
      <c r="M20" s="247"/>
      <c r="N20" s="247"/>
      <c r="O20" s="247"/>
      <c r="P20" s="247"/>
      <c r="Q20" s="248"/>
    </row>
    <row r="21" spans="1:17" s="3" customFormat="1" ht="25" customHeight="1" x14ac:dyDescent="0.25">
      <c r="A21" s="349" t="s">
        <v>285</v>
      </c>
      <c r="B21" s="372" t="s">
        <v>640</v>
      </c>
      <c r="C21" s="352">
        <v>3</v>
      </c>
      <c r="D21" s="352">
        <v>1</v>
      </c>
      <c r="E21" s="352">
        <v>2</v>
      </c>
      <c r="F21" s="254">
        <f t="shared" si="2"/>
        <v>128.70000000000002</v>
      </c>
      <c r="G21" s="249">
        <v>80</v>
      </c>
      <c r="H21" s="249">
        <f t="shared" si="0"/>
        <v>480</v>
      </c>
      <c r="I21" s="251">
        <f t="shared" si="1"/>
        <v>128.70000000000002</v>
      </c>
      <c r="J21" s="252"/>
      <c r="K21" s="252"/>
      <c r="L21" s="252"/>
      <c r="M21" s="252"/>
      <c r="N21" s="252"/>
      <c r="O21" s="252"/>
      <c r="P21" s="252"/>
      <c r="Q21" s="253"/>
    </row>
    <row r="22" spans="1:17" s="3" customFormat="1" ht="25" customHeight="1" x14ac:dyDescent="0.25">
      <c r="A22" s="349" t="s">
        <v>286</v>
      </c>
      <c r="B22" s="372" t="s">
        <v>252</v>
      </c>
      <c r="C22" s="352">
        <v>2</v>
      </c>
      <c r="D22" s="352">
        <v>1</v>
      </c>
      <c r="E22" s="352">
        <v>1</v>
      </c>
      <c r="F22" s="254">
        <f t="shared" si="2"/>
        <v>33</v>
      </c>
      <c r="G22" s="249">
        <v>40</v>
      </c>
      <c r="H22" s="249">
        <f t="shared" si="0"/>
        <v>80</v>
      </c>
      <c r="I22" s="251">
        <f t="shared" si="1"/>
        <v>33</v>
      </c>
      <c r="J22" s="252"/>
      <c r="K22" s="252"/>
      <c r="L22" s="252"/>
      <c r="M22" s="252"/>
      <c r="N22" s="252"/>
      <c r="O22" s="252"/>
      <c r="P22" s="252"/>
      <c r="Q22" s="253"/>
    </row>
    <row r="23" spans="1:17" s="3" customFormat="1" ht="25" customHeight="1" x14ac:dyDescent="0.25">
      <c r="A23" s="349" t="s">
        <v>289</v>
      </c>
      <c r="B23" s="372" t="s">
        <v>253</v>
      </c>
      <c r="C23" s="352">
        <v>2</v>
      </c>
      <c r="D23" s="352">
        <v>1</v>
      </c>
      <c r="E23" s="352">
        <v>1</v>
      </c>
      <c r="F23" s="254">
        <f t="shared" si="2"/>
        <v>33</v>
      </c>
      <c r="G23" s="249">
        <v>40</v>
      </c>
      <c r="H23" s="249">
        <f t="shared" si="0"/>
        <v>80</v>
      </c>
      <c r="I23" s="251">
        <f t="shared" si="1"/>
        <v>33</v>
      </c>
      <c r="J23" s="252"/>
      <c r="K23" s="252"/>
      <c r="L23" s="252"/>
      <c r="M23" s="252"/>
      <c r="N23" s="252"/>
      <c r="O23" s="252"/>
      <c r="P23" s="252"/>
      <c r="Q23" s="253"/>
    </row>
    <row r="24" spans="1:17" s="3" customFormat="1" ht="25" customHeight="1" x14ac:dyDescent="0.25">
      <c r="A24" s="349" t="s">
        <v>290</v>
      </c>
      <c r="B24" s="372" t="s">
        <v>254</v>
      </c>
      <c r="C24" s="352">
        <v>4</v>
      </c>
      <c r="D24" s="352">
        <v>1.4</v>
      </c>
      <c r="E24" s="352">
        <v>6</v>
      </c>
      <c r="F24" s="254">
        <f t="shared" si="2"/>
        <v>240</v>
      </c>
      <c r="G24" s="249">
        <v>20</v>
      </c>
      <c r="H24" s="249">
        <f t="shared" si="0"/>
        <v>671.99999999999989</v>
      </c>
      <c r="I24" s="251">
        <f>E24*G24*2</f>
        <v>240</v>
      </c>
      <c r="J24" s="252"/>
      <c r="K24" s="252"/>
      <c r="L24" s="252"/>
      <c r="M24" s="252"/>
      <c r="N24" s="252"/>
      <c r="O24" s="252"/>
      <c r="P24" s="252"/>
      <c r="Q24" s="253"/>
    </row>
    <row r="25" spans="1:17" s="3" customFormat="1" ht="25" customHeight="1" x14ac:dyDescent="0.25">
      <c r="A25" s="349" t="s">
        <v>291</v>
      </c>
      <c r="B25" s="372" t="s">
        <v>255</v>
      </c>
      <c r="C25" s="352">
        <v>3</v>
      </c>
      <c r="D25" s="352">
        <v>1.3</v>
      </c>
      <c r="E25" s="352">
        <v>7</v>
      </c>
      <c r="F25" s="254">
        <f t="shared" si="2"/>
        <v>346.5</v>
      </c>
      <c r="G25" s="249">
        <v>20</v>
      </c>
      <c r="H25" s="249">
        <f t="shared" si="0"/>
        <v>546.00000000000011</v>
      </c>
      <c r="I25" s="251">
        <f t="shared" si="1"/>
        <v>346.5</v>
      </c>
      <c r="J25" s="252"/>
      <c r="K25" s="252"/>
      <c r="L25" s="252"/>
      <c r="M25" s="252"/>
      <c r="N25" s="252"/>
      <c r="O25" s="252"/>
      <c r="P25" s="252"/>
      <c r="Q25" s="253"/>
    </row>
    <row r="26" spans="1:17" s="3" customFormat="1" ht="25" customHeight="1" x14ac:dyDescent="0.25">
      <c r="A26" s="349" t="s">
        <v>292</v>
      </c>
      <c r="B26" s="372" t="s">
        <v>256</v>
      </c>
      <c r="C26" s="352">
        <v>3</v>
      </c>
      <c r="D26" s="352">
        <v>1</v>
      </c>
      <c r="E26" s="352">
        <v>2</v>
      </c>
      <c r="F26" s="254">
        <f t="shared" si="2"/>
        <v>128.70000000000002</v>
      </c>
      <c r="G26" s="249">
        <v>70</v>
      </c>
      <c r="H26" s="249">
        <f t="shared" si="0"/>
        <v>420</v>
      </c>
      <c r="I26" s="251">
        <f t="shared" si="1"/>
        <v>128.70000000000002</v>
      </c>
      <c r="J26" s="252"/>
      <c r="K26" s="252"/>
      <c r="L26" s="252"/>
      <c r="M26" s="252"/>
      <c r="N26" s="252"/>
      <c r="O26" s="252"/>
      <c r="P26" s="252"/>
      <c r="Q26" s="253"/>
    </row>
    <row r="27" spans="1:17" s="3" customFormat="1" ht="25" customHeight="1" x14ac:dyDescent="0.3">
      <c r="A27" s="349" t="s">
        <v>394</v>
      </c>
      <c r="B27" s="374" t="s">
        <v>641</v>
      </c>
      <c r="C27" s="352">
        <v>3</v>
      </c>
      <c r="D27" s="352">
        <v>1</v>
      </c>
      <c r="E27" s="352">
        <v>4</v>
      </c>
      <c r="F27" s="254">
        <f t="shared" si="2"/>
        <v>257.40000000000003</v>
      </c>
      <c r="G27" s="249">
        <v>70</v>
      </c>
      <c r="H27" s="249">
        <f t="shared" si="0"/>
        <v>840</v>
      </c>
      <c r="I27" s="251">
        <f t="shared" si="1"/>
        <v>257.40000000000003</v>
      </c>
      <c r="J27" s="252"/>
      <c r="K27" s="252"/>
      <c r="L27" s="252"/>
      <c r="M27" s="252"/>
      <c r="N27" s="252"/>
      <c r="O27" s="252"/>
      <c r="P27" s="252"/>
      <c r="Q27" s="253"/>
    </row>
    <row r="28" spans="1:17" s="3" customFormat="1" ht="25" customHeight="1" x14ac:dyDescent="0.25">
      <c r="A28" s="349" t="s">
        <v>395</v>
      </c>
      <c r="B28" s="372" t="s">
        <v>642</v>
      </c>
      <c r="C28" s="352">
        <v>5</v>
      </c>
      <c r="D28" s="352">
        <v>1.4</v>
      </c>
      <c r="E28" s="352">
        <v>6</v>
      </c>
      <c r="F28" s="254">
        <f t="shared" si="2"/>
        <v>495</v>
      </c>
      <c r="G28" s="249">
        <v>45</v>
      </c>
      <c r="H28" s="249">
        <f t="shared" si="0"/>
        <v>1890</v>
      </c>
      <c r="I28" s="251">
        <f t="shared" si="1"/>
        <v>495</v>
      </c>
      <c r="J28" s="252"/>
      <c r="K28" s="252"/>
      <c r="L28" s="252"/>
      <c r="M28" s="252"/>
      <c r="N28" s="252"/>
      <c r="O28" s="252"/>
      <c r="P28" s="252"/>
      <c r="Q28" s="253"/>
    </row>
    <row r="29" spans="1:17" s="3" customFormat="1" ht="25" customHeight="1" x14ac:dyDescent="0.25">
      <c r="A29" s="349" t="s">
        <v>396</v>
      </c>
      <c r="B29" s="372" t="s">
        <v>260</v>
      </c>
      <c r="C29" s="352">
        <v>2</v>
      </c>
      <c r="D29" s="352">
        <v>1</v>
      </c>
      <c r="E29" s="352">
        <v>4</v>
      </c>
      <c r="F29" s="254">
        <f t="shared" si="2"/>
        <v>132</v>
      </c>
      <c r="G29" s="249">
        <v>40</v>
      </c>
      <c r="H29" s="249">
        <f t="shared" si="0"/>
        <v>320</v>
      </c>
      <c r="I29" s="251">
        <f t="shared" si="1"/>
        <v>132</v>
      </c>
      <c r="J29" s="252"/>
      <c r="K29" s="252"/>
      <c r="L29" s="252"/>
      <c r="M29" s="252"/>
      <c r="N29" s="252"/>
      <c r="O29" s="252"/>
      <c r="P29" s="252"/>
      <c r="Q29" s="253"/>
    </row>
    <row r="30" spans="1:17" s="3" customFormat="1" ht="25" customHeight="1" x14ac:dyDescent="0.25">
      <c r="A30" s="349" t="s">
        <v>397</v>
      </c>
      <c r="B30" s="372" t="s">
        <v>643</v>
      </c>
      <c r="C30" s="352">
        <v>2</v>
      </c>
      <c r="D30" s="352">
        <v>1</v>
      </c>
      <c r="E30" s="352">
        <v>2</v>
      </c>
      <c r="F30" s="254">
        <f t="shared" si="2"/>
        <v>66</v>
      </c>
      <c r="G30" s="249">
        <v>65</v>
      </c>
      <c r="H30" s="249">
        <f t="shared" si="0"/>
        <v>260</v>
      </c>
      <c r="I30" s="251">
        <f t="shared" si="1"/>
        <v>66</v>
      </c>
      <c r="J30" s="252"/>
      <c r="K30" s="252"/>
      <c r="L30" s="252"/>
      <c r="M30" s="252"/>
      <c r="N30" s="252"/>
      <c r="O30" s="252"/>
      <c r="P30" s="252"/>
      <c r="Q30" s="253"/>
    </row>
    <row r="31" spans="1:17" s="3" customFormat="1" ht="25" customHeight="1" x14ac:dyDescent="0.25">
      <c r="A31" s="349" t="s">
        <v>398</v>
      </c>
      <c r="B31" s="372" t="s">
        <v>644</v>
      </c>
      <c r="C31" s="352">
        <v>4</v>
      </c>
      <c r="D31" s="352">
        <v>1</v>
      </c>
      <c r="E31" s="352">
        <v>2</v>
      </c>
      <c r="F31" s="254">
        <f t="shared" si="2"/>
        <v>171.6</v>
      </c>
      <c r="G31" s="249">
        <v>70</v>
      </c>
      <c r="H31" s="249">
        <f t="shared" si="0"/>
        <v>560</v>
      </c>
      <c r="I31" s="251">
        <f t="shared" si="1"/>
        <v>171.6</v>
      </c>
      <c r="J31" s="252"/>
      <c r="K31" s="252"/>
      <c r="L31" s="252"/>
      <c r="M31" s="252"/>
      <c r="N31" s="252"/>
      <c r="O31" s="252"/>
      <c r="P31" s="252"/>
      <c r="Q31" s="253"/>
    </row>
    <row r="32" spans="1:17" s="3" customFormat="1" ht="25" customHeight="1" x14ac:dyDescent="0.25">
      <c r="A32" s="349" t="s">
        <v>399</v>
      </c>
      <c r="B32" s="372" t="s">
        <v>645</v>
      </c>
      <c r="C32" s="352">
        <v>2</v>
      </c>
      <c r="D32" s="352">
        <v>1.08</v>
      </c>
      <c r="E32" s="352">
        <v>4</v>
      </c>
      <c r="F32" s="254">
        <f t="shared" si="2"/>
        <v>132</v>
      </c>
      <c r="G32" s="249">
        <v>50</v>
      </c>
      <c r="H32" s="249">
        <f t="shared" si="0"/>
        <v>432</v>
      </c>
      <c r="I32" s="251">
        <f t="shared" si="1"/>
        <v>132</v>
      </c>
      <c r="J32" s="252"/>
      <c r="K32" s="252"/>
      <c r="L32" s="252"/>
      <c r="M32" s="252"/>
      <c r="N32" s="252"/>
      <c r="O32" s="252"/>
      <c r="P32" s="252"/>
      <c r="Q32" s="253"/>
    </row>
    <row r="33" spans="1:17" s="3" customFormat="1" ht="25" customHeight="1" x14ac:dyDescent="0.25">
      <c r="A33" s="349" t="s">
        <v>400</v>
      </c>
      <c r="B33" s="375" t="s">
        <v>262</v>
      </c>
      <c r="C33" s="376">
        <v>4</v>
      </c>
      <c r="D33" s="352">
        <v>1.08</v>
      </c>
      <c r="E33" s="377">
        <v>2</v>
      </c>
      <c r="F33" s="254">
        <f t="shared" si="2"/>
        <v>171.6</v>
      </c>
      <c r="G33" s="255">
        <v>70</v>
      </c>
      <c r="H33" s="249">
        <f t="shared" si="0"/>
        <v>604.80000000000007</v>
      </c>
      <c r="I33" s="251">
        <f t="shared" si="1"/>
        <v>171.6</v>
      </c>
      <c r="J33" s="252"/>
      <c r="K33" s="252"/>
      <c r="L33" s="252"/>
      <c r="M33" s="252"/>
      <c r="N33" s="252"/>
      <c r="O33" s="252"/>
      <c r="P33" s="252"/>
      <c r="Q33" s="253"/>
    </row>
    <row r="34" spans="1:17" s="3" customFormat="1" ht="25" customHeight="1" x14ac:dyDescent="0.25">
      <c r="A34" s="349" t="s">
        <v>401</v>
      </c>
      <c r="B34" s="378" t="s">
        <v>646</v>
      </c>
      <c r="C34" s="352">
        <v>3</v>
      </c>
      <c r="D34" s="352">
        <v>1</v>
      </c>
      <c r="E34" s="352">
        <v>2</v>
      </c>
      <c r="F34" s="254">
        <f t="shared" si="2"/>
        <v>128.70000000000002</v>
      </c>
      <c r="G34" s="249">
        <v>80</v>
      </c>
      <c r="H34" s="249">
        <f t="shared" si="0"/>
        <v>480</v>
      </c>
      <c r="I34" s="251">
        <f t="shared" si="1"/>
        <v>128.70000000000002</v>
      </c>
      <c r="J34" s="252"/>
      <c r="K34" s="252"/>
      <c r="L34" s="252"/>
      <c r="M34" s="252"/>
      <c r="N34" s="252"/>
      <c r="O34" s="252"/>
      <c r="P34" s="252"/>
      <c r="Q34" s="253"/>
    </row>
    <row r="35" spans="1:17" s="3" customFormat="1" ht="25" customHeight="1" x14ac:dyDescent="0.25">
      <c r="A35" s="349" t="s">
        <v>402</v>
      </c>
      <c r="B35" s="372" t="s">
        <v>647</v>
      </c>
      <c r="C35" s="352">
        <v>3</v>
      </c>
      <c r="D35" s="352">
        <v>1</v>
      </c>
      <c r="E35" s="352">
        <v>2</v>
      </c>
      <c r="F35" s="254">
        <f t="shared" si="2"/>
        <v>128.70000000000002</v>
      </c>
      <c r="G35" s="249">
        <v>70</v>
      </c>
      <c r="H35" s="249">
        <f t="shared" si="0"/>
        <v>420</v>
      </c>
      <c r="I35" s="251">
        <f t="shared" si="1"/>
        <v>128.70000000000002</v>
      </c>
      <c r="J35" s="252"/>
      <c r="K35" s="252"/>
      <c r="L35" s="252"/>
      <c r="M35" s="252"/>
      <c r="N35" s="252"/>
      <c r="O35" s="252"/>
      <c r="P35" s="252"/>
      <c r="Q35" s="253"/>
    </row>
    <row r="36" spans="1:17" s="3" customFormat="1" ht="25" customHeight="1" x14ac:dyDescent="0.25">
      <c r="A36" s="349" t="s">
        <v>403</v>
      </c>
      <c r="B36" s="372" t="s">
        <v>264</v>
      </c>
      <c r="C36" s="352">
        <v>3</v>
      </c>
      <c r="D36" s="352">
        <v>1</v>
      </c>
      <c r="E36" s="352">
        <v>1</v>
      </c>
      <c r="F36" s="254">
        <f t="shared" si="2"/>
        <v>49.5</v>
      </c>
      <c r="G36" s="249">
        <v>21</v>
      </c>
      <c r="H36" s="249">
        <f t="shared" si="0"/>
        <v>63</v>
      </c>
      <c r="I36" s="251">
        <f t="shared" si="1"/>
        <v>49.5</v>
      </c>
      <c r="J36" s="252"/>
      <c r="K36" s="252"/>
      <c r="L36" s="252"/>
      <c r="M36" s="252"/>
      <c r="N36" s="252"/>
      <c r="O36" s="252"/>
      <c r="P36" s="252"/>
      <c r="Q36" s="253"/>
    </row>
    <row r="37" spans="1:17" s="3" customFormat="1" ht="25" customHeight="1" x14ac:dyDescent="0.25">
      <c r="A37" s="349" t="s">
        <v>404</v>
      </c>
      <c r="B37" s="372" t="s">
        <v>648</v>
      </c>
      <c r="C37" s="352">
        <v>4</v>
      </c>
      <c r="D37" s="352">
        <v>1</v>
      </c>
      <c r="E37" s="352">
        <v>5</v>
      </c>
      <c r="F37" s="254">
        <f t="shared" si="2"/>
        <v>429</v>
      </c>
      <c r="G37" s="249">
        <v>70</v>
      </c>
      <c r="H37" s="249">
        <f t="shared" si="0"/>
        <v>1400</v>
      </c>
      <c r="I37" s="251">
        <f t="shared" si="1"/>
        <v>429</v>
      </c>
      <c r="J37" s="252"/>
      <c r="K37" s="252"/>
      <c r="L37" s="252"/>
      <c r="M37" s="252"/>
      <c r="N37" s="252"/>
      <c r="O37" s="252"/>
      <c r="P37" s="252"/>
      <c r="Q37" s="253"/>
    </row>
    <row r="38" spans="1:17" s="3" customFormat="1" ht="25" customHeight="1" x14ac:dyDescent="0.25">
      <c r="A38" s="349" t="s">
        <v>405</v>
      </c>
      <c r="B38" s="372" t="s">
        <v>642</v>
      </c>
      <c r="C38" s="352">
        <v>2</v>
      </c>
      <c r="D38" s="352">
        <v>1.4</v>
      </c>
      <c r="E38" s="352">
        <v>6</v>
      </c>
      <c r="F38" s="254">
        <f t="shared" si="2"/>
        <v>90</v>
      </c>
      <c r="G38" s="249">
        <v>20</v>
      </c>
      <c r="H38" s="249">
        <f t="shared" si="0"/>
        <v>335.99999999999994</v>
      </c>
      <c r="I38" s="251">
        <f>E38*15</f>
        <v>90</v>
      </c>
      <c r="J38" s="252"/>
      <c r="K38" s="252"/>
      <c r="L38" s="252"/>
      <c r="M38" s="252"/>
      <c r="N38" s="252"/>
      <c r="O38" s="252"/>
      <c r="P38" s="252"/>
      <c r="Q38" s="253"/>
    </row>
    <row r="39" spans="1:17" s="3" customFormat="1" ht="25" customHeight="1" x14ac:dyDescent="0.25">
      <c r="A39" s="349" t="s">
        <v>406</v>
      </c>
      <c r="B39" s="372" t="s">
        <v>265</v>
      </c>
      <c r="C39" s="352">
        <v>3</v>
      </c>
      <c r="D39" s="352">
        <v>1</v>
      </c>
      <c r="E39" s="352">
        <v>6</v>
      </c>
      <c r="F39" s="254">
        <f t="shared" si="2"/>
        <v>297</v>
      </c>
      <c r="G39" s="249">
        <v>50</v>
      </c>
      <c r="H39" s="249">
        <f t="shared" si="0"/>
        <v>900</v>
      </c>
      <c r="I39" s="251">
        <f t="shared" si="1"/>
        <v>297</v>
      </c>
      <c r="J39" s="252"/>
      <c r="K39" s="252"/>
      <c r="L39" s="252"/>
      <c r="M39" s="252"/>
      <c r="N39" s="252"/>
      <c r="O39" s="252"/>
      <c r="P39" s="252"/>
      <c r="Q39" s="253"/>
    </row>
    <row r="40" spans="1:17" s="3" customFormat="1" ht="25" customHeight="1" x14ac:dyDescent="0.25">
      <c r="A40" s="349" t="s">
        <v>407</v>
      </c>
      <c r="B40" s="372" t="s">
        <v>266</v>
      </c>
      <c r="C40" s="352">
        <v>3</v>
      </c>
      <c r="D40" s="352">
        <v>1</v>
      </c>
      <c r="E40" s="352">
        <v>3</v>
      </c>
      <c r="F40" s="254">
        <f t="shared" si="2"/>
        <v>193.05</v>
      </c>
      <c r="G40" s="249">
        <v>70</v>
      </c>
      <c r="H40" s="249">
        <f t="shared" si="0"/>
        <v>630</v>
      </c>
      <c r="I40" s="251">
        <f t="shared" si="1"/>
        <v>193.05</v>
      </c>
      <c r="J40" s="252"/>
      <c r="K40" s="252"/>
      <c r="L40" s="252"/>
      <c r="M40" s="252"/>
      <c r="N40" s="252"/>
      <c r="O40" s="252"/>
      <c r="P40" s="252"/>
      <c r="Q40" s="253"/>
    </row>
    <row r="41" spans="1:17" s="3" customFormat="1" ht="25" customHeight="1" x14ac:dyDescent="0.25">
      <c r="A41" s="349" t="s">
        <v>408</v>
      </c>
      <c r="B41" s="372" t="s">
        <v>267</v>
      </c>
      <c r="C41" s="352">
        <v>2</v>
      </c>
      <c r="D41" s="352">
        <v>1</v>
      </c>
      <c r="E41" s="352">
        <v>1</v>
      </c>
      <c r="F41" s="254">
        <f t="shared" si="2"/>
        <v>33</v>
      </c>
      <c r="G41" s="249">
        <v>50</v>
      </c>
      <c r="H41" s="249">
        <f t="shared" si="0"/>
        <v>100</v>
      </c>
      <c r="I41" s="251">
        <f t="shared" si="1"/>
        <v>33</v>
      </c>
      <c r="J41" s="252"/>
      <c r="K41" s="252"/>
      <c r="L41" s="252"/>
      <c r="M41" s="252"/>
      <c r="N41" s="252"/>
      <c r="O41" s="252"/>
      <c r="P41" s="252"/>
      <c r="Q41" s="253"/>
    </row>
    <row r="42" spans="1:17" s="3" customFormat="1" ht="25" customHeight="1" x14ac:dyDescent="0.25">
      <c r="A42" s="349" t="s">
        <v>409</v>
      </c>
      <c r="B42" s="372" t="s">
        <v>268</v>
      </c>
      <c r="C42" s="352">
        <v>2</v>
      </c>
      <c r="D42" s="352">
        <v>1</v>
      </c>
      <c r="E42" s="352">
        <v>1</v>
      </c>
      <c r="F42" s="254">
        <f t="shared" si="2"/>
        <v>33</v>
      </c>
      <c r="G42" s="249">
        <v>50</v>
      </c>
      <c r="H42" s="249">
        <f t="shared" si="0"/>
        <v>100</v>
      </c>
      <c r="I42" s="251">
        <f t="shared" si="1"/>
        <v>33</v>
      </c>
      <c r="J42" s="252"/>
      <c r="K42" s="252"/>
      <c r="L42" s="252"/>
      <c r="M42" s="252"/>
      <c r="N42" s="252"/>
      <c r="O42" s="252"/>
      <c r="P42" s="252"/>
      <c r="Q42" s="253"/>
    </row>
    <row r="43" spans="1:17" s="3" customFormat="1" ht="25" customHeight="1" x14ac:dyDescent="0.25">
      <c r="A43" s="349" t="s">
        <v>410</v>
      </c>
      <c r="B43" s="375" t="s">
        <v>649</v>
      </c>
      <c r="C43" s="352">
        <v>2</v>
      </c>
      <c r="D43" s="352">
        <v>1</v>
      </c>
      <c r="E43" s="352">
        <v>5</v>
      </c>
      <c r="F43" s="254">
        <f t="shared" si="2"/>
        <v>165</v>
      </c>
      <c r="G43" s="249">
        <v>50</v>
      </c>
      <c r="H43" s="249">
        <f t="shared" si="0"/>
        <v>500</v>
      </c>
      <c r="I43" s="251">
        <f t="shared" si="1"/>
        <v>165</v>
      </c>
      <c r="J43" s="252"/>
      <c r="K43" s="252"/>
      <c r="L43" s="252"/>
      <c r="M43" s="252"/>
      <c r="N43" s="252"/>
      <c r="O43" s="252"/>
      <c r="P43" s="252"/>
      <c r="Q43" s="253"/>
    </row>
    <row r="44" spans="1:17" s="3" customFormat="1" ht="25" customHeight="1" x14ac:dyDescent="0.25">
      <c r="A44" s="349" t="s">
        <v>650</v>
      </c>
      <c r="B44" s="379" t="s">
        <v>651</v>
      </c>
      <c r="C44" s="380">
        <v>3</v>
      </c>
      <c r="D44" s="352">
        <v>1</v>
      </c>
      <c r="E44" s="352">
        <v>4</v>
      </c>
      <c r="F44" s="254">
        <f t="shared" si="2"/>
        <v>198</v>
      </c>
      <c r="G44" s="255">
        <v>40</v>
      </c>
      <c r="H44" s="249">
        <f t="shared" si="0"/>
        <v>480</v>
      </c>
      <c r="I44" s="251">
        <f t="shared" si="1"/>
        <v>198</v>
      </c>
      <c r="J44" s="252"/>
      <c r="K44" s="252"/>
      <c r="L44" s="252"/>
      <c r="M44" s="252"/>
      <c r="N44" s="252"/>
      <c r="O44" s="252"/>
      <c r="P44" s="252"/>
      <c r="Q44" s="253"/>
    </row>
    <row r="45" spans="1:17" s="3" customFormat="1" ht="25" customHeight="1" x14ac:dyDescent="0.25">
      <c r="A45" s="349" t="s">
        <v>652</v>
      </c>
      <c r="B45" s="381" t="s">
        <v>653</v>
      </c>
      <c r="C45" s="352">
        <v>5</v>
      </c>
      <c r="D45" s="352">
        <v>1</v>
      </c>
      <c r="E45" s="352">
        <v>4</v>
      </c>
      <c r="F45" s="254">
        <f t="shared" si="2"/>
        <v>330</v>
      </c>
      <c r="G45" s="249">
        <v>0</v>
      </c>
      <c r="H45" s="249">
        <v>0</v>
      </c>
      <c r="I45" s="251">
        <f t="shared" si="1"/>
        <v>330</v>
      </c>
      <c r="J45" s="252"/>
      <c r="K45" s="252"/>
      <c r="L45" s="252"/>
      <c r="M45" s="252"/>
      <c r="N45" s="252"/>
      <c r="O45" s="252"/>
      <c r="P45" s="252"/>
      <c r="Q45" s="253"/>
    </row>
    <row r="46" spans="1:17" s="3" customFormat="1" ht="25" customHeight="1" x14ac:dyDescent="0.25">
      <c r="A46" s="349" t="s">
        <v>654</v>
      </c>
      <c r="B46" s="381" t="s">
        <v>261</v>
      </c>
      <c r="C46" s="380">
        <v>4</v>
      </c>
      <c r="D46" s="352">
        <v>1</v>
      </c>
      <c r="E46" s="352">
        <v>4</v>
      </c>
      <c r="F46" s="254">
        <f t="shared" si="2"/>
        <v>160</v>
      </c>
      <c r="G46" s="257">
        <v>20</v>
      </c>
      <c r="H46" s="249">
        <f>C46*D46*E46*G46</f>
        <v>320</v>
      </c>
      <c r="I46" s="251">
        <f>E46*G46*2</f>
        <v>160</v>
      </c>
      <c r="J46" s="252"/>
      <c r="K46" s="252"/>
      <c r="L46" s="252"/>
      <c r="M46" s="252"/>
      <c r="N46" s="252"/>
      <c r="O46" s="252"/>
      <c r="P46" s="252"/>
      <c r="Q46" s="253"/>
    </row>
    <row r="47" spans="1:17" s="3" customFormat="1" ht="25" customHeight="1" x14ac:dyDescent="0.3">
      <c r="A47" s="349" t="s">
        <v>655</v>
      </c>
      <c r="B47" s="382" t="s">
        <v>258</v>
      </c>
      <c r="C47" s="380">
        <v>2</v>
      </c>
      <c r="D47" s="352">
        <v>1</v>
      </c>
      <c r="E47" s="352">
        <v>2</v>
      </c>
      <c r="F47" s="249"/>
      <c r="G47" s="249"/>
      <c r="H47" s="249"/>
      <c r="I47" s="252"/>
      <c r="J47" s="252"/>
      <c r="K47" s="252"/>
      <c r="L47" s="252"/>
      <c r="M47" s="252"/>
      <c r="N47" s="252"/>
      <c r="O47" s="252"/>
      <c r="P47" s="252"/>
      <c r="Q47" s="253"/>
    </row>
    <row r="48" spans="1:17" s="3" customFormat="1" ht="25" customHeight="1" x14ac:dyDescent="0.3">
      <c r="A48" s="349" t="s">
        <v>656</v>
      </c>
      <c r="B48" s="382" t="s">
        <v>257</v>
      </c>
      <c r="C48" s="380">
        <v>2</v>
      </c>
      <c r="D48" s="352">
        <v>1</v>
      </c>
      <c r="E48" s="352">
        <v>2</v>
      </c>
      <c r="F48" s="249">
        <f>SUM(F12:F47)</f>
        <v>5781.55</v>
      </c>
      <c r="G48" s="246">
        <f>SUM(G12:G47)</f>
        <v>1761</v>
      </c>
      <c r="H48" s="246">
        <f>SUM(H12:H47)</f>
        <v>16353.8</v>
      </c>
      <c r="I48" s="246">
        <f>SUM(I12:I47)</f>
        <v>5781.55</v>
      </c>
      <c r="J48" s="252">
        <v>0</v>
      </c>
      <c r="K48" s="252">
        <v>0</v>
      </c>
      <c r="L48" s="252"/>
      <c r="M48" s="252"/>
      <c r="N48" s="252"/>
      <c r="O48" s="252"/>
      <c r="P48" s="252"/>
      <c r="Q48" s="253"/>
    </row>
    <row r="49" spans="1:17" s="3" customFormat="1" ht="25" customHeight="1" x14ac:dyDescent="0.25">
      <c r="A49" s="349" t="s">
        <v>657</v>
      </c>
      <c r="B49" s="383" t="s">
        <v>658</v>
      </c>
      <c r="C49" s="380">
        <v>1</v>
      </c>
      <c r="D49" s="352">
        <v>1.4</v>
      </c>
      <c r="E49" s="352">
        <v>14</v>
      </c>
      <c r="F49" s="249"/>
      <c r="G49" s="249"/>
      <c r="H49" s="249"/>
      <c r="I49" s="249"/>
      <c r="J49" s="252"/>
      <c r="K49" s="252"/>
      <c r="L49" s="252"/>
      <c r="M49" s="252"/>
      <c r="N49" s="252"/>
      <c r="O49" s="252"/>
      <c r="P49" s="252"/>
      <c r="Q49" s="253"/>
    </row>
    <row r="50" spans="1:17" s="3" customFormat="1" ht="25" customHeight="1" x14ac:dyDescent="0.25">
      <c r="A50" s="349" t="s">
        <v>659</v>
      </c>
      <c r="B50" s="384" t="s">
        <v>413</v>
      </c>
      <c r="C50" s="377">
        <v>1</v>
      </c>
      <c r="D50" s="377">
        <v>1.4</v>
      </c>
      <c r="E50" s="377">
        <v>2</v>
      </c>
      <c r="F50" s="249"/>
      <c r="G50" s="249"/>
      <c r="H50" s="249"/>
      <c r="I50" s="249"/>
      <c r="J50" s="252">
        <v>10</v>
      </c>
      <c r="K50" s="252"/>
      <c r="L50" s="252"/>
      <c r="M50" s="252"/>
      <c r="N50" s="252"/>
      <c r="O50" s="252"/>
      <c r="P50" s="252"/>
      <c r="Q50" s="1447" t="s">
        <v>528</v>
      </c>
    </row>
    <row r="51" spans="1:17" s="3" customFormat="1" ht="25" customHeight="1" x14ac:dyDescent="0.25">
      <c r="A51" s="359" t="s">
        <v>148</v>
      </c>
      <c r="B51" s="360" t="s">
        <v>151</v>
      </c>
      <c r="C51" s="352">
        <v>0</v>
      </c>
      <c r="D51" s="352">
        <v>0</v>
      </c>
      <c r="E51" s="352">
        <v>0</v>
      </c>
      <c r="F51" s="249"/>
      <c r="G51" s="249"/>
      <c r="H51" s="249"/>
      <c r="I51" s="249"/>
      <c r="J51" s="252">
        <v>15</v>
      </c>
      <c r="K51" s="252"/>
      <c r="L51" s="252"/>
      <c r="M51" s="252"/>
      <c r="N51" s="252"/>
      <c r="O51" s="252"/>
      <c r="P51" s="252"/>
      <c r="Q51" s="1447"/>
    </row>
    <row r="52" spans="1:17" s="3" customFormat="1" ht="25" customHeight="1" x14ac:dyDescent="0.25">
      <c r="A52" s="354" t="s">
        <v>232</v>
      </c>
      <c r="B52" s="349" t="s">
        <v>156</v>
      </c>
      <c r="C52" s="352">
        <v>4</v>
      </c>
      <c r="D52" s="352">
        <v>1.4</v>
      </c>
      <c r="E52" s="352">
        <v>4</v>
      </c>
      <c r="F52" s="249"/>
      <c r="G52" s="249"/>
      <c r="H52" s="249"/>
      <c r="I52" s="249"/>
      <c r="J52" s="252">
        <v>5</v>
      </c>
      <c r="K52" s="252"/>
      <c r="L52" s="252"/>
      <c r="M52" s="252"/>
      <c r="N52" s="252"/>
      <c r="O52" s="252"/>
      <c r="P52" s="252"/>
      <c r="Q52" s="1447"/>
    </row>
    <row r="53" spans="1:17" s="3" customFormat="1" ht="25" customHeight="1" x14ac:dyDescent="0.25">
      <c r="A53" s="354" t="s">
        <v>233</v>
      </c>
      <c r="B53" s="349" t="s">
        <v>157</v>
      </c>
      <c r="C53" s="352"/>
      <c r="D53" s="352"/>
      <c r="E53" s="352"/>
      <c r="F53" s="249"/>
      <c r="G53" s="249"/>
      <c r="H53" s="249"/>
      <c r="I53" s="252"/>
      <c r="J53" s="252"/>
      <c r="K53" s="252"/>
      <c r="L53" s="252"/>
      <c r="M53" s="252"/>
      <c r="N53" s="252"/>
      <c r="O53" s="252"/>
      <c r="P53" s="252"/>
      <c r="Q53" s="253"/>
    </row>
    <row r="54" spans="1:17" s="3" customFormat="1" ht="25" customHeight="1" x14ac:dyDescent="0.25">
      <c r="A54" s="354"/>
      <c r="B54" s="361" t="s">
        <v>353</v>
      </c>
      <c r="C54" s="364">
        <f>SUM(C12:C53)</f>
        <v>107</v>
      </c>
      <c r="D54" s="364">
        <f>SUM(D12:D53)</f>
        <v>43.659999999999989</v>
      </c>
      <c r="E54" s="364">
        <f>SUM(E12:E53)</f>
        <v>146</v>
      </c>
      <c r="F54" s="249"/>
      <c r="G54" s="249"/>
      <c r="H54" s="249"/>
      <c r="I54" s="252"/>
      <c r="J54" s="252"/>
      <c r="K54" s="252"/>
      <c r="L54" s="252"/>
      <c r="M54" s="252"/>
      <c r="N54" s="252"/>
      <c r="O54" s="252"/>
      <c r="P54" s="252"/>
      <c r="Q54" s="253"/>
    </row>
    <row r="55" spans="1:17" s="3" customFormat="1" ht="25" customHeight="1" x14ac:dyDescent="0.25">
      <c r="A55" s="359"/>
      <c r="B55" s="361" t="s">
        <v>524</v>
      </c>
      <c r="C55" s="352"/>
      <c r="D55" s="352"/>
      <c r="E55" s="352"/>
      <c r="F55" s="254">
        <f t="shared" ref="F55:F62" si="3">I55+J55+K55</f>
        <v>0</v>
      </c>
      <c r="G55" s="249">
        <v>10</v>
      </c>
      <c r="H55" s="249">
        <f t="shared" ref="H55:H60" si="4">C55*D55*E55*G55</f>
        <v>0</v>
      </c>
      <c r="I55" s="251">
        <f t="shared" ref="I55:I60" si="5">IF(G55&lt;70, C55*E55*16.5*1.5, C55*E55*16.5*1.5)</f>
        <v>0</v>
      </c>
      <c r="J55" s="252"/>
      <c r="K55" s="252"/>
      <c r="L55" s="252"/>
      <c r="M55" s="252"/>
      <c r="N55" s="252"/>
      <c r="O55" s="252"/>
      <c r="P55" s="252"/>
      <c r="Q55" s="253"/>
    </row>
    <row r="56" spans="1:17" s="3" customFormat="1" ht="25" customHeight="1" x14ac:dyDescent="0.25">
      <c r="A56" s="354" t="s">
        <v>532</v>
      </c>
      <c r="B56" s="349" t="s">
        <v>525</v>
      </c>
      <c r="C56" s="352">
        <v>5</v>
      </c>
      <c r="D56" s="352"/>
      <c r="E56" s="352">
        <v>2</v>
      </c>
      <c r="F56" s="254">
        <f t="shared" si="3"/>
        <v>247.5</v>
      </c>
      <c r="G56" s="249">
        <v>10</v>
      </c>
      <c r="H56" s="249">
        <f t="shared" si="4"/>
        <v>0</v>
      </c>
      <c r="I56" s="251">
        <f t="shared" si="5"/>
        <v>247.5</v>
      </c>
      <c r="J56" s="252"/>
      <c r="K56" s="252"/>
      <c r="L56" s="252"/>
      <c r="M56" s="252"/>
      <c r="N56" s="252"/>
      <c r="O56" s="252"/>
      <c r="P56" s="252"/>
      <c r="Q56" s="253"/>
    </row>
    <row r="57" spans="1:17" s="3" customFormat="1" ht="25" customHeight="1" x14ac:dyDescent="0.25">
      <c r="A57" s="354" t="s">
        <v>533</v>
      </c>
      <c r="B57" s="349" t="s">
        <v>526</v>
      </c>
      <c r="C57" s="352">
        <v>5</v>
      </c>
      <c r="D57" s="352"/>
      <c r="E57" s="352">
        <v>3</v>
      </c>
      <c r="F57" s="254">
        <f t="shared" si="3"/>
        <v>371.25</v>
      </c>
      <c r="G57" s="249">
        <v>10</v>
      </c>
      <c r="H57" s="249">
        <f t="shared" si="4"/>
        <v>0</v>
      </c>
      <c r="I57" s="251">
        <f t="shared" si="5"/>
        <v>371.25</v>
      </c>
      <c r="J57" s="252"/>
      <c r="K57" s="252"/>
      <c r="L57" s="252"/>
      <c r="M57" s="252"/>
      <c r="N57" s="252"/>
      <c r="O57" s="252"/>
      <c r="P57" s="252"/>
      <c r="Q57" s="253"/>
    </row>
    <row r="58" spans="1:17" s="3" customFormat="1" ht="25" customHeight="1" x14ac:dyDescent="0.25">
      <c r="A58" s="354" t="s">
        <v>534</v>
      </c>
      <c r="B58" s="372" t="s">
        <v>527</v>
      </c>
      <c r="C58" s="352">
        <v>4</v>
      </c>
      <c r="D58" s="352"/>
      <c r="E58" s="352">
        <v>1</v>
      </c>
      <c r="F58" s="254">
        <f t="shared" si="3"/>
        <v>99</v>
      </c>
      <c r="G58" s="249">
        <v>10</v>
      </c>
      <c r="H58" s="249">
        <f t="shared" si="4"/>
        <v>0</v>
      </c>
      <c r="I58" s="251">
        <f t="shared" si="5"/>
        <v>99</v>
      </c>
      <c r="J58" s="252"/>
      <c r="K58" s="252"/>
      <c r="L58" s="252"/>
      <c r="M58" s="252"/>
      <c r="N58" s="252"/>
      <c r="O58" s="252"/>
      <c r="P58" s="252"/>
      <c r="Q58" s="253"/>
    </row>
    <row r="59" spans="1:17" s="3" customFormat="1" ht="25" customHeight="1" x14ac:dyDescent="0.25">
      <c r="A59" s="385">
        <v>2</v>
      </c>
      <c r="B59" s="385" t="s">
        <v>164</v>
      </c>
      <c r="C59" s="352"/>
      <c r="D59" s="352"/>
      <c r="E59" s="352"/>
      <c r="F59" s="254">
        <f t="shared" si="3"/>
        <v>0</v>
      </c>
      <c r="G59" s="249">
        <v>10</v>
      </c>
      <c r="H59" s="249">
        <f t="shared" si="4"/>
        <v>0</v>
      </c>
      <c r="I59" s="251">
        <f t="shared" si="5"/>
        <v>0</v>
      </c>
      <c r="J59" s="252"/>
      <c r="K59" s="252"/>
      <c r="L59" s="252"/>
      <c r="M59" s="252"/>
      <c r="N59" s="252"/>
      <c r="O59" s="252"/>
      <c r="P59" s="252"/>
      <c r="Q59" s="253"/>
    </row>
    <row r="60" spans="1:17" s="3" customFormat="1" ht="25" customHeight="1" x14ac:dyDescent="0.25">
      <c r="A60" s="356" t="s">
        <v>147</v>
      </c>
      <c r="B60" s="357" t="s">
        <v>165</v>
      </c>
      <c r="C60" s="352"/>
      <c r="D60" s="352"/>
      <c r="E60" s="352"/>
      <c r="F60" s="254">
        <f t="shared" si="3"/>
        <v>0</v>
      </c>
      <c r="G60" s="249">
        <v>15</v>
      </c>
      <c r="H60" s="249">
        <f t="shared" si="4"/>
        <v>0</v>
      </c>
      <c r="I60" s="251">
        <f t="shared" si="5"/>
        <v>0</v>
      </c>
      <c r="J60" s="252"/>
      <c r="K60" s="252"/>
      <c r="L60" s="252"/>
      <c r="M60" s="252"/>
      <c r="N60" s="252"/>
      <c r="O60" s="252"/>
      <c r="P60" s="252"/>
      <c r="Q60" s="253"/>
    </row>
    <row r="61" spans="1:17" s="3" customFormat="1" ht="25" customHeight="1" x14ac:dyDescent="0.25">
      <c r="A61" s="349" t="s">
        <v>226</v>
      </c>
      <c r="B61" s="350" t="s">
        <v>269</v>
      </c>
      <c r="C61" s="352">
        <v>3</v>
      </c>
      <c r="D61" s="352">
        <v>1</v>
      </c>
      <c r="E61" s="352">
        <v>1</v>
      </c>
      <c r="F61" s="254">
        <f t="shared" si="3"/>
        <v>49.5</v>
      </c>
      <c r="G61" s="259"/>
      <c r="H61" s="259"/>
      <c r="I61" s="251">
        <f>IF(G61&lt;70, C61*E61*16.5*1, C61*E61*16.5*1.3)</f>
        <v>49.5</v>
      </c>
      <c r="J61" s="252"/>
      <c r="K61" s="252"/>
      <c r="L61" s="252"/>
      <c r="M61" s="252"/>
      <c r="N61" s="252"/>
      <c r="O61" s="252"/>
      <c r="P61" s="252"/>
      <c r="Q61" s="253"/>
    </row>
    <row r="62" spans="1:17" s="3" customFormat="1" ht="25" customHeight="1" x14ac:dyDescent="0.25">
      <c r="A62" s="349" t="s">
        <v>227</v>
      </c>
      <c r="B62" s="350" t="s">
        <v>270</v>
      </c>
      <c r="C62" s="352">
        <v>3</v>
      </c>
      <c r="D62" s="352">
        <v>1</v>
      </c>
      <c r="E62" s="352">
        <v>1</v>
      </c>
      <c r="F62" s="254">
        <f t="shared" si="3"/>
        <v>385</v>
      </c>
      <c r="G62" s="259">
        <v>11</v>
      </c>
      <c r="H62" s="249">
        <f>C62*G62*D62</f>
        <v>33</v>
      </c>
      <c r="I62" s="251">
        <f>11*35</f>
        <v>385</v>
      </c>
      <c r="J62" s="252"/>
      <c r="K62" s="252"/>
      <c r="L62" s="252"/>
      <c r="M62" s="252"/>
      <c r="N62" s="252"/>
      <c r="O62" s="252"/>
      <c r="P62" s="252"/>
      <c r="Q62" s="253"/>
    </row>
    <row r="63" spans="1:17" s="3" customFormat="1" ht="25" customHeight="1" x14ac:dyDescent="0.25">
      <c r="A63" s="349" t="s">
        <v>228</v>
      </c>
      <c r="B63" s="350" t="s">
        <v>271</v>
      </c>
      <c r="C63" s="352">
        <v>3</v>
      </c>
      <c r="D63" s="352">
        <v>1</v>
      </c>
      <c r="E63" s="352">
        <v>1</v>
      </c>
      <c r="F63" s="249">
        <f>SUM(F55:F62)</f>
        <v>1152.25</v>
      </c>
      <c r="G63" s="246">
        <f>SUM(G55:G62)</f>
        <v>76</v>
      </c>
      <c r="H63" s="246">
        <f>SUM(H55:H62)</f>
        <v>33</v>
      </c>
      <c r="I63" s="246">
        <f>SUM(I55:I62)</f>
        <v>1152.25</v>
      </c>
      <c r="J63" s="252"/>
      <c r="K63" s="252"/>
      <c r="L63" s="252"/>
      <c r="M63" s="252"/>
      <c r="N63" s="252"/>
      <c r="O63" s="252"/>
      <c r="P63" s="252"/>
      <c r="Q63" s="253"/>
    </row>
    <row r="64" spans="1:17" s="3" customFormat="1" ht="25" customHeight="1" x14ac:dyDescent="0.25">
      <c r="A64" s="349" t="s">
        <v>229</v>
      </c>
      <c r="B64" s="350" t="s">
        <v>272</v>
      </c>
      <c r="C64" s="352">
        <v>3</v>
      </c>
      <c r="D64" s="352">
        <v>1</v>
      </c>
      <c r="E64" s="352">
        <v>1</v>
      </c>
      <c r="F64" s="249">
        <v>0</v>
      </c>
      <c r="G64" s="249">
        <v>0</v>
      </c>
      <c r="H64" s="249">
        <v>0</v>
      </c>
      <c r="I64" s="249">
        <v>0</v>
      </c>
      <c r="J64" s="252"/>
      <c r="K64" s="252"/>
      <c r="L64" s="252"/>
      <c r="M64" s="252"/>
      <c r="N64" s="252"/>
      <c r="O64" s="252"/>
      <c r="P64" s="252"/>
      <c r="Q64" s="253"/>
    </row>
    <row r="65" spans="1:17" s="3" customFormat="1" ht="25" customHeight="1" x14ac:dyDescent="0.25">
      <c r="A65" s="349" t="s">
        <v>230</v>
      </c>
      <c r="B65" s="353" t="s">
        <v>273</v>
      </c>
      <c r="C65" s="352">
        <v>3</v>
      </c>
      <c r="D65" s="352">
        <v>1</v>
      </c>
      <c r="E65" s="352">
        <v>1</v>
      </c>
      <c r="F65" s="249"/>
      <c r="G65" s="249"/>
      <c r="H65" s="249"/>
      <c r="I65" s="252"/>
      <c r="J65" s="252"/>
      <c r="K65" s="252"/>
      <c r="L65" s="252"/>
      <c r="M65" s="252"/>
      <c r="N65" s="252"/>
      <c r="O65" s="252"/>
      <c r="P65" s="252"/>
      <c r="Q65" s="253"/>
    </row>
    <row r="66" spans="1:17" s="3" customFormat="1" ht="25" customHeight="1" x14ac:dyDescent="0.25">
      <c r="A66" s="349" t="s">
        <v>231</v>
      </c>
      <c r="B66" s="350" t="s">
        <v>531</v>
      </c>
      <c r="C66" s="352">
        <v>3</v>
      </c>
      <c r="D66" s="352">
        <v>1</v>
      </c>
      <c r="E66" s="352">
        <v>1</v>
      </c>
      <c r="F66" s="249"/>
      <c r="G66" s="249"/>
      <c r="H66" s="249"/>
      <c r="I66" s="252"/>
      <c r="J66" s="252"/>
      <c r="K66" s="252"/>
      <c r="L66" s="252"/>
      <c r="M66" s="252"/>
      <c r="N66" s="252"/>
      <c r="O66" s="252"/>
      <c r="P66" s="252"/>
      <c r="Q66" s="253"/>
    </row>
    <row r="67" spans="1:17" s="3" customFormat="1" ht="25" customHeight="1" x14ac:dyDescent="0.25">
      <c r="A67" s="359" t="s">
        <v>148</v>
      </c>
      <c r="B67" s="360" t="s">
        <v>470</v>
      </c>
      <c r="C67" s="352"/>
      <c r="D67" s="352"/>
      <c r="E67" s="352"/>
      <c r="F67" s="249"/>
      <c r="G67" s="249"/>
      <c r="H67" s="249"/>
      <c r="I67" s="252"/>
      <c r="J67" s="252"/>
      <c r="K67" s="252"/>
      <c r="L67" s="252"/>
      <c r="M67" s="252"/>
      <c r="N67" s="252"/>
      <c r="O67" s="252"/>
      <c r="P67" s="252"/>
      <c r="Q67" s="253"/>
    </row>
    <row r="68" spans="1:17" s="3" customFormat="1" ht="25" customHeight="1" x14ac:dyDescent="0.25">
      <c r="A68" s="359"/>
      <c r="B68" s="349" t="s">
        <v>660</v>
      </c>
      <c r="C68" s="352">
        <v>15</v>
      </c>
      <c r="D68" s="352">
        <v>1</v>
      </c>
      <c r="E68" s="352">
        <v>1</v>
      </c>
      <c r="F68" s="254">
        <f t="shared" ref="F68:F82" si="6">I68+J68+K68</f>
        <v>247.5</v>
      </c>
      <c r="G68" s="249">
        <v>40</v>
      </c>
      <c r="H68" s="249">
        <f t="shared" ref="H68:H82" si="7">C68*D68*E68*G68</f>
        <v>600</v>
      </c>
      <c r="I68" s="251">
        <f t="shared" ref="I68:I82" si="8">IF(G68&lt;70, C68*E68*16.5*1, C68*E68*16.5*1.3)</f>
        <v>247.5</v>
      </c>
      <c r="J68" s="252"/>
      <c r="K68" s="252"/>
      <c r="L68" s="252"/>
      <c r="M68" s="252"/>
      <c r="N68" s="252"/>
      <c r="O68" s="252"/>
      <c r="P68" s="252"/>
      <c r="Q68" s="253"/>
    </row>
    <row r="69" spans="1:17" s="3" customFormat="1" ht="25" customHeight="1" x14ac:dyDescent="0.25">
      <c r="A69" s="349"/>
      <c r="B69" s="361" t="s">
        <v>353</v>
      </c>
      <c r="C69" s="364">
        <f>SUM(C61:C68)</f>
        <v>33</v>
      </c>
      <c r="D69" s="364">
        <f>SUM(D61:D68)</f>
        <v>7</v>
      </c>
      <c r="E69" s="364">
        <f>SUM(E61:E68)</f>
        <v>7</v>
      </c>
      <c r="F69" s="254">
        <f t="shared" si="6"/>
        <v>3811.5</v>
      </c>
      <c r="G69" s="249">
        <v>40</v>
      </c>
      <c r="H69" s="249">
        <f t="shared" si="7"/>
        <v>64680</v>
      </c>
      <c r="I69" s="251">
        <f t="shared" si="8"/>
        <v>3811.5</v>
      </c>
      <c r="J69" s="252"/>
      <c r="K69" s="252"/>
      <c r="L69" s="252"/>
      <c r="M69" s="252"/>
      <c r="N69" s="252"/>
      <c r="O69" s="252"/>
      <c r="P69" s="252"/>
      <c r="Q69" s="253"/>
    </row>
    <row r="70" spans="1:17" s="3" customFormat="1" ht="25" customHeight="1" x14ac:dyDescent="0.25">
      <c r="A70" s="385">
        <v>3</v>
      </c>
      <c r="B70" s="385" t="s">
        <v>166</v>
      </c>
      <c r="C70" s="352">
        <v>0</v>
      </c>
      <c r="D70" s="352">
        <v>0</v>
      </c>
      <c r="E70" s="352">
        <v>0</v>
      </c>
      <c r="F70" s="254">
        <f t="shared" si="6"/>
        <v>0</v>
      </c>
      <c r="G70" s="249">
        <v>40</v>
      </c>
      <c r="H70" s="249">
        <f t="shared" si="7"/>
        <v>0</v>
      </c>
      <c r="I70" s="251">
        <f t="shared" si="8"/>
        <v>0</v>
      </c>
      <c r="J70" s="252"/>
      <c r="K70" s="252"/>
      <c r="L70" s="252"/>
      <c r="M70" s="252"/>
      <c r="N70" s="252"/>
      <c r="O70" s="252"/>
      <c r="P70" s="252"/>
      <c r="Q70" s="253"/>
    </row>
    <row r="71" spans="1:17" s="3" customFormat="1" ht="25" customHeight="1" x14ac:dyDescent="0.25">
      <c r="A71" s="385" t="s">
        <v>8</v>
      </c>
      <c r="B71" s="385" t="s">
        <v>224</v>
      </c>
      <c r="C71" s="352"/>
      <c r="D71" s="352"/>
      <c r="E71" s="352"/>
      <c r="F71" s="254">
        <f t="shared" si="6"/>
        <v>0</v>
      </c>
      <c r="G71" s="249">
        <v>40</v>
      </c>
      <c r="H71" s="249">
        <f t="shared" si="7"/>
        <v>0</v>
      </c>
      <c r="I71" s="251">
        <f t="shared" si="8"/>
        <v>0</v>
      </c>
      <c r="J71" s="252"/>
      <c r="K71" s="252"/>
      <c r="L71" s="252"/>
      <c r="M71" s="252"/>
      <c r="N71" s="252"/>
      <c r="O71" s="252"/>
      <c r="P71" s="252"/>
      <c r="Q71" s="253"/>
    </row>
    <row r="72" spans="1:17" s="3" customFormat="1" ht="25" customHeight="1" x14ac:dyDescent="0.25">
      <c r="A72" s="385">
        <v>1</v>
      </c>
      <c r="B72" s="357" t="s">
        <v>225</v>
      </c>
      <c r="C72" s="352"/>
      <c r="D72" s="352"/>
      <c r="E72" s="352"/>
      <c r="F72" s="254">
        <f t="shared" si="6"/>
        <v>0</v>
      </c>
      <c r="G72" s="249">
        <v>40</v>
      </c>
      <c r="H72" s="249">
        <f t="shared" si="7"/>
        <v>0</v>
      </c>
      <c r="I72" s="251">
        <f t="shared" si="8"/>
        <v>0</v>
      </c>
      <c r="J72" s="252"/>
      <c r="K72" s="252"/>
      <c r="L72" s="252"/>
      <c r="M72" s="252"/>
      <c r="N72" s="252"/>
      <c r="O72" s="252"/>
      <c r="P72" s="252"/>
      <c r="Q72" s="253"/>
    </row>
    <row r="73" spans="1:17" s="3" customFormat="1" ht="25" customHeight="1" x14ac:dyDescent="0.25">
      <c r="A73" s="385" t="s">
        <v>147</v>
      </c>
      <c r="B73" s="357" t="s">
        <v>163</v>
      </c>
      <c r="C73" s="352"/>
      <c r="D73" s="352"/>
      <c r="E73" s="352"/>
      <c r="F73" s="254">
        <f t="shared" si="6"/>
        <v>0</v>
      </c>
      <c r="G73" s="249">
        <v>40</v>
      </c>
      <c r="H73" s="249">
        <f t="shared" si="7"/>
        <v>0</v>
      </c>
      <c r="I73" s="251">
        <f t="shared" si="8"/>
        <v>0</v>
      </c>
      <c r="J73" s="252"/>
      <c r="K73" s="252"/>
      <c r="L73" s="252"/>
      <c r="M73" s="252"/>
      <c r="N73" s="252"/>
      <c r="O73" s="252"/>
      <c r="P73" s="252"/>
      <c r="Q73" s="253"/>
    </row>
    <row r="74" spans="1:17" s="3" customFormat="1" ht="25" customHeight="1" x14ac:dyDescent="0.25">
      <c r="A74" s="354" t="s">
        <v>226</v>
      </c>
      <c r="B74" s="353" t="s">
        <v>266</v>
      </c>
      <c r="C74" s="352">
        <v>3</v>
      </c>
      <c r="D74" s="352">
        <v>1</v>
      </c>
      <c r="E74" s="352">
        <v>3</v>
      </c>
      <c r="F74" s="254">
        <f t="shared" si="6"/>
        <v>148.5</v>
      </c>
      <c r="G74" s="249">
        <v>40</v>
      </c>
      <c r="H74" s="249">
        <f t="shared" si="7"/>
        <v>360</v>
      </c>
      <c r="I74" s="251">
        <f t="shared" si="8"/>
        <v>148.5</v>
      </c>
      <c r="J74" s="252"/>
      <c r="K74" s="252"/>
      <c r="L74" s="252"/>
      <c r="M74" s="252"/>
      <c r="N74" s="252"/>
      <c r="O74" s="252"/>
      <c r="P74" s="252"/>
      <c r="Q74" s="253"/>
    </row>
    <row r="75" spans="1:17" s="3" customFormat="1" ht="25" customHeight="1" x14ac:dyDescent="0.25">
      <c r="A75" s="354" t="s">
        <v>227</v>
      </c>
      <c r="B75" s="353" t="s">
        <v>274</v>
      </c>
      <c r="C75" s="352">
        <v>5</v>
      </c>
      <c r="D75" s="352">
        <v>1</v>
      </c>
      <c r="E75" s="352">
        <v>3</v>
      </c>
      <c r="F75" s="254">
        <f t="shared" si="6"/>
        <v>247.5</v>
      </c>
      <c r="G75" s="249">
        <v>40</v>
      </c>
      <c r="H75" s="249">
        <f t="shared" si="7"/>
        <v>600</v>
      </c>
      <c r="I75" s="251">
        <f t="shared" si="8"/>
        <v>247.5</v>
      </c>
      <c r="J75" s="252"/>
      <c r="K75" s="252"/>
      <c r="L75" s="252"/>
      <c r="M75" s="252"/>
      <c r="N75" s="252"/>
      <c r="O75" s="252"/>
      <c r="P75" s="252"/>
      <c r="Q75" s="253"/>
    </row>
    <row r="76" spans="1:17" s="3" customFormat="1" ht="25" customHeight="1" x14ac:dyDescent="0.25">
      <c r="A76" s="354" t="s">
        <v>228</v>
      </c>
      <c r="B76" s="353" t="s">
        <v>275</v>
      </c>
      <c r="C76" s="352">
        <v>3</v>
      </c>
      <c r="D76" s="352">
        <v>1</v>
      </c>
      <c r="E76" s="352">
        <v>3</v>
      </c>
      <c r="F76" s="254">
        <f t="shared" si="6"/>
        <v>148.5</v>
      </c>
      <c r="G76" s="249">
        <v>40</v>
      </c>
      <c r="H76" s="249">
        <f t="shared" si="7"/>
        <v>360</v>
      </c>
      <c r="I76" s="251">
        <f t="shared" si="8"/>
        <v>148.5</v>
      </c>
      <c r="J76" s="252"/>
      <c r="K76" s="252"/>
      <c r="L76" s="252"/>
      <c r="M76" s="252"/>
      <c r="N76" s="252"/>
      <c r="O76" s="252"/>
      <c r="P76" s="252"/>
      <c r="Q76" s="253"/>
    </row>
    <row r="77" spans="1:17" s="3" customFormat="1" ht="25" customHeight="1" x14ac:dyDescent="0.25">
      <c r="A77" s="354" t="s">
        <v>229</v>
      </c>
      <c r="B77" s="353" t="s">
        <v>276</v>
      </c>
      <c r="C77" s="352">
        <v>2</v>
      </c>
      <c r="D77" s="352">
        <v>1</v>
      </c>
      <c r="E77" s="352">
        <v>3</v>
      </c>
      <c r="F77" s="254">
        <f t="shared" si="6"/>
        <v>99</v>
      </c>
      <c r="G77" s="249">
        <v>40</v>
      </c>
      <c r="H77" s="249">
        <f t="shared" si="7"/>
        <v>240</v>
      </c>
      <c r="I77" s="251">
        <f t="shared" si="8"/>
        <v>99</v>
      </c>
      <c r="J77" s="252"/>
      <c r="K77" s="252"/>
      <c r="L77" s="252"/>
      <c r="M77" s="252"/>
      <c r="N77" s="252"/>
      <c r="O77" s="252"/>
      <c r="P77" s="252"/>
      <c r="Q77" s="253"/>
    </row>
    <row r="78" spans="1:17" s="3" customFormat="1" ht="25" customHeight="1" x14ac:dyDescent="0.25">
      <c r="A78" s="354" t="s">
        <v>230</v>
      </c>
      <c r="B78" s="353" t="s">
        <v>277</v>
      </c>
      <c r="C78" s="352">
        <v>2</v>
      </c>
      <c r="D78" s="352">
        <v>1</v>
      </c>
      <c r="E78" s="352">
        <v>3</v>
      </c>
      <c r="F78" s="254">
        <f t="shared" si="6"/>
        <v>99</v>
      </c>
      <c r="G78" s="249">
        <v>40</v>
      </c>
      <c r="H78" s="249">
        <f t="shared" si="7"/>
        <v>240</v>
      </c>
      <c r="I78" s="251">
        <f t="shared" si="8"/>
        <v>99</v>
      </c>
      <c r="J78" s="252"/>
      <c r="K78" s="252"/>
      <c r="L78" s="252"/>
      <c r="M78" s="252"/>
      <c r="N78" s="252"/>
      <c r="O78" s="252"/>
      <c r="P78" s="252"/>
      <c r="Q78" s="253"/>
    </row>
    <row r="79" spans="1:17" s="3" customFormat="1" ht="25" customHeight="1" x14ac:dyDescent="0.25">
      <c r="A79" s="354" t="s">
        <v>231</v>
      </c>
      <c r="B79" s="353" t="s">
        <v>278</v>
      </c>
      <c r="C79" s="352">
        <v>5</v>
      </c>
      <c r="D79" s="352">
        <v>1</v>
      </c>
      <c r="E79" s="352">
        <v>3</v>
      </c>
      <c r="F79" s="254">
        <f t="shared" si="6"/>
        <v>247.5</v>
      </c>
      <c r="G79" s="249">
        <v>40</v>
      </c>
      <c r="H79" s="249">
        <f t="shared" si="7"/>
        <v>600</v>
      </c>
      <c r="I79" s="251">
        <f t="shared" si="8"/>
        <v>247.5</v>
      </c>
      <c r="J79" s="252"/>
      <c r="K79" s="252"/>
      <c r="L79" s="252"/>
      <c r="M79" s="252"/>
      <c r="N79" s="252"/>
      <c r="O79" s="252"/>
      <c r="P79" s="252"/>
      <c r="Q79" s="253"/>
    </row>
    <row r="80" spans="1:17" s="3" customFormat="1" ht="25" customHeight="1" x14ac:dyDescent="0.25">
      <c r="A80" s="354" t="s">
        <v>282</v>
      </c>
      <c r="B80" s="353" t="s">
        <v>279</v>
      </c>
      <c r="C80" s="352">
        <v>2</v>
      </c>
      <c r="D80" s="352">
        <v>1</v>
      </c>
      <c r="E80" s="352">
        <v>3</v>
      </c>
      <c r="F80" s="254">
        <f t="shared" si="6"/>
        <v>99</v>
      </c>
      <c r="G80" s="249">
        <v>40</v>
      </c>
      <c r="H80" s="249">
        <f t="shared" si="7"/>
        <v>240</v>
      </c>
      <c r="I80" s="251">
        <f t="shared" si="8"/>
        <v>99</v>
      </c>
      <c r="J80" s="252"/>
      <c r="K80" s="252"/>
      <c r="L80" s="252"/>
      <c r="M80" s="252"/>
      <c r="N80" s="252"/>
      <c r="O80" s="252"/>
      <c r="P80" s="252"/>
      <c r="Q80" s="253"/>
    </row>
    <row r="81" spans="1:17" s="3" customFormat="1" ht="25" customHeight="1" x14ac:dyDescent="0.25">
      <c r="A81" s="354" t="s">
        <v>283</v>
      </c>
      <c r="B81" s="350" t="s">
        <v>256</v>
      </c>
      <c r="C81" s="352">
        <v>3</v>
      </c>
      <c r="D81" s="352">
        <v>1</v>
      </c>
      <c r="E81" s="352">
        <v>5</v>
      </c>
      <c r="F81" s="254">
        <f t="shared" si="6"/>
        <v>247.5</v>
      </c>
      <c r="G81" s="249">
        <v>40</v>
      </c>
      <c r="H81" s="249">
        <f t="shared" si="7"/>
        <v>600</v>
      </c>
      <c r="I81" s="251">
        <f t="shared" si="8"/>
        <v>247.5</v>
      </c>
      <c r="J81" s="252"/>
      <c r="K81" s="252"/>
      <c r="L81" s="252"/>
      <c r="M81" s="252"/>
      <c r="N81" s="252"/>
      <c r="O81" s="252"/>
      <c r="P81" s="252"/>
      <c r="Q81" s="253"/>
    </row>
    <row r="82" spans="1:17" s="3" customFormat="1" ht="25" customHeight="1" x14ac:dyDescent="0.25">
      <c r="A82" s="354" t="s">
        <v>284</v>
      </c>
      <c r="B82" s="350" t="s">
        <v>262</v>
      </c>
      <c r="C82" s="352">
        <v>5</v>
      </c>
      <c r="D82" s="352">
        <v>1</v>
      </c>
      <c r="E82" s="352">
        <v>5</v>
      </c>
      <c r="F82" s="254">
        <f t="shared" si="6"/>
        <v>412.5</v>
      </c>
      <c r="G82" s="249">
        <v>40</v>
      </c>
      <c r="H82" s="249">
        <f t="shared" si="7"/>
        <v>1000</v>
      </c>
      <c r="I82" s="251">
        <f t="shared" si="8"/>
        <v>412.5</v>
      </c>
      <c r="J82" s="252"/>
      <c r="K82" s="252"/>
      <c r="L82" s="252"/>
      <c r="M82" s="252"/>
      <c r="N82" s="252"/>
      <c r="O82" s="252"/>
      <c r="P82" s="252"/>
      <c r="Q82" s="253"/>
    </row>
    <row r="83" spans="1:17" s="3" customFormat="1" ht="25" customHeight="1" x14ac:dyDescent="0.25">
      <c r="A83" s="354" t="s">
        <v>285</v>
      </c>
      <c r="B83" s="350" t="s">
        <v>280</v>
      </c>
      <c r="C83" s="352">
        <v>2</v>
      </c>
      <c r="D83" s="352">
        <v>1</v>
      </c>
      <c r="E83" s="352">
        <v>5</v>
      </c>
      <c r="F83" s="249">
        <f>SUM(F68:F82)</f>
        <v>5808</v>
      </c>
      <c r="G83" s="246">
        <f>SUM(G68:G82)</f>
        <v>600</v>
      </c>
      <c r="H83" s="246">
        <f>SUM(H68:H82)</f>
        <v>69520</v>
      </c>
      <c r="I83" s="246">
        <f>SUM(I68:I82)</f>
        <v>5808</v>
      </c>
      <c r="J83" s="252"/>
      <c r="K83" s="252"/>
      <c r="L83" s="252"/>
      <c r="M83" s="252"/>
      <c r="N83" s="252"/>
      <c r="O83" s="252"/>
      <c r="P83" s="252"/>
      <c r="Q83" s="253"/>
    </row>
    <row r="84" spans="1:17" s="3" customFormat="1" ht="25" customHeight="1" x14ac:dyDescent="0.25">
      <c r="A84" s="354" t="s">
        <v>286</v>
      </c>
      <c r="B84" s="353" t="s">
        <v>281</v>
      </c>
      <c r="C84" s="352">
        <v>5</v>
      </c>
      <c r="D84" s="352">
        <v>1</v>
      </c>
      <c r="E84" s="352">
        <v>5</v>
      </c>
      <c r="F84" s="249">
        <v>0</v>
      </c>
      <c r="G84" s="249">
        <v>0</v>
      </c>
      <c r="H84" s="249">
        <v>0</v>
      </c>
      <c r="I84" s="249">
        <v>0</v>
      </c>
      <c r="J84" s="252"/>
      <c r="K84" s="252"/>
      <c r="L84" s="252"/>
      <c r="M84" s="252"/>
      <c r="N84" s="252"/>
      <c r="O84" s="252"/>
      <c r="P84" s="252"/>
      <c r="Q84" s="253"/>
    </row>
    <row r="85" spans="1:17" s="3" customFormat="1" ht="25" customHeight="1" x14ac:dyDescent="0.25">
      <c r="A85" s="354" t="s">
        <v>289</v>
      </c>
      <c r="B85" s="350" t="s">
        <v>287</v>
      </c>
      <c r="C85" s="352">
        <v>3</v>
      </c>
      <c r="D85" s="352">
        <v>1</v>
      </c>
      <c r="E85" s="352">
        <v>3</v>
      </c>
      <c r="F85" s="316">
        <f>F48+F63+F83</f>
        <v>12741.8</v>
      </c>
      <c r="G85" s="260">
        <f>G48+G63+G83</f>
        <v>2437</v>
      </c>
      <c r="H85" s="260">
        <f>H48+H63+H83</f>
        <v>85906.8</v>
      </c>
      <c r="I85" s="260">
        <f>I48+I63+I83</f>
        <v>12741.8</v>
      </c>
      <c r="J85" s="261">
        <v>0</v>
      </c>
      <c r="K85" s="261">
        <v>0</v>
      </c>
      <c r="L85" s="262">
        <f>'Bieu3 GDTH'!F24</f>
        <v>2632</v>
      </c>
      <c r="M85" s="263">
        <f>'Bieu3 GDTH'!N24</f>
        <v>2402.5</v>
      </c>
      <c r="N85" s="263">
        <f>I85-M85</f>
        <v>10339.299999999999</v>
      </c>
      <c r="O85" s="264">
        <f>'Bieu3 GDTH'!O24</f>
        <v>1422.25</v>
      </c>
      <c r="P85" s="264">
        <f>'Bieu3 GDTH'!P24</f>
        <v>780</v>
      </c>
      <c r="Q85" s="265"/>
    </row>
    <row r="86" spans="1:17" s="3" customFormat="1" ht="25" customHeight="1" x14ac:dyDescent="0.25">
      <c r="A86" s="354" t="s">
        <v>290</v>
      </c>
      <c r="B86" s="350" t="s">
        <v>265</v>
      </c>
      <c r="C86" s="352">
        <v>3</v>
      </c>
      <c r="D86" s="352">
        <v>1</v>
      </c>
      <c r="E86" s="352">
        <v>3</v>
      </c>
      <c r="F86" s="366"/>
      <c r="G86" s="365"/>
      <c r="H86" s="365"/>
      <c r="I86" s="365"/>
      <c r="J86" s="367"/>
      <c r="K86" s="367"/>
      <c r="L86" s="368"/>
      <c r="M86" s="369"/>
      <c r="N86" s="369"/>
      <c r="O86" s="370"/>
      <c r="P86" s="370"/>
      <c r="Q86" s="371"/>
    </row>
    <row r="87" spans="1:17" s="3" customFormat="1" ht="25" customHeight="1" x14ac:dyDescent="0.25">
      <c r="A87" s="354" t="s">
        <v>291</v>
      </c>
      <c r="B87" s="350" t="s">
        <v>288</v>
      </c>
      <c r="C87" s="352">
        <v>5</v>
      </c>
      <c r="D87" s="352">
        <v>1</v>
      </c>
      <c r="E87" s="352">
        <v>3</v>
      </c>
      <c r="F87" s="366"/>
      <c r="G87" s="365"/>
      <c r="H87" s="365"/>
      <c r="I87" s="365"/>
      <c r="J87" s="367"/>
      <c r="K87" s="367"/>
      <c r="L87" s="368"/>
      <c r="M87" s="369"/>
      <c r="N87" s="369"/>
      <c r="O87" s="370"/>
      <c r="P87" s="370"/>
      <c r="Q87" s="371"/>
    </row>
    <row r="88" spans="1:17" s="3" customFormat="1" ht="25" customHeight="1" x14ac:dyDescent="0.25">
      <c r="A88" s="354" t="s">
        <v>292</v>
      </c>
      <c r="B88" s="350" t="s">
        <v>263</v>
      </c>
      <c r="C88" s="352">
        <v>3</v>
      </c>
      <c r="D88" s="352">
        <v>1</v>
      </c>
      <c r="E88" s="352">
        <v>3</v>
      </c>
      <c r="F88" s="366"/>
      <c r="G88" s="365"/>
      <c r="H88" s="365"/>
      <c r="I88" s="365"/>
      <c r="J88" s="367"/>
      <c r="K88" s="367"/>
      <c r="L88" s="368"/>
      <c r="M88" s="369"/>
      <c r="N88" s="369"/>
      <c r="O88" s="370"/>
      <c r="P88" s="370"/>
      <c r="Q88" s="371"/>
    </row>
    <row r="89" spans="1:17" s="3" customFormat="1" ht="25" customHeight="1" x14ac:dyDescent="0.25">
      <c r="A89" s="386"/>
      <c r="B89" s="361" t="s">
        <v>353</v>
      </c>
      <c r="C89" s="364">
        <f>SUM(C74:C88)</f>
        <v>51</v>
      </c>
      <c r="D89" s="364">
        <f>SUM(D74:D88)</f>
        <v>15</v>
      </c>
      <c r="E89" s="364">
        <f>SUM(E74:E88)</f>
        <v>53</v>
      </c>
      <c r="F89" s="366"/>
      <c r="G89" s="365"/>
      <c r="H89" s="365"/>
      <c r="I89" s="365"/>
      <c r="J89" s="367"/>
      <c r="K89" s="367"/>
      <c r="L89" s="368"/>
      <c r="M89" s="369"/>
      <c r="N89" s="369"/>
      <c r="O89" s="370"/>
      <c r="P89" s="370"/>
      <c r="Q89" s="371"/>
    </row>
    <row r="90" spans="1:17" s="3" customFormat="1" ht="25" customHeight="1" x14ac:dyDescent="0.25">
      <c r="A90" s="385">
        <v>2</v>
      </c>
      <c r="B90" s="385" t="s">
        <v>85</v>
      </c>
      <c r="C90" s="352">
        <v>0</v>
      </c>
      <c r="D90" s="352">
        <v>0</v>
      </c>
      <c r="E90" s="352">
        <v>0</v>
      </c>
      <c r="F90" s="366"/>
      <c r="G90" s="365"/>
      <c r="H90" s="365"/>
      <c r="I90" s="365"/>
      <c r="J90" s="367"/>
      <c r="K90" s="367"/>
      <c r="L90" s="368"/>
      <c r="M90" s="369"/>
      <c r="N90" s="369"/>
      <c r="O90" s="370"/>
      <c r="P90" s="370"/>
      <c r="Q90" s="371"/>
    </row>
    <row r="91" spans="1:17" s="3" customFormat="1" ht="25" customHeight="1" x14ac:dyDescent="0.25">
      <c r="A91" s="387"/>
      <c r="B91" s="387" t="s">
        <v>374</v>
      </c>
      <c r="C91" s="388">
        <f>C54+C69+C89</f>
        <v>191</v>
      </c>
      <c r="D91" s="388">
        <f>D54+D69+D89</f>
        <v>65.66</v>
      </c>
      <c r="E91" s="388">
        <f>E54+E69+E89</f>
        <v>206</v>
      </c>
      <c r="F91" s="366"/>
      <c r="G91" s="365"/>
      <c r="H91" s="365"/>
      <c r="I91" s="365"/>
      <c r="J91" s="367"/>
      <c r="K91" s="367"/>
      <c r="L91" s="368"/>
      <c r="M91" s="369"/>
      <c r="N91" s="369"/>
      <c r="O91" s="370"/>
      <c r="P91" s="370"/>
      <c r="Q91" s="371"/>
    </row>
    <row r="92" spans="1:17" s="3" customFormat="1" ht="25" customHeight="1" x14ac:dyDescent="0.25">
      <c r="A92" s="242" t="s">
        <v>19</v>
      </c>
      <c r="B92" s="242" t="s">
        <v>375</v>
      </c>
      <c r="C92" s="249"/>
      <c r="D92" s="249"/>
      <c r="E92" s="249"/>
      <c r="F92" s="249"/>
      <c r="G92" s="249"/>
      <c r="H92" s="249"/>
      <c r="I92" s="252"/>
      <c r="J92" s="252"/>
      <c r="K92" s="252"/>
      <c r="L92" s="252"/>
      <c r="M92" s="252"/>
      <c r="N92" s="252"/>
      <c r="O92" s="252"/>
      <c r="P92" s="252"/>
      <c r="Q92" s="253"/>
    </row>
    <row r="93" spans="1:17" s="3" customFormat="1" ht="25" customHeight="1" x14ac:dyDescent="0.25">
      <c r="A93" s="266" t="s">
        <v>377</v>
      </c>
      <c r="B93" s="266" t="s">
        <v>378</v>
      </c>
      <c r="C93" s="249"/>
      <c r="D93" s="249"/>
      <c r="E93" s="249"/>
      <c r="F93" s="249"/>
      <c r="G93" s="249"/>
      <c r="H93" s="249"/>
      <c r="I93" s="252"/>
      <c r="J93" s="252"/>
      <c r="K93" s="252"/>
      <c r="L93" s="252"/>
      <c r="M93" s="252"/>
      <c r="N93" s="252"/>
      <c r="O93" s="252"/>
      <c r="P93" s="252"/>
      <c r="Q93" s="253"/>
    </row>
    <row r="94" spans="1:17" s="3" customFormat="1" ht="25" customHeight="1" x14ac:dyDescent="0.25">
      <c r="A94" s="266">
        <v>1</v>
      </c>
      <c r="B94" s="266" t="s">
        <v>379</v>
      </c>
      <c r="C94" s="249"/>
      <c r="D94" s="249"/>
      <c r="E94" s="249"/>
      <c r="F94" s="249"/>
      <c r="G94" s="249"/>
      <c r="H94" s="249"/>
      <c r="I94" s="252"/>
      <c r="J94" s="252"/>
      <c r="K94" s="252"/>
      <c r="L94" s="252"/>
      <c r="M94" s="252"/>
      <c r="N94" s="252"/>
      <c r="O94" s="252"/>
      <c r="P94" s="252"/>
      <c r="Q94" s="253"/>
    </row>
    <row r="95" spans="1:17" s="3" customFormat="1" ht="25" customHeight="1" x14ac:dyDescent="0.25">
      <c r="A95" s="267" t="s">
        <v>147</v>
      </c>
      <c r="B95" s="268" t="s">
        <v>161</v>
      </c>
      <c r="C95" s="249"/>
      <c r="D95" s="249"/>
      <c r="E95" s="249"/>
      <c r="F95" s="249"/>
      <c r="G95" s="249"/>
      <c r="H95" s="249"/>
      <c r="I95" s="252"/>
      <c r="J95" s="252"/>
      <c r="K95" s="252"/>
      <c r="L95" s="252"/>
      <c r="M95" s="252"/>
      <c r="N95" s="252"/>
      <c r="O95" s="252"/>
      <c r="P95" s="252"/>
      <c r="Q95" s="253"/>
    </row>
    <row r="96" spans="1:17" s="3" customFormat="1" ht="25" customHeight="1" x14ac:dyDescent="0.25">
      <c r="A96" s="349" t="s">
        <v>226</v>
      </c>
      <c r="B96" s="350" t="s">
        <v>597</v>
      </c>
      <c r="C96" s="351">
        <v>3</v>
      </c>
      <c r="D96" s="351">
        <v>1</v>
      </c>
      <c r="E96" s="351">
        <v>3</v>
      </c>
      <c r="F96" s="254">
        <f t="shared" ref="F96:F119" si="9">I96+J96+K96</f>
        <v>148.5</v>
      </c>
      <c r="G96" s="269">
        <v>60</v>
      </c>
      <c r="H96" s="249">
        <f t="shared" ref="H96:H118" si="10">C96*D96*E96*G96</f>
        <v>540</v>
      </c>
      <c r="I96" s="251">
        <f t="shared" ref="I96:I110" si="11">IF(G96&lt;70, C96*E96*16.5*1, C96*E96*16.5*1.3)</f>
        <v>148.5</v>
      </c>
      <c r="J96" s="270"/>
      <c r="K96" s="270"/>
      <c r="L96" s="252"/>
      <c r="M96" s="252"/>
      <c r="N96" s="252"/>
      <c r="O96" s="252"/>
      <c r="P96" s="252"/>
      <c r="Q96" s="253"/>
    </row>
    <row r="97" spans="1:17" s="3" customFormat="1" ht="25" customHeight="1" x14ac:dyDescent="0.25">
      <c r="A97" s="349" t="s">
        <v>227</v>
      </c>
      <c r="B97" s="350" t="s">
        <v>598</v>
      </c>
      <c r="C97" s="351">
        <v>4</v>
      </c>
      <c r="D97" s="351">
        <v>1.3</v>
      </c>
      <c r="E97" s="351">
        <v>3</v>
      </c>
      <c r="F97" s="254">
        <f t="shared" si="9"/>
        <v>257.40000000000003</v>
      </c>
      <c r="G97" s="269">
        <v>70</v>
      </c>
      <c r="H97" s="249">
        <f t="shared" si="10"/>
        <v>1092</v>
      </c>
      <c r="I97" s="251">
        <f t="shared" si="11"/>
        <v>257.40000000000003</v>
      </c>
      <c r="J97" s="270"/>
      <c r="K97" s="270"/>
      <c r="L97" s="252"/>
      <c r="M97" s="252"/>
      <c r="N97" s="252"/>
      <c r="O97" s="252"/>
      <c r="P97" s="252"/>
      <c r="Q97" s="253"/>
    </row>
    <row r="98" spans="1:17" s="3" customFormat="1" ht="25" customHeight="1" x14ac:dyDescent="0.25">
      <c r="A98" s="349" t="s">
        <v>228</v>
      </c>
      <c r="B98" s="350" t="s">
        <v>599</v>
      </c>
      <c r="C98" s="351">
        <v>1</v>
      </c>
      <c r="D98" s="351">
        <v>1.3</v>
      </c>
      <c r="E98" s="351">
        <v>8</v>
      </c>
      <c r="F98" s="254">
        <f t="shared" si="9"/>
        <v>132</v>
      </c>
      <c r="G98" s="269">
        <v>20</v>
      </c>
      <c r="H98" s="249">
        <f t="shared" si="10"/>
        <v>208</v>
      </c>
      <c r="I98" s="251">
        <f t="shared" si="11"/>
        <v>132</v>
      </c>
      <c r="J98" s="270"/>
      <c r="K98" s="270"/>
      <c r="L98" s="252"/>
      <c r="M98" s="252"/>
      <c r="N98" s="252"/>
      <c r="O98" s="252"/>
      <c r="P98" s="252"/>
      <c r="Q98" s="253"/>
    </row>
    <row r="99" spans="1:17" s="3" customFormat="1" ht="25" customHeight="1" x14ac:dyDescent="0.25">
      <c r="A99" s="349" t="s">
        <v>228</v>
      </c>
      <c r="B99" s="350" t="s">
        <v>600</v>
      </c>
      <c r="C99" s="351">
        <v>1</v>
      </c>
      <c r="D99" s="351">
        <v>1.3</v>
      </c>
      <c r="E99" s="351">
        <v>8</v>
      </c>
      <c r="F99" s="254">
        <f t="shared" si="9"/>
        <v>132</v>
      </c>
      <c r="G99" s="269">
        <v>20</v>
      </c>
      <c r="H99" s="249">
        <f t="shared" si="10"/>
        <v>208</v>
      </c>
      <c r="I99" s="251">
        <f t="shared" si="11"/>
        <v>132</v>
      </c>
      <c r="J99" s="270"/>
      <c r="K99" s="270"/>
      <c r="L99" s="252"/>
      <c r="M99" s="252"/>
      <c r="N99" s="252"/>
      <c r="O99" s="252"/>
      <c r="P99" s="252"/>
      <c r="Q99" s="253"/>
    </row>
    <row r="100" spans="1:17" s="3" customFormat="1" ht="25" customHeight="1" x14ac:dyDescent="0.25">
      <c r="A100" s="349" t="s">
        <v>229</v>
      </c>
      <c r="B100" s="350" t="s">
        <v>601</v>
      </c>
      <c r="C100" s="351">
        <v>1</v>
      </c>
      <c r="D100" s="351">
        <v>1.3</v>
      </c>
      <c r="E100" s="351">
        <v>7</v>
      </c>
      <c r="F100" s="254">
        <f t="shared" si="9"/>
        <v>115.5</v>
      </c>
      <c r="G100" s="269">
        <v>60</v>
      </c>
      <c r="H100" s="249">
        <f t="shared" si="10"/>
        <v>546</v>
      </c>
      <c r="I100" s="251">
        <f t="shared" si="11"/>
        <v>115.5</v>
      </c>
      <c r="J100" s="270"/>
      <c r="K100" s="270"/>
      <c r="L100" s="252"/>
      <c r="M100" s="252"/>
      <c r="N100" s="252"/>
      <c r="O100" s="252"/>
      <c r="P100" s="252"/>
      <c r="Q100" s="253"/>
    </row>
    <row r="101" spans="1:17" s="3" customFormat="1" ht="25" customHeight="1" x14ac:dyDescent="0.25">
      <c r="A101" s="349" t="s">
        <v>230</v>
      </c>
      <c r="B101" s="350" t="s">
        <v>385</v>
      </c>
      <c r="C101" s="351">
        <v>4</v>
      </c>
      <c r="D101" s="351">
        <v>1</v>
      </c>
      <c r="E101" s="351">
        <v>3</v>
      </c>
      <c r="F101" s="254">
        <f t="shared" si="9"/>
        <v>198</v>
      </c>
      <c r="G101" s="269">
        <v>25</v>
      </c>
      <c r="H101" s="249">
        <f t="shared" si="10"/>
        <v>300</v>
      </c>
      <c r="I101" s="251">
        <f t="shared" si="11"/>
        <v>198</v>
      </c>
      <c r="J101" s="270"/>
      <c r="K101" s="270"/>
      <c r="L101" s="252"/>
      <c r="M101" s="252"/>
      <c r="N101" s="252"/>
      <c r="O101" s="252"/>
      <c r="P101" s="252"/>
      <c r="Q101" s="253"/>
    </row>
    <row r="102" spans="1:17" s="3" customFormat="1" ht="25" customHeight="1" x14ac:dyDescent="0.25">
      <c r="A102" s="349" t="s">
        <v>282</v>
      </c>
      <c r="B102" s="350" t="s">
        <v>602</v>
      </c>
      <c r="C102" s="351">
        <v>2</v>
      </c>
      <c r="D102" s="351">
        <v>1</v>
      </c>
      <c r="E102" s="351">
        <v>3</v>
      </c>
      <c r="F102" s="254">
        <f t="shared" si="9"/>
        <v>128.70000000000002</v>
      </c>
      <c r="G102" s="269">
        <v>70</v>
      </c>
      <c r="H102" s="249">
        <f t="shared" si="10"/>
        <v>420</v>
      </c>
      <c r="I102" s="251">
        <f t="shared" si="11"/>
        <v>128.70000000000002</v>
      </c>
      <c r="J102" s="270"/>
      <c r="K102" s="270"/>
      <c r="L102" s="252"/>
      <c r="M102" s="252"/>
      <c r="N102" s="252"/>
      <c r="O102" s="252"/>
      <c r="P102" s="252"/>
      <c r="Q102" s="253"/>
    </row>
    <row r="103" spans="1:17" s="3" customFormat="1" ht="25" customHeight="1" x14ac:dyDescent="0.25">
      <c r="A103" s="349" t="s">
        <v>283</v>
      </c>
      <c r="B103" s="350" t="s">
        <v>603</v>
      </c>
      <c r="C103" s="351">
        <v>3</v>
      </c>
      <c r="D103" s="351">
        <v>1</v>
      </c>
      <c r="E103" s="351">
        <v>2</v>
      </c>
      <c r="F103" s="254">
        <f t="shared" si="9"/>
        <v>99</v>
      </c>
      <c r="G103" s="269">
        <v>60</v>
      </c>
      <c r="H103" s="249">
        <f t="shared" si="10"/>
        <v>360</v>
      </c>
      <c r="I103" s="251">
        <f t="shared" si="11"/>
        <v>99</v>
      </c>
      <c r="J103" s="270"/>
      <c r="K103" s="270"/>
      <c r="L103" s="252"/>
      <c r="M103" s="252"/>
      <c r="N103" s="252"/>
      <c r="O103" s="252"/>
      <c r="P103" s="252"/>
      <c r="Q103" s="253"/>
    </row>
    <row r="104" spans="1:17" s="3" customFormat="1" ht="25" customHeight="1" x14ac:dyDescent="0.25">
      <c r="A104" s="349" t="s">
        <v>284</v>
      </c>
      <c r="B104" s="350" t="s">
        <v>604</v>
      </c>
      <c r="C104" s="351">
        <v>3</v>
      </c>
      <c r="D104" s="351">
        <v>1.1000000000000001</v>
      </c>
      <c r="E104" s="351">
        <v>3</v>
      </c>
      <c r="F104" s="254">
        <f t="shared" si="9"/>
        <v>193.05</v>
      </c>
      <c r="G104" s="269">
        <v>70</v>
      </c>
      <c r="H104" s="249">
        <f t="shared" si="10"/>
        <v>693</v>
      </c>
      <c r="I104" s="251">
        <f t="shared" si="11"/>
        <v>193.05</v>
      </c>
      <c r="J104" s="270"/>
      <c r="K104" s="270"/>
      <c r="L104" s="252"/>
      <c r="M104" s="252"/>
      <c r="N104" s="252"/>
      <c r="O104" s="252"/>
      <c r="P104" s="252"/>
      <c r="Q104" s="253"/>
    </row>
    <row r="105" spans="1:17" s="3" customFormat="1" ht="25" customHeight="1" x14ac:dyDescent="0.25">
      <c r="A105" s="349" t="s">
        <v>285</v>
      </c>
      <c r="B105" s="350" t="s">
        <v>605</v>
      </c>
      <c r="C105" s="352">
        <v>3</v>
      </c>
      <c r="D105" s="352">
        <v>1</v>
      </c>
      <c r="E105" s="352">
        <v>2</v>
      </c>
      <c r="F105" s="254">
        <f t="shared" si="9"/>
        <v>128.70000000000002</v>
      </c>
      <c r="G105" s="271">
        <v>70</v>
      </c>
      <c r="H105" s="249">
        <f t="shared" si="10"/>
        <v>420</v>
      </c>
      <c r="I105" s="251">
        <f t="shared" si="11"/>
        <v>128.70000000000002</v>
      </c>
      <c r="J105" s="270"/>
      <c r="K105" s="270"/>
      <c r="L105" s="252"/>
      <c r="M105" s="252"/>
      <c r="N105" s="252"/>
      <c r="O105" s="252"/>
      <c r="P105" s="252"/>
      <c r="Q105" s="253"/>
    </row>
    <row r="106" spans="1:17" s="3" customFormat="1" ht="25" customHeight="1" x14ac:dyDescent="0.25">
      <c r="A106" s="349" t="s">
        <v>286</v>
      </c>
      <c r="B106" s="350" t="s">
        <v>606</v>
      </c>
      <c r="C106" s="352">
        <v>4</v>
      </c>
      <c r="D106" s="352">
        <v>1</v>
      </c>
      <c r="E106" s="352">
        <v>3</v>
      </c>
      <c r="F106" s="254">
        <f t="shared" si="9"/>
        <v>257.40000000000003</v>
      </c>
      <c r="G106" s="271">
        <v>70</v>
      </c>
      <c r="H106" s="249">
        <f t="shared" si="10"/>
        <v>840</v>
      </c>
      <c r="I106" s="251">
        <f t="shared" si="11"/>
        <v>257.40000000000003</v>
      </c>
      <c r="J106" s="270"/>
      <c r="K106" s="270"/>
      <c r="L106" s="252"/>
      <c r="M106" s="252"/>
      <c r="N106" s="252"/>
      <c r="O106" s="252"/>
      <c r="P106" s="252"/>
      <c r="Q106" s="253"/>
    </row>
    <row r="107" spans="1:17" s="3" customFormat="1" ht="25" customHeight="1" x14ac:dyDescent="0.25">
      <c r="A107" s="349" t="s">
        <v>289</v>
      </c>
      <c r="B107" s="350" t="s">
        <v>607</v>
      </c>
      <c r="C107" s="352">
        <v>2</v>
      </c>
      <c r="D107" s="352">
        <v>1.3</v>
      </c>
      <c r="E107" s="352">
        <v>6</v>
      </c>
      <c r="F107" s="254">
        <f t="shared" si="9"/>
        <v>198</v>
      </c>
      <c r="G107" s="271">
        <v>25</v>
      </c>
      <c r="H107" s="249">
        <f t="shared" si="10"/>
        <v>390.00000000000006</v>
      </c>
      <c r="I107" s="251">
        <f t="shared" si="11"/>
        <v>198</v>
      </c>
      <c r="J107" s="270"/>
      <c r="K107" s="270"/>
      <c r="L107" s="252"/>
      <c r="M107" s="252"/>
      <c r="N107" s="252"/>
      <c r="O107" s="252"/>
      <c r="P107" s="252"/>
      <c r="Q107" s="253"/>
    </row>
    <row r="108" spans="1:17" s="3" customFormat="1" ht="25" customHeight="1" x14ac:dyDescent="0.25">
      <c r="A108" s="349" t="s">
        <v>290</v>
      </c>
      <c r="B108" s="350" t="s">
        <v>608</v>
      </c>
      <c r="C108" s="352">
        <v>3</v>
      </c>
      <c r="D108" s="352">
        <v>1</v>
      </c>
      <c r="E108" s="352">
        <v>2</v>
      </c>
      <c r="F108" s="254">
        <f t="shared" si="9"/>
        <v>128.70000000000002</v>
      </c>
      <c r="G108" s="271">
        <v>70</v>
      </c>
      <c r="H108" s="249">
        <f t="shared" si="10"/>
        <v>420</v>
      </c>
      <c r="I108" s="251">
        <f t="shared" si="11"/>
        <v>128.70000000000002</v>
      </c>
      <c r="J108" s="270"/>
      <c r="K108" s="270"/>
      <c r="L108" s="252"/>
      <c r="M108" s="252"/>
      <c r="N108" s="252"/>
      <c r="O108" s="252"/>
      <c r="P108" s="252"/>
      <c r="Q108" s="253"/>
    </row>
    <row r="109" spans="1:17" s="3" customFormat="1" ht="25" customHeight="1" x14ac:dyDescent="0.25">
      <c r="A109" s="349" t="s">
        <v>291</v>
      </c>
      <c r="B109" s="350" t="s">
        <v>499</v>
      </c>
      <c r="C109" s="352">
        <v>2</v>
      </c>
      <c r="D109" s="352">
        <v>1</v>
      </c>
      <c r="E109" s="352">
        <v>1</v>
      </c>
      <c r="F109" s="254">
        <f t="shared" si="9"/>
        <v>33</v>
      </c>
      <c r="G109" s="271">
        <v>40</v>
      </c>
      <c r="H109" s="249">
        <f t="shared" si="10"/>
        <v>80</v>
      </c>
      <c r="I109" s="251">
        <f t="shared" si="11"/>
        <v>33</v>
      </c>
      <c r="J109" s="270"/>
      <c r="K109" s="270"/>
      <c r="L109" s="252"/>
      <c r="M109" s="252"/>
      <c r="N109" s="252"/>
      <c r="O109" s="252"/>
      <c r="P109" s="252"/>
      <c r="Q109" s="253"/>
    </row>
    <row r="110" spans="1:17" s="3" customFormat="1" ht="25" customHeight="1" x14ac:dyDescent="0.25">
      <c r="A110" s="349" t="s">
        <v>292</v>
      </c>
      <c r="B110" s="353" t="s">
        <v>609</v>
      </c>
      <c r="C110" s="352">
        <v>4</v>
      </c>
      <c r="D110" s="352">
        <v>1</v>
      </c>
      <c r="E110" s="352">
        <v>3</v>
      </c>
      <c r="F110" s="254">
        <f t="shared" si="9"/>
        <v>257.40000000000003</v>
      </c>
      <c r="G110" s="271">
        <v>70</v>
      </c>
      <c r="H110" s="249">
        <f t="shared" si="10"/>
        <v>840</v>
      </c>
      <c r="I110" s="251">
        <f t="shared" si="11"/>
        <v>257.40000000000003</v>
      </c>
      <c r="J110" s="246">
        <v>0</v>
      </c>
      <c r="K110" s="246">
        <v>0</v>
      </c>
      <c r="L110" s="252"/>
      <c r="M110" s="252"/>
      <c r="N110" s="252"/>
      <c r="O110" s="252"/>
      <c r="P110" s="252"/>
      <c r="Q110" s="253"/>
    </row>
    <row r="111" spans="1:17" s="3" customFormat="1" ht="25" customHeight="1" x14ac:dyDescent="0.25">
      <c r="A111" s="349" t="s">
        <v>395</v>
      </c>
      <c r="B111" s="353" t="s">
        <v>610</v>
      </c>
      <c r="C111" s="352">
        <v>3</v>
      </c>
      <c r="D111" s="352">
        <v>1.2</v>
      </c>
      <c r="E111" s="352">
        <v>2</v>
      </c>
      <c r="F111" s="254">
        <f t="shared" si="9"/>
        <v>30</v>
      </c>
      <c r="G111" s="271">
        <v>25</v>
      </c>
      <c r="H111" s="249">
        <f t="shared" si="10"/>
        <v>179.99999999999997</v>
      </c>
      <c r="I111" s="251">
        <f>E111*15</f>
        <v>30</v>
      </c>
      <c r="J111" s="252"/>
      <c r="K111" s="252"/>
      <c r="L111" s="252"/>
      <c r="M111" s="252"/>
      <c r="N111" s="252"/>
      <c r="O111" s="252"/>
      <c r="P111" s="252"/>
      <c r="Q111" s="253"/>
    </row>
    <row r="112" spans="1:17" s="3" customFormat="1" ht="25" customHeight="1" x14ac:dyDescent="0.25">
      <c r="A112" s="349" t="s">
        <v>396</v>
      </c>
      <c r="B112" s="353" t="s">
        <v>611</v>
      </c>
      <c r="C112" s="352">
        <v>4</v>
      </c>
      <c r="D112" s="352">
        <v>1</v>
      </c>
      <c r="E112" s="352">
        <v>3</v>
      </c>
      <c r="F112" s="254">
        <f t="shared" si="9"/>
        <v>198</v>
      </c>
      <c r="G112" s="271">
        <v>25</v>
      </c>
      <c r="H112" s="249">
        <f t="shared" si="10"/>
        <v>300</v>
      </c>
      <c r="I112" s="250"/>
      <c r="J112" s="251">
        <f>IF(G112&lt;70, C112*E112*16.5*1, C112*E112*16.5*1.3)</f>
        <v>198</v>
      </c>
      <c r="K112" s="252"/>
      <c r="L112" s="252"/>
      <c r="M112" s="252"/>
      <c r="N112" s="252"/>
      <c r="O112" s="252"/>
      <c r="P112" s="252"/>
      <c r="Q112" s="253"/>
    </row>
    <row r="113" spans="1:17" s="3" customFormat="1" ht="25" customHeight="1" x14ac:dyDescent="0.25">
      <c r="A113" s="349" t="s">
        <v>397</v>
      </c>
      <c r="B113" s="353" t="s">
        <v>612</v>
      </c>
      <c r="C113" s="352">
        <v>4</v>
      </c>
      <c r="D113" s="352">
        <v>1</v>
      </c>
      <c r="E113" s="352">
        <v>3</v>
      </c>
      <c r="F113" s="254">
        <f t="shared" si="9"/>
        <v>257.40000000000003</v>
      </c>
      <c r="G113" s="271">
        <v>70</v>
      </c>
      <c r="H113" s="249">
        <f t="shared" si="10"/>
        <v>840</v>
      </c>
      <c r="I113" s="251">
        <f>IF(G113&lt;70, C113*E113*16.5*1, C113*E113*16.5*1.3)</f>
        <v>257.40000000000003</v>
      </c>
      <c r="J113" s="252"/>
      <c r="K113" s="252"/>
      <c r="L113" s="252"/>
      <c r="M113" s="252"/>
      <c r="N113" s="252"/>
      <c r="O113" s="252"/>
      <c r="P113" s="252"/>
      <c r="Q113" s="253"/>
    </row>
    <row r="114" spans="1:17" s="3" customFormat="1" ht="25" customHeight="1" x14ac:dyDescent="0.25">
      <c r="A114" s="349" t="s">
        <v>398</v>
      </c>
      <c r="B114" s="353" t="s">
        <v>376</v>
      </c>
      <c r="C114" s="352">
        <v>2</v>
      </c>
      <c r="D114" s="352">
        <v>1.3</v>
      </c>
      <c r="E114" s="352">
        <v>2</v>
      </c>
      <c r="F114" s="254">
        <f t="shared" si="9"/>
        <v>85.8</v>
      </c>
      <c r="G114" s="271">
        <v>70</v>
      </c>
      <c r="H114" s="249">
        <f t="shared" si="10"/>
        <v>364</v>
      </c>
      <c r="I114" s="251">
        <f t="shared" ref="I114:I119" si="12">IF(G114&lt;70, C114*E114*16.5*1, C114*E114*16.5*1.3)</f>
        <v>85.8</v>
      </c>
      <c r="J114" s="252"/>
      <c r="K114" s="252"/>
      <c r="L114" s="252"/>
      <c r="M114" s="252"/>
      <c r="N114" s="252"/>
      <c r="O114" s="252"/>
      <c r="P114" s="252"/>
      <c r="Q114" s="253"/>
    </row>
    <row r="115" spans="1:17" s="3" customFormat="1" ht="25" customHeight="1" x14ac:dyDescent="0.25">
      <c r="A115" s="349" t="s">
        <v>399</v>
      </c>
      <c r="B115" s="353" t="s">
        <v>613</v>
      </c>
      <c r="C115" s="352">
        <v>4</v>
      </c>
      <c r="D115" s="352">
        <v>1.3</v>
      </c>
      <c r="E115" s="352">
        <v>3</v>
      </c>
      <c r="F115" s="254">
        <f t="shared" si="9"/>
        <v>257.40000000000003</v>
      </c>
      <c r="G115" s="271">
        <v>70</v>
      </c>
      <c r="H115" s="249">
        <f t="shared" si="10"/>
        <v>1092</v>
      </c>
      <c r="I115" s="251">
        <f t="shared" si="12"/>
        <v>257.40000000000003</v>
      </c>
      <c r="J115" s="252"/>
      <c r="K115" s="252"/>
      <c r="L115" s="252"/>
      <c r="M115" s="252"/>
      <c r="N115" s="252"/>
      <c r="O115" s="252"/>
      <c r="P115" s="252"/>
      <c r="Q115" s="253"/>
    </row>
    <row r="116" spans="1:17" s="3" customFormat="1" ht="25" customHeight="1" x14ac:dyDescent="0.25">
      <c r="A116" s="349"/>
      <c r="B116" s="353" t="s">
        <v>614</v>
      </c>
      <c r="C116" s="352">
        <v>3</v>
      </c>
      <c r="D116" s="352">
        <v>1</v>
      </c>
      <c r="E116" s="352">
        <v>2</v>
      </c>
      <c r="F116" s="254">
        <f t="shared" si="9"/>
        <v>128.70000000000002</v>
      </c>
      <c r="G116" s="271">
        <v>70</v>
      </c>
      <c r="H116" s="249">
        <f t="shared" si="10"/>
        <v>420</v>
      </c>
      <c r="I116" s="251">
        <f t="shared" si="12"/>
        <v>128.70000000000002</v>
      </c>
      <c r="J116" s="270">
        <v>0</v>
      </c>
      <c r="K116" s="270">
        <v>0</v>
      </c>
      <c r="L116" s="252"/>
      <c r="M116" s="252"/>
      <c r="N116" s="252"/>
      <c r="O116" s="252"/>
      <c r="P116" s="252"/>
      <c r="Q116" s="253"/>
    </row>
    <row r="117" spans="1:17" s="3" customFormat="1" ht="25" customHeight="1" x14ac:dyDescent="0.25">
      <c r="A117" s="349" t="s">
        <v>400</v>
      </c>
      <c r="B117" s="353" t="s">
        <v>615</v>
      </c>
      <c r="C117" s="352">
        <v>2</v>
      </c>
      <c r="D117" s="352">
        <v>1.3</v>
      </c>
      <c r="E117" s="352">
        <v>2</v>
      </c>
      <c r="F117" s="254">
        <f t="shared" si="9"/>
        <v>85.8</v>
      </c>
      <c r="G117" s="271">
        <v>70</v>
      </c>
      <c r="H117" s="249">
        <f t="shared" si="10"/>
        <v>364</v>
      </c>
      <c r="I117" s="251">
        <f t="shared" si="12"/>
        <v>85.8</v>
      </c>
      <c r="J117" s="270">
        <v>0</v>
      </c>
      <c r="K117" s="270">
        <v>0</v>
      </c>
      <c r="L117" s="252"/>
      <c r="M117" s="252"/>
      <c r="N117" s="252"/>
      <c r="O117" s="252"/>
      <c r="P117" s="252"/>
      <c r="Q117" s="253"/>
    </row>
    <row r="118" spans="1:17" s="3" customFormat="1" ht="25" customHeight="1" x14ac:dyDescent="0.25">
      <c r="A118" s="349"/>
      <c r="B118" s="353" t="s">
        <v>616</v>
      </c>
      <c r="C118" s="352">
        <v>4</v>
      </c>
      <c r="D118" s="352">
        <v>1</v>
      </c>
      <c r="E118" s="352">
        <v>3</v>
      </c>
      <c r="F118" s="254">
        <f t="shared" si="9"/>
        <v>257.40000000000003</v>
      </c>
      <c r="G118" s="249">
        <v>70</v>
      </c>
      <c r="H118" s="249">
        <f t="shared" si="10"/>
        <v>840</v>
      </c>
      <c r="I118" s="251">
        <f t="shared" si="12"/>
        <v>257.40000000000003</v>
      </c>
      <c r="J118" s="270">
        <v>0</v>
      </c>
      <c r="K118" s="270">
        <v>0</v>
      </c>
      <c r="L118" s="252"/>
      <c r="M118" s="252"/>
      <c r="N118" s="252"/>
      <c r="O118" s="252"/>
      <c r="P118" s="252"/>
      <c r="Q118" s="253"/>
    </row>
    <row r="119" spans="1:17" s="3" customFormat="1" ht="25" customHeight="1" x14ac:dyDescent="0.25">
      <c r="A119" s="349" t="s">
        <v>401</v>
      </c>
      <c r="B119" s="353" t="s">
        <v>617</v>
      </c>
      <c r="C119" s="352">
        <v>4</v>
      </c>
      <c r="D119" s="352">
        <v>1.1200000000000001</v>
      </c>
      <c r="E119" s="352">
        <v>3</v>
      </c>
      <c r="F119" s="254">
        <f t="shared" si="9"/>
        <v>198</v>
      </c>
      <c r="G119" s="271">
        <v>24</v>
      </c>
      <c r="H119" s="249">
        <f>C119*D119*E119*G119</f>
        <v>322.56000000000006</v>
      </c>
      <c r="I119" s="251">
        <f t="shared" si="12"/>
        <v>198</v>
      </c>
      <c r="J119" s="270"/>
      <c r="K119" s="270"/>
      <c r="L119" s="252"/>
      <c r="M119" s="252"/>
      <c r="N119" s="252"/>
      <c r="O119" s="252"/>
      <c r="P119" s="252"/>
      <c r="Q119" s="253"/>
    </row>
    <row r="120" spans="1:17" s="3" customFormat="1" ht="25" customHeight="1" x14ac:dyDescent="0.25">
      <c r="A120" s="349"/>
      <c r="B120" s="353"/>
      <c r="C120" s="352">
        <f>SUM(C96:C119)</f>
        <v>70</v>
      </c>
      <c r="D120" s="352">
        <f>SUM(D96:D119)</f>
        <v>26.820000000000004</v>
      </c>
      <c r="E120" s="352">
        <f>SUM(E96:E119)</f>
        <v>80</v>
      </c>
      <c r="F120" s="259"/>
      <c r="G120" s="259"/>
      <c r="H120" s="259"/>
      <c r="I120" s="246"/>
      <c r="J120" s="246"/>
      <c r="K120" s="246"/>
      <c r="L120" s="252"/>
      <c r="M120" s="252"/>
      <c r="N120" s="252"/>
      <c r="O120" s="252"/>
      <c r="P120" s="252"/>
      <c r="Q120" s="253"/>
    </row>
    <row r="121" spans="1:17" s="3" customFormat="1" ht="25" customHeight="1" x14ac:dyDescent="0.25">
      <c r="A121" s="359" t="s">
        <v>148</v>
      </c>
      <c r="B121" s="360" t="s">
        <v>151</v>
      </c>
      <c r="C121" s="352"/>
      <c r="D121" s="352"/>
      <c r="E121" s="352"/>
      <c r="F121" s="259"/>
      <c r="G121" s="259"/>
      <c r="H121" s="259"/>
      <c r="I121" s="246"/>
      <c r="J121" s="246"/>
      <c r="K121" s="246"/>
      <c r="L121" s="252"/>
      <c r="M121" s="252"/>
      <c r="N121" s="252"/>
      <c r="O121" s="252"/>
      <c r="P121" s="252"/>
      <c r="Q121" s="253"/>
    </row>
    <row r="122" spans="1:17" s="3" customFormat="1" ht="25" customHeight="1" x14ac:dyDescent="0.25">
      <c r="A122" s="354" t="s">
        <v>232</v>
      </c>
      <c r="B122" s="349" t="s">
        <v>154</v>
      </c>
      <c r="C122" s="352"/>
      <c r="D122" s="352"/>
      <c r="E122" s="352"/>
      <c r="F122" s="259"/>
      <c r="G122" s="259"/>
      <c r="H122" s="259"/>
      <c r="I122" s="246"/>
      <c r="J122" s="246"/>
      <c r="K122" s="246"/>
      <c r="L122" s="252"/>
      <c r="M122" s="252"/>
      <c r="N122" s="252"/>
      <c r="O122" s="252"/>
      <c r="P122" s="252"/>
      <c r="Q122" s="253"/>
    </row>
    <row r="123" spans="1:17" s="3" customFormat="1" ht="25" customHeight="1" x14ac:dyDescent="0.25">
      <c r="A123" s="354" t="s">
        <v>233</v>
      </c>
      <c r="B123" s="349" t="s">
        <v>153</v>
      </c>
      <c r="C123" s="352"/>
      <c r="D123" s="352"/>
      <c r="E123" s="352"/>
      <c r="F123" s="259"/>
      <c r="G123" s="259"/>
      <c r="H123" s="259"/>
      <c r="I123" s="246"/>
      <c r="J123" s="246"/>
      <c r="K123" s="246"/>
      <c r="L123" s="252"/>
      <c r="M123" s="252"/>
      <c r="N123" s="252"/>
      <c r="O123" s="252"/>
      <c r="P123" s="252"/>
      <c r="Q123" s="253"/>
    </row>
    <row r="124" spans="1:17" s="3" customFormat="1" ht="25" customHeight="1" x14ac:dyDescent="0.25">
      <c r="A124" s="354" t="s">
        <v>234</v>
      </c>
      <c r="B124" s="349" t="s">
        <v>155</v>
      </c>
      <c r="C124" s="352"/>
      <c r="D124" s="352"/>
      <c r="E124" s="352"/>
      <c r="F124" s="324">
        <f>I124</f>
        <v>0</v>
      </c>
      <c r="G124" s="259">
        <v>25</v>
      </c>
      <c r="H124" s="249">
        <f>C124*D124*E124*G124</f>
        <v>0</v>
      </c>
      <c r="I124" s="254">
        <f>2*G124*E124</f>
        <v>0</v>
      </c>
      <c r="J124" s="246"/>
      <c r="K124" s="246"/>
      <c r="L124" s="252"/>
      <c r="M124" s="252"/>
      <c r="N124" s="252"/>
      <c r="O124" s="252"/>
      <c r="P124" s="252"/>
      <c r="Q124" s="253"/>
    </row>
    <row r="125" spans="1:17" s="3" customFormat="1" ht="25" customHeight="1" x14ac:dyDescent="0.25">
      <c r="A125" s="354" t="s">
        <v>235</v>
      </c>
      <c r="B125" s="349" t="s">
        <v>156</v>
      </c>
      <c r="C125" s="352">
        <v>4</v>
      </c>
      <c r="D125" s="352">
        <v>1.4</v>
      </c>
      <c r="E125" s="352">
        <v>6</v>
      </c>
      <c r="F125" s="259"/>
      <c r="G125" s="259"/>
      <c r="H125" s="259"/>
      <c r="I125" s="246"/>
      <c r="J125" s="246"/>
      <c r="K125" s="246"/>
      <c r="L125" s="252"/>
      <c r="M125" s="252"/>
      <c r="N125" s="252"/>
      <c r="O125" s="252"/>
      <c r="P125" s="252"/>
      <c r="Q125" s="253"/>
    </row>
    <row r="126" spans="1:17" s="3" customFormat="1" ht="25" customHeight="1" x14ac:dyDescent="0.25">
      <c r="A126" s="354" t="s">
        <v>236</v>
      </c>
      <c r="B126" s="349" t="s">
        <v>157</v>
      </c>
      <c r="C126" s="352"/>
      <c r="D126" s="352"/>
      <c r="E126" s="352"/>
      <c r="F126" s="249">
        <f t="shared" ref="F126:K126" si="13">SUM(F96:F125)</f>
        <v>3905.8500000000008</v>
      </c>
      <c r="G126" s="246">
        <f t="shared" si="13"/>
        <v>1319</v>
      </c>
      <c r="H126" s="246">
        <f t="shared" si="13"/>
        <v>12079.56</v>
      </c>
      <c r="I126" s="246">
        <f t="shared" si="13"/>
        <v>3707.8500000000008</v>
      </c>
      <c r="J126" s="246">
        <f t="shared" si="13"/>
        <v>198</v>
      </c>
      <c r="K126" s="246">
        <f t="shared" si="13"/>
        <v>0</v>
      </c>
      <c r="L126" s="252"/>
      <c r="M126" s="252"/>
      <c r="N126" s="252"/>
      <c r="O126" s="252"/>
      <c r="P126" s="252"/>
      <c r="Q126" s="253"/>
    </row>
    <row r="127" spans="1:17" s="3" customFormat="1" ht="25" customHeight="1" x14ac:dyDescent="0.25">
      <c r="A127" s="354"/>
      <c r="B127" s="362" t="s">
        <v>380</v>
      </c>
      <c r="C127" s="352">
        <v>4</v>
      </c>
      <c r="D127" s="352">
        <v>1.4</v>
      </c>
      <c r="E127" s="352">
        <v>6</v>
      </c>
      <c r="F127" s="249"/>
      <c r="G127" s="246"/>
      <c r="H127" s="246"/>
      <c r="I127" s="246"/>
      <c r="J127" s="246"/>
      <c r="K127" s="246"/>
      <c r="L127" s="252"/>
      <c r="M127" s="252"/>
      <c r="N127" s="252"/>
      <c r="O127" s="252"/>
      <c r="P127" s="252"/>
      <c r="Q127" s="253"/>
    </row>
    <row r="128" spans="1:17" s="3" customFormat="1" ht="25" customHeight="1" x14ac:dyDescent="0.25">
      <c r="A128" s="355">
        <v>2</v>
      </c>
      <c r="B128" s="355" t="s">
        <v>501</v>
      </c>
      <c r="C128" s="352"/>
      <c r="D128" s="352"/>
      <c r="E128" s="352"/>
      <c r="F128" s="269"/>
      <c r="G128" s="271">
        <v>70</v>
      </c>
      <c r="H128" s="249"/>
      <c r="I128" s="249"/>
      <c r="J128" s="270">
        <v>5</v>
      </c>
      <c r="K128" s="250"/>
      <c r="L128" s="252"/>
      <c r="M128" s="252"/>
      <c r="N128" s="252"/>
      <c r="O128" s="252"/>
      <c r="P128" s="252"/>
      <c r="Q128" s="1447" t="s">
        <v>528</v>
      </c>
    </row>
    <row r="129" spans="1:17" s="3" customFormat="1" ht="25" customHeight="1" x14ac:dyDescent="0.25">
      <c r="A129" s="356" t="s">
        <v>147</v>
      </c>
      <c r="B129" s="357" t="s">
        <v>165</v>
      </c>
      <c r="C129" s="352"/>
      <c r="D129" s="352"/>
      <c r="E129" s="352"/>
      <c r="F129" s="269"/>
      <c r="G129" s="271">
        <v>70</v>
      </c>
      <c r="H129" s="249"/>
      <c r="I129" s="249"/>
      <c r="J129" s="270">
        <v>5</v>
      </c>
      <c r="K129" s="250"/>
      <c r="L129" s="252"/>
      <c r="M129" s="252"/>
      <c r="N129" s="252"/>
      <c r="O129" s="252"/>
      <c r="P129" s="252"/>
      <c r="Q129" s="1447"/>
    </row>
    <row r="130" spans="1:17" s="3" customFormat="1" ht="25" customHeight="1" x14ac:dyDescent="0.25">
      <c r="A130" s="349" t="s">
        <v>226</v>
      </c>
      <c r="B130" s="358" t="s">
        <v>618</v>
      </c>
      <c r="C130" s="352">
        <v>3</v>
      </c>
      <c r="D130" s="352">
        <v>1</v>
      </c>
      <c r="E130" s="352">
        <v>1</v>
      </c>
      <c r="F130" s="254"/>
      <c r="G130" s="271">
        <v>70</v>
      </c>
      <c r="H130" s="250"/>
      <c r="I130" s="250"/>
      <c r="J130" s="270">
        <v>5</v>
      </c>
      <c r="K130" s="250"/>
      <c r="L130" s="250"/>
      <c r="M130" s="252"/>
      <c r="N130" s="252"/>
      <c r="O130" s="252"/>
      <c r="P130" s="252"/>
      <c r="Q130" s="1447"/>
    </row>
    <row r="131" spans="1:17" s="3" customFormat="1" ht="25" customHeight="1" x14ac:dyDescent="0.25">
      <c r="A131" s="349" t="s">
        <v>227</v>
      </c>
      <c r="B131" s="358" t="s">
        <v>619</v>
      </c>
      <c r="C131" s="352">
        <v>3</v>
      </c>
      <c r="D131" s="352">
        <v>1</v>
      </c>
      <c r="E131" s="352">
        <v>1</v>
      </c>
      <c r="F131" s="254"/>
      <c r="G131" s="271">
        <v>70</v>
      </c>
      <c r="H131" s="250"/>
      <c r="I131" s="250"/>
      <c r="J131" s="270">
        <v>5</v>
      </c>
      <c r="K131" s="250"/>
      <c r="L131" s="250"/>
      <c r="M131" s="252"/>
      <c r="N131" s="252"/>
      <c r="O131" s="252"/>
      <c r="P131" s="252"/>
      <c r="Q131" s="1447"/>
    </row>
    <row r="132" spans="1:17" s="3" customFormat="1" ht="25" customHeight="1" x14ac:dyDescent="0.25">
      <c r="A132" s="349" t="s">
        <v>228</v>
      </c>
      <c r="B132" s="358" t="s">
        <v>620</v>
      </c>
      <c r="C132" s="352">
        <v>3</v>
      </c>
      <c r="D132" s="352">
        <v>1</v>
      </c>
      <c r="E132" s="352">
        <v>1</v>
      </c>
      <c r="F132" s="254"/>
      <c r="G132" s="271">
        <v>70</v>
      </c>
      <c r="H132" s="250"/>
      <c r="I132" s="250"/>
      <c r="J132" s="270">
        <v>5</v>
      </c>
      <c r="K132" s="250"/>
      <c r="L132" s="250"/>
      <c r="M132" s="252"/>
      <c r="N132" s="252"/>
      <c r="O132" s="252"/>
      <c r="P132" s="252"/>
      <c r="Q132" s="1447"/>
    </row>
    <row r="133" spans="1:17" s="3" customFormat="1" ht="25" customHeight="1" x14ac:dyDescent="0.25">
      <c r="A133" s="349" t="s">
        <v>229</v>
      </c>
      <c r="B133" s="358" t="s">
        <v>621</v>
      </c>
      <c r="C133" s="352">
        <v>3</v>
      </c>
      <c r="D133" s="352">
        <v>1</v>
      </c>
      <c r="E133" s="352">
        <v>1</v>
      </c>
      <c r="F133" s="254"/>
      <c r="G133" s="271">
        <v>70</v>
      </c>
      <c r="H133" s="250"/>
      <c r="I133" s="250"/>
      <c r="J133" s="270">
        <v>5</v>
      </c>
      <c r="K133" s="250"/>
      <c r="L133" s="250"/>
      <c r="M133" s="252"/>
      <c r="N133" s="252"/>
      <c r="O133" s="252"/>
      <c r="P133" s="252"/>
      <c r="Q133" s="1447"/>
    </row>
    <row r="134" spans="1:17" s="3" customFormat="1" ht="25" customHeight="1" x14ac:dyDescent="0.25">
      <c r="A134" s="349" t="s">
        <v>230</v>
      </c>
      <c r="B134" s="349" t="s">
        <v>500</v>
      </c>
      <c r="C134" s="352">
        <v>3</v>
      </c>
      <c r="D134" s="352">
        <v>1</v>
      </c>
      <c r="E134" s="352">
        <v>1</v>
      </c>
      <c r="F134" s="254"/>
      <c r="G134" s="271">
        <v>70</v>
      </c>
      <c r="H134" s="250"/>
      <c r="I134" s="250"/>
      <c r="J134" s="270">
        <v>5</v>
      </c>
      <c r="K134" s="250"/>
      <c r="L134" s="250"/>
      <c r="M134" s="252"/>
      <c r="N134" s="252"/>
      <c r="O134" s="252"/>
      <c r="P134" s="252"/>
      <c r="Q134" s="1447"/>
    </row>
    <row r="135" spans="1:17" s="3" customFormat="1" ht="25" customHeight="1" x14ac:dyDescent="0.25">
      <c r="A135" s="349" t="s">
        <v>231</v>
      </c>
      <c r="B135" s="353" t="s">
        <v>622</v>
      </c>
      <c r="C135" s="352">
        <v>3</v>
      </c>
      <c r="D135" s="352">
        <v>1</v>
      </c>
      <c r="E135" s="352">
        <v>1</v>
      </c>
      <c r="F135" s="259"/>
      <c r="G135" s="259"/>
      <c r="H135" s="259"/>
      <c r="I135" s="246"/>
      <c r="J135" s="246"/>
      <c r="K135" s="246"/>
      <c r="L135" s="252"/>
      <c r="M135" s="252"/>
      <c r="N135" s="252"/>
      <c r="O135" s="252"/>
      <c r="P135" s="252"/>
      <c r="Q135" s="253"/>
    </row>
    <row r="136" spans="1:17" s="3" customFormat="1" ht="25" customHeight="1" x14ac:dyDescent="0.25">
      <c r="A136" s="354" t="s">
        <v>282</v>
      </c>
      <c r="B136" s="353" t="s">
        <v>623</v>
      </c>
      <c r="C136" s="352">
        <v>3</v>
      </c>
      <c r="D136" s="352">
        <v>1</v>
      </c>
      <c r="E136" s="352">
        <v>1</v>
      </c>
      <c r="F136" s="259"/>
      <c r="G136" s="259"/>
      <c r="H136" s="259"/>
      <c r="I136" s="246"/>
      <c r="J136" s="246"/>
      <c r="K136" s="246"/>
      <c r="L136" s="252"/>
      <c r="M136" s="252"/>
      <c r="N136" s="252"/>
      <c r="O136" s="252"/>
      <c r="P136" s="252"/>
      <c r="Q136" s="253"/>
    </row>
    <row r="137" spans="1:17" s="3" customFormat="1" ht="25" customHeight="1" x14ac:dyDescent="0.25">
      <c r="A137" s="354"/>
      <c r="B137" s="353"/>
      <c r="C137" s="352">
        <f>SUM(C130:C136)</f>
        <v>21</v>
      </c>
      <c r="D137" s="352">
        <f>SUM(D130:D136)</f>
        <v>7</v>
      </c>
      <c r="E137" s="352">
        <f>SUM(E130:E136)</f>
        <v>7</v>
      </c>
      <c r="F137" s="254">
        <f t="shared" ref="F137:F145" si="14">I137+J137+K137</f>
        <v>3638.25</v>
      </c>
      <c r="G137" s="271">
        <v>13</v>
      </c>
      <c r="H137" s="249">
        <f>C137*D137*E137*G137</f>
        <v>13377</v>
      </c>
      <c r="I137" s="251">
        <f>IF(G137&lt;70, C137*E137*16.5*1.5, C137*E137*16.5*1.5)</f>
        <v>3638.25</v>
      </c>
      <c r="J137" s="246"/>
      <c r="K137" s="246"/>
      <c r="L137" s="252"/>
      <c r="M137" s="252"/>
      <c r="N137" s="252"/>
      <c r="O137" s="252"/>
      <c r="P137" s="252"/>
      <c r="Q137" s="253"/>
    </row>
    <row r="138" spans="1:17" s="3" customFormat="1" ht="25" customHeight="1" x14ac:dyDescent="0.25">
      <c r="A138" s="359" t="s">
        <v>148</v>
      </c>
      <c r="B138" s="360" t="s">
        <v>470</v>
      </c>
      <c r="C138" s="352"/>
      <c r="D138" s="352"/>
      <c r="E138" s="352"/>
      <c r="F138" s="254">
        <f t="shared" si="14"/>
        <v>0</v>
      </c>
      <c r="G138" s="271">
        <v>13</v>
      </c>
      <c r="H138" s="249">
        <f t="shared" ref="H138:H143" si="15">C138*D138*E138*G138</f>
        <v>0</v>
      </c>
      <c r="I138" s="251">
        <f t="shared" ref="I138:I143" si="16">IF(G138&lt;70, C138*E138*16.5*1.5, C138*E138*16.5*1.5)</f>
        <v>0</v>
      </c>
      <c r="J138" s="246"/>
      <c r="K138" s="246"/>
      <c r="L138" s="252"/>
      <c r="M138" s="252"/>
      <c r="N138" s="252"/>
      <c r="O138" s="252"/>
      <c r="P138" s="252"/>
      <c r="Q138" s="253"/>
    </row>
    <row r="139" spans="1:17" s="3" customFormat="1" ht="25" customHeight="1" x14ac:dyDescent="0.25">
      <c r="A139" s="359"/>
      <c r="B139" s="349" t="s">
        <v>624</v>
      </c>
      <c r="C139" s="352">
        <v>15</v>
      </c>
      <c r="D139" s="352">
        <v>1</v>
      </c>
      <c r="E139" s="352">
        <v>1</v>
      </c>
      <c r="F139" s="254">
        <f t="shared" si="14"/>
        <v>371.25</v>
      </c>
      <c r="G139" s="271">
        <v>13</v>
      </c>
      <c r="H139" s="249">
        <f t="shared" si="15"/>
        <v>195</v>
      </c>
      <c r="I139" s="251">
        <f t="shared" si="16"/>
        <v>371.25</v>
      </c>
      <c r="J139" s="246"/>
      <c r="K139" s="246"/>
      <c r="L139" s="252"/>
      <c r="M139" s="252"/>
      <c r="N139" s="252"/>
      <c r="O139" s="252"/>
      <c r="P139" s="252"/>
      <c r="Q139" s="253"/>
    </row>
    <row r="140" spans="1:17" s="3" customFormat="1" ht="25" customHeight="1" x14ac:dyDescent="0.25">
      <c r="A140" s="354"/>
      <c r="B140" s="361" t="s">
        <v>380</v>
      </c>
      <c r="C140" s="352">
        <f>SUM(C130:C139)</f>
        <v>57</v>
      </c>
      <c r="D140" s="352">
        <f>SUM(D130:D139)</f>
        <v>15</v>
      </c>
      <c r="E140" s="352">
        <f>SUM(E130:E139)</f>
        <v>15</v>
      </c>
      <c r="F140" s="254">
        <f t="shared" si="14"/>
        <v>21161.25</v>
      </c>
      <c r="G140" s="271">
        <v>13</v>
      </c>
      <c r="H140" s="249">
        <f t="shared" si="15"/>
        <v>166725</v>
      </c>
      <c r="I140" s="251">
        <f t="shared" si="16"/>
        <v>21161.25</v>
      </c>
      <c r="J140" s="246"/>
      <c r="K140" s="246"/>
      <c r="L140" s="252"/>
      <c r="M140" s="252"/>
      <c r="N140" s="252"/>
      <c r="O140" s="252"/>
      <c r="P140" s="252"/>
      <c r="Q140" s="253"/>
    </row>
    <row r="141" spans="1:17" s="3" customFormat="1" ht="25" customHeight="1" x14ac:dyDescent="0.25">
      <c r="A141" s="355">
        <v>1</v>
      </c>
      <c r="B141" s="357" t="s">
        <v>225</v>
      </c>
      <c r="C141" s="352"/>
      <c r="D141" s="352"/>
      <c r="E141" s="352"/>
      <c r="F141" s="254">
        <f t="shared" si="14"/>
        <v>0</v>
      </c>
      <c r="G141" s="271">
        <v>13</v>
      </c>
      <c r="H141" s="249">
        <f>C141*D141*E141*G141</f>
        <v>0</v>
      </c>
      <c r="I141" s="251">
        <f t="shared" si="16"/>
        <v>0</v>
      </c>
      <c r="J141" s="246"/>
      <c r="K141" s="246"/>
      <c r="L141" s="252"/>
      <c r="M141" s="252"/>
      <c r="N141" s="252"/>
      <c r="O141" s="252"/>
      <c r="P141" s="252"/>
      <c r="Q141" s="253"/>
    </row>
    <row r="142" spans="1:17" s="3" customFormat="1" ht="25" customHeight="1" x14ac:dyDescent="0.25">
      <c r="A142" s="355" t="s">
        <v>381</v>
      </c>
      <c r="B142" s="357" t="s">
        <v>163</v>
      </c>
      <c r="C142" s="352"/>
      <c r="D142" s="352"/>
      <c r="E142" s="352"/>
      <c r="F142" s="254">
        <f t="shared" si="14"/>
        <v>0</v>
      </c>
      <c r="G142" s="271">
        <v>13</v>
      </c>
      <c r="H142" s="249">
        <f t="shared" si="15"/>
        <v>0</v>
      </c>
      <c r="I142" s="251">
        <f t="shared" si="16"/>
        <v>0</v>
      </c>
      <c r="J142" s="246"/>
      <c r="K142" s="246"/>
      <c r="L142" s="252"/>
      <c r="M142" s="252"/>
      <c r="N142" s="252"/>
      <c r="O142" s="252"/>
      <c r="P142" s="252"/>
      <c r="Q142" s="253"/>
    </row>
    <row r="143" spans="1:17" s="3" customFormat="1" ht="25" customHeight="1" x14ac:dyDescent="0.25">
      <c r="A143" s="354" t="s">
        <v>228</v>
      </c>
      <c r="B143" s="350" t="s">
        <v>625</v>
      </c>
      <c r="C143" s="352">
        <v>3</v>
      </c>
      <c r="D143" s="352">
        <v>1</v>
      </c>
      <c r="E143" s="352">
        <v>7</v>
      </c>
      <c r="F143" s="254">
        <f t="shared" si="14"/>
        <v>519.75</v>
      </c>
      <c r="G143" s="271">
        <v>13</v>
      </c>
      <c r="H143" s="249">
        <f t="shared" si="15"/>
        <v>273</v>
      </c>
      <c r="I143" s="251">
        <f t="shared" si="16"/>
        <v>519.75</v>
      </c>
      <c r="J143" s="246"/>
      <c r="K143" s="246"/>
      <c r="L143" s="252"/>
      <c r="M143" s="252"/>
      <c r="N143" s="252"/>
      <c r="O143" s="252"/>
      <c r="P143" s="252"/>
      <c r="Q143" s="253"/>
    </row>
    <row r="144" spans="1:17" s="3" customFormat="1" ht="25" customHeight="1" x14ac:dyDescent="0.25">
      <c r="A144" s="354" t="s">
        <v>229</v>
      </c>
      <c r="B144" s="350" t="s">
        <v>626</v>
      </c>
      <c r="C144" s="352">
        <v>3</v>
      </c>
      <c r="D144" s="352">
        <v>1</v>
      </c>
      <c r="E144" s="352">
        <v>7</v>
      </c>
      <c r="F144" s="259"/>
      <c r="G144" s="259"/>
      <c r="H144" s="259"/>
      <c r="I144" s="275"/>
      <c r="J144" s="275"/>
      <c r="K144" s="246"/>
      <c r="L144" s="252"/>
      <c r="M144" s="252"/>
      <c r="N144" s="252"/>
      <c r="O144" s="252"/>
      <c r="P144" s="252"/>
      <c r="Q144" s="253"/>
    </row>
    <row r="145" spans="1:17" s="3" customFormat="1" ht="25" customHeight="1" x14ac:dyDescent="0.25">
      <c r="A145" s="354" t="s">
        <v>230</v>
      </c>
      <c r="B145" s="350" t="s">
        <v>627</v>
      </c>
      <c r="C145" s="352">
        <v>2</v>
      </c>
      <c r="D145" s="352">
        <v>1</v>
      </c>
      <c r="E145" s="352">
        <v>10</v>
      </c>
      <c r="F145" s="254">
        <f t="shared" si="14"/>
        <v>14700</v>
      </c>
      <c r="G145" s="259">
        <v>42</v>
      </c>
      <c r="H145" s="249">
        <f>C145*D145*E145*G145</f>
        <v>840</v>
      </c>
      <c r="I145" s="251">
        <f>E145*G145*35</f>
        <v>14700</v>
      </c>
      <c r="J145" s="275"/>
      <c r="K145" s="246"/>
      <c r="L145" s="252"/>
      <c r="M145" s="252"/>
      <c r="N145" s="252"/>
      <c r="O145" s="252"/>
      <c r="P145" s="252"/>
      <c r="Q145" s="253"/>
    </row>
    <row r="146" spans="1:17" s="3" customFormat="1" ht="25" customHeight="1" x14ac:dyDescent="0.25">
      <c r="A146" s="354" t="s">
        <v>231</v>
      </c>
      <c r="B146" s="350" t="s">
        <v>628</v>
      </c>
      <c r="C146" s="352">
        <v>3</v>
      </c>
      <c r="D146" s="352">
        <v>1</v>
      </c>
      <c r="E146" s="352">
        <v>16</v>
      </c>
      <c r="F146" s="259">
        <f>SUM(F137:F145)</f>
        <v>40390.5</v>
      </c>
      <c r="G146" s="276">
        <f>SUM(G137:G145)</f>
        <v>133</v>
      </c>
      <c r="H146" s="276">
        <f>SUM(H137:H145)</f>
        <v>181410</v>
      </c>
      <c r="I146" s="276">
        <f>SUM(I137:I145)</f>
        <v>40390.5</v>
      </c>
      <c r="J146" s="246">
        <v>0</v>
      </c>
      <c r="K146" s="246">
        <v>0</v>
      </c>
      <c r="L146" s="252"/>
      <c r="M146" s="252"/>
      <c r="N146" s="252"/>
      <c r="O146" s="252"/>
      <c r="P146" s="252"/>
      <c r="Q146" s="253"/>
    </row>
    <row r="147" spans="1:17" s="3" customFormat="1" ht="25" customHeight="1" x14ac:dyDescent="0.25">
      <c r="A147" s="354" t="s">
        <v>282</v>
      </c>
      <c r="B147" s="350" t="s">
        <v>629</v>
      </c>
      <c r="C147" s="352">
        <v>2</v>
      </c>
      <c r="D147" s="352">
        <v>1</v>
      </c>
      <c r="E147" s="352">
        <v>10</v>
      </c>
      <c r="F147" s="259"/>
      <c r="G147" s="259"/>
      <c r="H147" s="259"/>
      <c r="I147" s="275"/>
      <c r="J147" s="252"/>
      <c r="K147" s="252"/>
      <c r="L147" s="252"/>
      <c r="M147" s="252"/>
      <c r="N147" s="252"/>
      <c r="O147" s="252"/>
      <c r="P147" s="252"/>
      <c r="Q147" s="253"/>
    </row>
    <row r="148" spans="1:17" s="3" customFormat="1" ht="25" customHeight="1" x14ac:dyDescent="0.25">
      <c r="A148" s="354" t="s">
        <v>284</v>
      </c>
      <c r="B148" s="353" t="s">
        <v>630</v>
      </c>
      <c r="C148" s="352">
        <v>3</v>
      </c>
      <c r="D148" s="352">
        <v>1</v>
      </c>
      <c r="E148" s="352">
        <v>10</v>
      </c>
      <c r="F148" s="259"/>
      <c r="G148" s="259"/>
      <c r="H148" s="259"/>
      <c r="I148" s="275"/>
      <c r="J148" s="252"/>
      <c r="K148" s="252"/>
      <c r="L148" s="252"/>
      <c r="M148" s="252"/>
      <c r="N148" s="252"/>
      <c r="O148" s="252"/>
      <c r="P148" s="252"/>
      <c r="Q148" s="253"/>
    </row>
    <row r="149" spans="1:17" s="3" customFormat="1" ht="25" customHeight="1" x14ac:dyDescent="0.25">
      <c r="A149" s="354" t="s">
        <v>286</v>
      </c>
      <c r="B149" s="349" t="s">
        <v>631</v>
      </c>
      <c r="C149" s="352">
        <v>3</v>
      </c>
      <c r="D149" s="352">
        <v>1</v>
      </c>
      <c r="E149" s="352">
        <v>10</v>
      </c>
      <c r="F149" s="254">
        <f t="shared" ref="F149:F163" si="17">I149+J149+K149</f>
        <v>643.5</v>
      </c>
      <c r="G149" s="271">
        <v>70</v>
      </c>
      <c r="H149" s="249">
        <f t="shared" ref="H149:H163" si="18">C149*D149*E149*G149</f>
        <v>2100</v>
      </c>
      <c r="I149" s="251">
        <f>IF(G149&lt;70, C149*E149*16.5*1, C149*E149*16.5*1.3)</f>
        <v>643.5</v>
      </c>
      <c r="J149" s="252"/>
      <c r="K149" s="252"/>
      <c r="L149" s="252"/>
      <c r="M149" s="252"/>
      <c r="N149" s="252"/>
      <c r="O149" s="252"/>
      <c r="P149" s="252"/>
      <c r="Q149" s="253"/>
    </row>
    <row r="150" spans="1:17" s="3" customFormat="1" ht="25" customHeight="1" x14ac:dyDescent="0.25">
      <c r="A150" s="354" t="s">
        <v>289</v>
      </c>
      <c r="B150" s="349" t="s">
        <v>388</v>
      </c>
      <c r="C150" s="352">
        <v>3</v>
      </c>
      <c r="D150" s="352">
        <v>1</v>
      </c>
      <c r="E150" s="352">
        <v>16</v>
      </c>
      <c r="F150" s="254">
        <f t="shared" si="17"/>
        <v>1029.6000000000001</v>
      </c>
      <c r="G150" s="271">
        <v>70</v>
      </c>
      <c r="H150" s="249">
        <f t="shared" si="18"/>
        <v>3360</v>
      </c>
      <c r="I150" s="251">
        <f t="shared" ref="I150:I163" si="19">IF(G150&lt;70, C150*E150*16.5*1, C150*E150*16.5*1.3)</f>
        <v>1029.6000000000001</v>
      </c>
      <c r="J150" s="252"/>
      <c r="K150" s="252"/>
      <c r="L150" s="252"/>
      <c r="M150" s="252"/>
      <c r="N150" s="252"/>
      <c r="O150" s="252"/>
      <c r="P150" s="252"/>
      <c r="Q150" s="253"/>
    </row>
    <row r="151" spans="1:17" s="3" customFormat="1" ht="25" customHeight="1" x14ac:dyDescent="0.25">
      <c r="A151" s="354" t="s">
        <v>290</v>
      </c>
      <c r="B151" s="349" t="s">
        <v>632</v>
      </c>
      <c r="C151" s="352">
        <v>4</v>
      </c>
      <c r="D151" s="352">
        <v>1</v>
      </c>
      <c r="E151" s="352">
        <v>10</v>
      </c>
      <c r="F151" s="254">
        <f t="shared" si="17"/>
        <v>858</v>
      </c>
      <c r="G151" s="271">
        <v>70</v>
      </c>
      <c r="H151" s="249">
        <f t="shared" si="18"/>
        <v>2800</v>
      </c>
      <c r="I151" s="251">
        <f t="shared" si="19"/>
        <v>858</v>
      </c>
      <c r="J151" s="252"/>
      <c r="K151" s="252"/>
      <c r="L151" s="252"/>
      <c r="M151" s="252"/>
      <c r="N151" s="252"/>
      <c r="O151" s="252"/>
      <c r="P151" s="252"/>
      <c r="Q151" s="253"/>
    </row>
    <row r="152" spans="1:17" s="3" customFormat="1" ht="25" customHeight="1" x14ac:dyDescent="0.25">
      <c r="A152" s="354" t="s">
        <v>291</v>
      </c>
      <c r="B152" s="349" t="s">
        <v>633</v>
      </c>
      <c r="C152" s="352">
        <v>4</v>
      </c>
      <c r="D152" s="352">
        <v>1</v>
      </c>
      <c r="E152" s="352">
        <v>8</v>
      </c>
      <c r="F152" s="254">
        <f t="shared" si="17"/>
        <v>686.4</v>
      </c>
      <c r="G152" s="271">
        <v>70</v>
      </c>
      <c r="H152" s="249">
        <f t="shared" si="18"/>
        <v>2240</v>
      </c>
      <c r="I152" s="251">
        <f t="shared" si="19"/>
        <v>686.4</v>
      </c>
      <c r="J152" s="252"/>
      <c r="K152" s="252"/>
      <c r="L152" s="252"/>
      <c r="M152" s="252"/>
      <c r="N152" s="252"/>
      <c r="O152" s="252"/>
      <c r="P152" s="252"/>
      <c r="Q152" s="253"/>
    </row>
    <row r="153" spans="1:17" s="3" customFormat="1" ht="25" customHeight="1" x14ac:dyDescent="0.25">
      <c r="A153" s="354" t="s">
        <v>292</v>
      </c>
      <c r="B153" s="349" t="s">
        <v>634</v>
      </c>
      <c r="C153" s="352">
        <v>4</v>
      </c>
      <c r="D153" s="352">
        <v>1</v>
      </c>
      <c r="E153" s="352">
        <v>8</v>
      </c>
      <c r="F153" s="254">
        <f t="shared" si="17"/>
        <v>686.4</v>
      </c>
      <c r="G153" s="271">
        <v>70</v>
      </c>
      <c r="H153" s="249">
        <f t="shared" si="18"/>
        <v>2240</v>
      </c>
      <c r="I153" s="251">
        <f t="shared" si="19"/>
        <v>686.4</v>
      </c>
      <c r="J153" s="270"/>
      <c r="K153" s="270"/>
      <c r="L153" s="270"/>
      <c r="M153" s="270"/>
      <c r="N153" s="270"/>
      <c r="O153" s="270"/>
      <c r="P153" s="270"/>
      <c r="Q153" s="254"/>
    </row>
    <row r="154" spans="1:17" s="3" customFormat="1" ht="25" customHeight="1" x14ac:dyDescent="0.25">
      <c r="A154" s="274" t="s">
        <v>231</v>
      </c>
      <c r="B154" s="277" t="s">
        <v>382</v>
      </c>
      <c r="C154" s="271">
        <v>4</v>
      </c>
      <c r="D154" s="271">
        <v>1</v>
      </c>
      <c r="E154" s="271">
        <v>16</v>
      </c>
      <c r="F154" s="254">
        <f t="shared" si="17"/>
        <v>1372.8</v>
      </c>
      <c r="G154" s="271">
        <v>70</v>
      </c>
      <c r="H154" s="249">
        <f t="shared" si="18"/>
        <v>4480</v>
      </c>
      <c r="I154" s="251">
        <f t="shared" si="19"/>
        <v>1372.8</v>
      </c>
      <c r="J154" s="270"/>
      <c r="K154" s="270"/>
      <c r="L154" s="270"/>
      <c r="M154" s="270"/>
      <c r="N154" s="270"/>
      <c r="O154" s="270"/>
      <c r="P154" s="270"/>
      <c r="Q154" s="254"/>
    </row>
    <row r="155" spans="1:17" s="3" customFormat="1" ht="25" customHeight="1" x14ac:dyDescent="0.25">
      <c r="A155" s="274" t="s">
        <v>282</v>
      </c>
      <c r="B155" s="277" t="s">
        <v>383</v>
      </c>
      <c r="C155" s="271">
        <v>2</v>
      </c>
      <c r="D155" s="271">
        <v>1</v>
      </c>
      <c r="E155" s="271">
        <v>16</v>
      </c>
      <c r="F155" s="254">
        <f t="shared" si="17"/>
        <v>686.4</v>
      </c>
      <c r="G155" s="271">
        <v>80</v>
      </c>
      <c r="H155" s="249">
        <f t="shared" si="18"/>
        <v>2560</v>
      </c>
      <c r="I155" s="251">
        <f t="shared" si="19"/>
        <v>686.4</v>
      </c>
      <c r="J155" s="270"/>
      <c r="K155" s="270"/>
      <c r="L155" s="270"/>
      <c r="M155" s="270"/>
      <c r="N155" s="270"/>
      <c r="O155" s="270"/>
      <c r="P155" s="270"/>
      <c r="Q155" s="254"/>
    </row>
    <row r="156" spans="1:17" s="3" customFormat="1" ht="25" customHeight="1" x14ac:dyDescent="0.25">
      <c r="A156" s="274" t="s">
        <v>283</v>
      </c>
      <c r="B156" s="277" t="s">
        <v>384</v>
      </c>
      <c r="C156" s="271">
        <v>4</v>
      </c>
      <c r="D156" s="271">
        <v>1</v>
      </c>
      <c r="E156" s="271">
        <v>16</v>
      </c>
      <c r="F156" s="254">
        <f t="shared" si="17"/>
        <v>1372.8</v>
      </c>
      <c r="G156" s="271">
        <v>70</v>
      </c>
      <c r="H156" s="249">
        <f t="shared" si="18"/>
        <v>4480</v>
      </c>
      <c r="I156" s="251">
        <f t="shared" si="19"/>
        <v>1372.8</v>
      </c>
      <c r="J156" s="270"/>
      <c r="K156" s="270"/>
      <c r="L156" s="270"/>
      <c r="M156" s="270"/>
      <c r="N156" s="270"/>
      <c r="O156" s="270"/>
      <c r="P156" s="270"/>
      <c r="Q156" s="254"/>
    </row>
    <row r="157" spans="1:17" s="3" customFormat="1" ht="25" customHeight="1" x14ac:dyDescent="0.25">
      <c r="A157" s="274" t="s">
        <v>284</v>
      </c>
      <c r="B157" s="273" t="s">
        <v>385</v>
      </c>
      <c r="C157" s="271">
        <v>3</v>
      </c>
      <c r="D157" s="271">
        <v>1</v>
      </c>
      <c r="E157" s="271">
        <v>16</v>
      </c>
      <c r="F157" s="254">
        <f t="shared" si="17"/>
        <v>1029.6000000000001</v>
      </c>
      <c r="G157" s="271">
        <v>70</v>
      </c>
      <c r="H157" s="249">
        <f t="shared" si="18"/>
        <v>3360</v>
      </c>
      <c r="I157" s="251">
        <f t="shared" si="19"/>
        <v>1029.6000000000001</v>
      </c>
      <c r="J157" s="270"/>
      <c r="K157" s="270"/>
      <c r="L157" s="270"/>
      <c r="M157" s="270"/>
      <c r="N157" s="270"/>
      <c r="O157" s="270"/>
      <c r="P157" s="270"/>
      <c r="Q157" s="254"/>
    </row>
    <row r="158" spans="1:17" s="3" customFormat="1" ht="25" customHeight="1" x14ac:dyDescent="0.25">
      <c r="A158" s="274" t="s">
        <v>285</v>
      </c>
      <c r="B158" s="273" t="s">
        <v>386</v>
      </c>
      <c r="C158" s="271">
        <v>3</v>
      </c>
      <c r="D158" s="271">
        <v>1</v>
      </c>
      <c r="E158" s="271">
        <v>16</v>
      </c>
      <c r="F158" s="254">
        <f t="shared" si="17"/>
        <v>1029.6000000000001</v>
      </c>
      <c r="G158" s="271">
        <v>70</v>
      </c>
      <c r="H158" s="249">
        <f t="shared" si="18"/>
        <v>3360</v>
      </c>
      <c r="I158" s="251">
        <f t="shared" si="19"/>
        <v>1029.6000000000001</v>
      </c>
      <c r="J158" s="270"/>
      <c r="K158" s="270"/>
      <c r="L158" s="270"/>
      <c r="M158" s="270"/>
      <c r="N158" s="270"/>
      <c r="O158" s="270"/>
      <c r="P158" s="270"/>
      <c r="Q158" s="254"/>
    </row>
    <row r="159" spans="1:17" s="3" customFormat="1" ht="25" customHeight="1" x14ac:dyDescent="0.25">
      <c r="A159" s="274" t="s">
        <v>286</v>
      </c>
      <c r="B159" s="272" t="s">
        <v>387</v>
      </c>
      <c r="C159" s="271">
        <v>3</v>
      </c>
      <c r="D159" s="271">
        <v>1</v>
      </c>
      <c r="E159" s="271">
        <v>16</v>
      </c>
      <c r="F159" s="254">
        <f t="shared" si="17"/>
        <v>1029.6000000000001</v>
      </c>
      <c r="G159" s="271">
        <v>70</v>
      </c>
      <c r="H159" s="249">
        <f t="shared" si="18"/>
        <v>3360</v>
      </c>
      <c r="I159" s="251">
        <f t="shared" si="19"/>
        <v>1029.6000000000001</v>
      </c>
      <c r="J159" s="270"/>
      <c r="K159" s="270"/>
      <c r="L159" s="270"/>
      <c r="M159" s="270"/>
      <c r="N159" s="270"/>
      <c r="O159" s="270"/>
      <c r="P159" s="270"/>
      <c r="Q159" s="254"/>
    </row>
    <row r="160" spans="1:17" s="3" customFormat="1" ht="25" customHeight="1" x14ac:dyDescent="0.25">
      <c r="A160" s="274" t="s">
        <v>289</v>
      </c>
      <c r="B160" s="272" t="s">
        <v>388</v>
      </c>
      <c r="C160" s="271">
        <v>3</v>
      </c>
      <c r="D160" s="271">
        <v>1</v>
      </c>
      <c r="E160" s="271">
        <v>16</v>
      </c>
      <c r="F160" s="254">
        <f t="shared" si="17"/>
        <v>1029.6000000000001</v>
      </c>
      <c r="G160" s="271">
        <v>70</v>
      </c>
      <c r="H160" s="249">
        <f t="shared" si="18"/>
        <v>3360</v>
      </c>
      <c r="I160" s="251">
        <f t="shared" si="19"/>
        <v>1029.6000000000001</v>
      </c>
      <c r="J160" s="270"/>
      <c r="K160" s="270"/>
      <c r="L160" s="270"/>
      <c r="M160" s="270"/>
      <c r="N160" s="270"/>
      <c r="O160" s="270"/>
      <c r="P160" s="270"/>
      <c r="Q160" s="254"/>
    </row>
    <row r="161" spans="1:17" s="3" customFormat="1" ht="25" customHeight="1" x14ac:dyDescent="0.25">
      <c r="A161" s="274" t="s">
        <v>290</v>
      </c>
      <c r="B161" s="272" t="s">
        <v>389</v>
      </c>
      <c r="C161" s="271">
        <v>4</v>
      </c>
      <c r="D161" s="271">
        <v>1</v>
      </c>
      <c r="E161" s="271">
        <v>10</v>
      </c>
      <c r="F161" s="254">
        <f t="shared" si="17"/>
        <v>858</v>
      </c>
      <c r="G161" s="271">
        <v>70</v>
      </c>
      <c r="H161" s="249">
        <f t="shared" si="18"/>
        <v>2800</v>
      </c>
      <c r="I161" s="251">
        <f t="shared" si="19"/>
        <v>858</v>
      </c>
      <c r="J161" s="270"/>
      <c r="K161" s="270"/>
      <c r="L161" s="270"/>
      <c r="M161" s="270"/>
      <c r="N161" s="270"/>
      <c r="O161" s="270"/>
      <c r="P161" s="270"/>
      <c r="Q161" s="254"/>
    </row>
    <row r="162" spans="1:17" s="3" customFormat="1" ht="25" customHeight="1" x14ac:dyDescent="0.25">
      <c r="A162" s="274" t="s">
        <v>291</v>
      </c>
      <c r="B162" s="272" t="s">
        <v>390</v>
      </c>
      <c r="C162" s="271">
        <v>4</v>
      </c>
      <c r="D162" s="271">
        <v>1</v>
      </c>
      <c r="E162" s="271">
        <v>13</v>
      </c>
      <c r="F162" s="254">
        <f t="shared" si="17"/>
        <v>1115.4000000000001</v>
      </c>
      <c r="G162" s="271">
        <v>70</v>
      </c>
      <c r="H162" s="249">
        <f t="shared" si="18"/>
        <v>3640</v>
      </c>
      <c r="I162" s="251">
        <f t="shared" si="19"/>
        <v>1115.4000000000001</v>
      </c>
      <c r="J162" s="270"/>
      <c r="K162" s="270"/>
      <c r="L162" s="270"/>
      <c r="M162" s="270"/>
      <c r="N162" s="270"/>
      <c r="O162" s="270"/>
      <c r="P162" s="270"/>
      <c r="Q162" s="254"/>
    </row>
    <row r="163" spans="1:17" s="3" customFormat="1" ht="25" customHeight="1" x14ac:dyDescent="0.25">
      <c r="A163" s="274" t="s">
        <v>292</v>
      </c>
      <c r="B163" s="272" t="s">
        <v>391</v>
      </c>
      <c r="C163" s="271">
        <v>4</v>
      </c>
      <c r="D163" s="271">
        <v>1</v>
      </c>
      <c r="E163" s="271">
        <v>16</v>
      </c>
      <c r="F163" s="254">
        <f t="shared" si="17"/>
        <v>1372.8</v>
      </c>
      <c r="G163" s="271">
        <v>70</v>
      </c>
      <c r="H163" s="249">
        <f t="shared" si="18"/>
        <v>4480</v>
      </c>
      <c r="I163" s="251">
        <f t="shared" si="19"/>
        <v>1372.8</v>
      </c>
      <c r="J163" s="270"/>
      <c r="K163" s="270"/>
      <c r="L163" s="270"/>
      <c r="M163" s="270"/>
      <c r="N163" s="270"/>
      <c r="O163" s="270"/>
      <c r="P163" s="270"/>
      <c r="Q163" s="254"/>
    </row>
    <row r="164" spans="1:17" s="3" customFormat="1" ht="25" customHeight="1" x14ac:dyDescent="0.25">
      <c r="A164" s="274"/>
      <c r="B164" s="278" t="s">
        <v>392</v>
      </c>
      <c r="C164" s="279">
        <f>SUM(C149:C163)</f>
        <v>52</v>
      </c>
      <c r="D164" s="279">
        <f t="shared" ref="D164:K164" si="20">SUM(D149:D163)</f>
        <v>15</v>
      </c>
      <c r="E164" s="279">
        <f t="shared" si="20"/>
        <v>203</v>
      </c>
      <c r="F164" s="271">
        <f t="shared" si="20"/>
        <v>14800.5</v>
      </c>
      <c r="G164" s="279">
        <f t="shared" si="20"/>
        <v>1060</v>
      </c>
      <c r="H164" s="279">
        <f t="shared" si="20"/>
        <v>48620</v>
      </c>
      <c r="I164" s="279">
        <f t="shared" si="20"/>
        <v>14800.5</v>
      </c>
      <c r="J164" s="279">
        <f t="shared" si="20"/>
        <v>0</v>
      </c>
      <c r="K164" s="279">
        <f t="shared" si="20"/>
        <v>0</v>
      </c>
      <c r="L164" s="270"/>
      <c r="M164" s="270"/>
      <c r="N164" s="270"/>
      <c r="O164" s="270"/>
      <c r="P164" s="270"/>
      <c r="Q164" s="254"/>
    </row>
    <row r="165" spans="1:17" s="3" customFormat="1" ht="25" customHeight="1" x14ac:dyDescent="0.25">
      <c r="A165" s="280"/>
      <c r="B165" s="281" t="s">
        <v>393</v>
      </c>
      <c r="C165" s="282">
        <f t="shared" ref="C165:K165" si="21">C126+C164+C146</f>
        <v>55</v>
      </c>
      <c r="D165" s="282">
        <f t="shared" si="21"/>
        <v>16</v>
      </c>
      <c r="E165" s="282">
        <f t="shared" si="21"/>
        <v>219</v>
      </c>
      <c r="F165" s="317">
        <f t="shared" si="21"/>
        <v>59096.850000000006</v>
      </c>
      <c r="G165" s="282">
        <f t="shared" si="21"/>
        <v>2512</v>
      </c>
      <c r="H165" s="282">
        <f t="shared" si="21"/>
        <v>242109.56</v>
      </c>
      <c r="I165" s="282">
        <f t="shared" si="21"/>
        <v>58898.850000000006</v>
      </c>
      <c r="J165" s="282">
        <f t="shared" si="21"/>
        <v>198</v>
      </c>
      <c r="K165" s="282">
        <f t="shared" si="21"/>
        <v>0</v>
      </c>
      <c r="L165" s="264">
        <f>'Bieu3 GDMN'!F25</f>
        <v>2700</v>
      </c>
      <c r="M165" s="264">
        <f>'Bieu3 GDMN'!N25</f>
        <v>2376</v>
      </c>
      <c r="N165" s="263">
        <f>I165-M165</f>
        <v>56522.850000000006</v>
      </c>
      <c r="O165" s="264">
        <f>'Bieu3 GDMN'!O25</f>
        <v>1709.75</v>
      </c>
      <c r="P165" s="264">
        <f>'Bieu3 GDMN'!P25</f>
        <v>960</v>
      </c>
      <c r="Q165" s="265"/>
    </row>
    <row r="166" spans="1:17" s="3" customFormat="1" ht="25" customHeight="1" x14ac:dyDescent="0.25">
      <c r="A166" s="283"/>
      <c r="B166" s="284"/>
      <c r="C166" s="257"/>
      <c r="D166" s="257"/>
      <c r="E166" s="257"/>
      <c r="F166" s="257"/>
      <c r="G166" s="257"/>
      <c r="H166" s="257"/>
      <c r="I166" s="285"/>
      <c r="J166" s="252"/>
      <c r="K166" s="252"/>
      <c r="L166" s="252"/>
      <c r="M166" s="252"/>
      <c r="N166" s="252"/>
      <c r="O166" s="252"/>
      <c r="P166" s="252"/>
      <c r="Q166" s="253"/>
    </row>
    <row r="167" spans="1:17" s="3" customFormat="1" ht="25" customHeight="1" x14ac:dyDescent="0.25">
      <c r="A167" s="286" t="s">
        <v>422</v>
      </c>
      <c r="B167" s="286" t="s">
        <v>423</v>
      </c>
      <c r="C167" s="287"/>
      <c r="D167" s="287"/>
      <c r="E167" s="287"/>
      <c r="F167" s="318"/>
      <c r="G167" s="287"/>
      <c r="H167" s="257"/>
      <c r="I167" s="285"/>
      <c r="J167" s="252"/>
      <c r="K167" s="252"/>
      <c r="L167" s="252"/>
      <c r="M167" s="252"/>
      <c r="N167" s="252"/>
      <c r="O167" s="252"/>
      <c r="P167" s="252"/>
      <c r="Q167" s="253"/>
    </row>
    <row r="168" spans="1:17" s="3" customFormat="1" ht="25" customHeight="1" x14ac:dyDescent="0.25">
      <c r="A168" s="288" t="s">
        <v>7</v>
      </c>
      <c r="B168" s="288" t="s">
        <v>223</v>
      </c>
      <c r="C168" s="287"/>
      <c r="D168" s="287"/>
      <c r="E168" s="287"/>
      <c r="F168" s="318"/>
      <c r="G168" s="287"/>
      <c r="H168" s="257"/>
      <c r="I168" s="285"/>
      <c r="J168" s="252"/>
      <c r="K168" s="252"/>
      <c r="L168" s="252"/>
      <c r="M168" s="252"/>
      <c r="N168" s="252"/>
      <c r="O168" s="252"/>
      <c r="P168" s="252"/>
      <c r="Q168" s="253"/>
    </row>
    <row r="169" spans="1:17" s="3" customFormat="1" ht="25" customHeight="1" x14ac:dyDescent="0.25">
      <c r="A169" s="288">
        <v>1</v>
      </c>
      <c r="B169" s="288" t="s">
        <v>4</v>
      </c>
      <c r="C169" s="287"/>
      <c r="D169" s="287"/>
      <c r="E169" s="287"/>
      <c r="F169" s="318"/>
      <c r="G169" s="287"/>
      <c r="H169" s="257"/>
      <c r="I169" s="285"/>
      <c r="J169" s="252"/>
      <c r="K169" s="252"/>
      <c r="L169" s="252"/>
      <c r="M169" s="252"/>
      <c r="N169" s="252"/>
      <c r="O169" s="252"/>
      <c r="P169" s="252"/>
      <c r="Q169" s="253"/>
    </row>
    <row r="170" spans="1:17" s="3" customFormat="1" ht="25" customHeight="1" x14ac:dyDescent="0.25">
      <c r="A170" s="289" t="s">
        <v>147</v>
      </c>
      <c r="B170" s="290" t="s">
        <v>161</v>
      </c>
      <c r="C170" s="291"/>
      <c r="D170" s="291"/>
      <c r="E170" s="291"/>
      <c r="F170" s="295"/>
      <c r="G170" s="291"/>
      <c r="H170" s="257"/>
      <c r="I170" s="285"/>
      <c r="J170" s="252"/>
      <c r="K170" s="252"/>
      <c r="L170" s="252"/>
      <c r="M170" s="252"/>
      <c r="N170" s="252"/>
      <c r="O170" s="252"/>
      <c r="P170" s="252"/>
      <c r="Q170" s="253"/>
    </row>
    <row r="171" spans="1:17" s="3" customFormat="1" ht="25" customHeight="1" x14ac:dyDescent="0.25">
      <c r="A171" s="349" t="s">
        <v>226</v>
      </c>
      <c r="B171" s="350" t="s">
        <v>680</v>
      </c>
      <c r="C171" s="421">
        <v>4</v>
      </c>
      <c r="D171" s="351">
        <v>1</v>
      </c>
      <c r="E171" s="421">
        <v>13</v>
      </c>
      <c r="F171" s="254">
        <f t="shared" ref="F171:F184" si="22">I171+J171+K171</f>
        <v>858</v>
      </c>
      <c r="G171" s="292">
        <v>50</v>
      </c>
      <c r="H171" s="249">
        <f>C171*D171*E171*G171</f>
        <v>2600</v>
      </c>
      <c r="I171" s="251">
        <f>IF(G171&lt;70, C171*E171*16.5*1, C171*E171*16.5*1.3)</f>
        <v>858</v>
      </c>
      <c r="J171" s="252"/>
      <c r="K171" s="252"/>
      <c r="L171" s="252"/>
      <c r="M171" s="252"/>
      <c r="N171" s="252"/>
      <c r="O171" s="252"/>
      <c r="P171" s="252"/>
      <c r="Q171" s="253"/>
    </row>
    <row r="172" spans="1:17" s="3" customFormat="1" ht="25" customHeight="1" x14ac:dyDescent="0.25">
      <c r="A172" s="349" t="s">
        <v>227</v>
      </c>
      <c r="B172" s="350" t="s">
        <v>681</v>
      </c>
      <c r="C172" s="372">
        <v>3</v>
      </c>
      <c r="D172" s="352">
        <v>1</v>
      </c>
      <c r="E172" s="372">
        <v>7</v>
      </c>
      <c r="F172" s="254">
        <f t="shared" si="22"/>
        <v>450.45</v>
      </c>
      <c r="G172" s="293">
        <v>70</v>
      </c>
      <c r="H172" s="249">
        <f t="shared" ref="H172:H184" si="23">C172*D172*E172*G172</f>
        <v>1470</v>
      </c>
      <c r="I172" s="251">
        <f t="shared" ref="I172:I182" si="24">IF(G172&lt;70, C172*E172*16.5*1, C172*E172*16.5*1.3)</f>
        <v>450.45</v>
      </c>
      <c r="J172" s="252"/>
      <c r="K172" s="252"/>
      <c r="L172" s="252"/>
      <c r="M172" s="252"/>
      <c r="N172" s="252"/>
      <c r="O172" s="252"/>
      <c r="P172" s="252"/>
      <c r="Q172" s="253"/>
    </row>
    <row r="173" spans="1:17" s="3" customFormat="1" ht="25" customHeight="1" x14ac:dyDescent="0.25">
      <c r="A173" s="349" t="s">
        <v>229</v>
      </c>
      <c r="B173" s="350" t="s">
        <v>682</v>
      </c>
      <c r="C173" s="372">
        <v>5</v>
      </c>
      <c r="D173" s="352">
        <v>1</v>
      </c>
      <c r="E173" s="372">
        <v>6</v>
      </c>
      <c r="F173" s="254">
        <f t="shared" si="22"/>
        <v>643.5</v>
      </c>
      <c r="G173" s="293">
        <v>70</v>
      </c>
      <c r="H173" s="249">
        <f t="shared" si="23"/>
        <v>2100</v>
      </c>
      <c r="I173" s="251">
        <f t="shared" si="24"/>
        <v>643.5</v>
      </c>
      <c r="J173" s="252"/>
      <c r="K173" s="252"/>
      <c r="L173" s="252"/>
      <c r="M173" s="252"/>
      <c r="N173" s="252"/>
      <c r="O173" s="252"/>
      <c r="P173" s="252"/>
      <c r="Q173" s="253"/>
    </row>
    <row r="174" spans="1:17" s="3" customFormat="1" ht="25" customHeight="1" x14ac:dyDescent="0.25">
      <c r="A174" s="349" t="s">
        <v>230</v>
      </c>
      <c r="B174" s="350" t="s">
        <v>683</v>
      </c>
      <c r="C174" s="372">
        <v>2</v>
      </c>
      <c r="D174" s="352">
        <v>1</v>
      </c>
      <c r="E174" s="372">
        <v>1</v>
      </c>
      <c r="F174" s="254">
        <f t="shared" si="22"/>
        <v>33</v>
      </c>
      <c r="G174" s="293">
        <v>50</v>
      </c>
      <c r="H174" s="249">
        <f t="shared" si="23"/>
        <v>100</v>
      </c>
      <c r="I174" s="251">
        <f t="shared" si="24"/>
        <v>33</v>
      </c>
      <c r="J174" s="252"/>
      <c r="K174" s="252"/>
      <c r="L174" s="252"/>
      <c r="M174" s="252"/>
      <c r="N174" s="252"/>
      <c r="O174" s="252"/>
      <c r="P174" s="252"/>
      <c r="Q174" s="253"/>
    </row>
    <row r="175" spans="1:17" s="3" customFormat="1" ht="25" customHeight="1" x14ac:dyDescent="0.25">
      <c r="A175" s="349" t="s">
        <v>231</v>
      </c>
      <c r="B175" s="350" t="s">
        <v>411</v>
      </c>
      <c r="C175" s="372">
        <v>2</v>
      </c>
      <c r="D175" s="352">
        <v>1</v>
      </c>
      <c r="E175" s="372">
        <v>1</v>
      </c>
      <c r="F175" s="254">
        <f t="shared" si="22"/>
        <v>33</v>
      </c>
      <c r="G175" s="293">
        <v>55</v>
      </c>
      <c r="H175" s="249">
        <f t="shared" si="23"/>
        <v>110</v>
      </c>
      <c r="I175" s="251">
        <f t="shared" si="24"/>
        <v>33</v>
      </c>
      <c r="J175" s="252"/>
      <c r="K175" s="252"/>
      <c r="L175" s="252"/>
      <c r="M175" s="252"/>
      <c r="N175" s="252"/>
      <c r="O175" s="252"/>
      <c r="P175" s="252"/>
      <c r="Q175" s="253"/>
    </row>
    <row r="176" spans="1:17" s="3" customFormat="1" ht="25" customHeight="1" x14ac:dyDescent="0.25">
      <c r="A176" s="349" t="s">
        <v>285</v>
      </c>
      <c r="B176" s="350" t="s">
        <v>684</v>
      </c>
      <c r="C176" s="422">
        <v>3</v>
      </c>
      <c r="D176" s="352">
        <v>1</v>
      </c>
      <c r="E176" s="422">
        <v>1</v>
      </c>
      <c r="F176" s="254">
        <f t="shared" si="22"/>
        <v>49.5</v>
      </c>
      <c r="G176" s="293">
        <v>30</v>
      </c>
      <c r="H176" s="249">
        <f t="shared" si="23"/>
        <v>90</v>
      </c>
      <c r="I176" s="251">
        <f t="shared" si="24"/>
        <v>49.5</v>
      </c>
      <c r="J176" s="252"/>
      <c r="K176" s="252"/>
      <c r="L176" s="252"/>
      <c r="M176" s="252"/>
      <c r="N176" s="252"/>
      <c r="O176" s="252"/>
      <c r="P176" s="252"/>
      <c r="Q176" s="253"/>
    </row>
    <row r="177" spans="1:17" s="3" customFormat="1" ht="25" customHeight="1" x14ac:dyDescent="0.25">
      <c r="A177" s="349" t="s">
        <v>286</v>
      </c>
      <c r="B177" s="350" t="s">
        <v>412</v>
      </c>
      <c r="C177" s="422">
        <v>2</v>
      </c>
      <c r="D177" s="352">
        <v>1</v>
      </c>
      <c r="E177" s="422">
        <v>1</v>
      </c>
      <c r="F177" s="254">
        <f t="shared" si="22"/>
        <v>33</v>
      </c>
      <c r="G177" s="293">
        <v>30</v>
      </c>
      <c r="H177" s="249">
        <f t="shared" si="23"/>
        <v>60</v>
      </c>
      <c r="I177" s="251">
        <f t="shared" si="24"/>
        <v>33</v>
      </c>
      <c r="J177" s="252"/>
      <c r="K177" s="252"/>
      <c r="L177" s="252"/>
      <c r="M177" s="252"/>
      <c r="N177" s="252"/>
      <c r="O177" s="252"/>
      <c r="P177" s="252"/>
      <c r="Q177" s="253"/>
    </row>
    <row r="178" spans="1:17" s="3" customFormat="1" ht="25" customHeight="1" x14ac:dyDescent="0.25">
      <c r="A178" s="349" t="s">
        <v>289</v>
      </c>
      <c r="B178" s="350" t="s">
        <v>685</v>
      </c>
      <c r="C178" s="422">
        <v>2</v>
      </c>
      <c r="D178" s="352">
        <v>1</v>
      </c>
      <c r="E178" s="422">
        <v>1</v>
      </c>
      <c r="F178" s="254">
        <f t="shared" si="22"/>
        <v>33</v>
      </c>
      <c r="G178" s="293">
        <v>40</v>
      </c>
      <c r="H178" s="249">
        <f t="shared" si="23"/>
        <v>80</v>
      </c>
      <c r="I178" s="251">
        <f t="shared" si="24"/>
        <v>33</v>
      </c>
      <c r="J178" s="252"/>
      <c r="K178" s="252"/>
      <c r="L178" s="252"/>
      <c r="M178" s="252"/>
      <c r="N178" s="252"/>
      <c r="O178" s="252"/>
      <c r="P178" s="252"/>
      <c r="Q178" s="253"/>
    </row>
    <row r="179" spans="1:17" s="3" customFormat="1" ht="25" customHeight="1" x14ac:dyDescent="0.25">
      <c r="A179" s="349" t="s">
        <v>290</v>
      </c>
      <c r="B179" s="350" t="s">
        <v>686</v>
      </c>
      <c r="C179" s="422">
        <v>2</v>
      </c>
      <c r="D179" s="352">
        <v>1</v>
      </c>
      <c r="E179" s="422">
        <v>1</v>
      </c>
      <c r="F179" s="254">
        <f t="shared" si="22"/>
        <v>33</v>
      </c>
      <c r="G179" s="294">
        <v>40</v>
      </c>
      <c r="H179" s="249">
        <f t="shared" si="23"/>
        <v>80</v>
      </c>
      <c r="I179" s="251">
        <f t="shared" si="24"/>
        <v>33</v>
      </c>
      <c r="J179" s="252"/>
      <c r="K179" s="252"/>
      <c r="L179" s="252"/>
      <c r="M179" s="252"/>
      <c r="N179" s="252"/>
      <c r="O179" s="252"/>
      <c r="P179" s="252"/>
      <c r="Q179" s="253"/>
    </row>
    <row r="180" spans="1:17" s="3" customFormat="1" ht="25" customHeight="1" x14ac:dyDescent="0.25">
      <c r="A180" s="349" t="s">
        <v>291</v>
      </c>
      <c r="B180" s="350" t="s">
        <v>413</v>
      </c>
      <c r="C180" s="422">
        <v>1</v>
      </c>
      <c r="D180" s="352">
        <v>1.4</v>
      </c>
      <c r="E180" s="422">
        <v>6</v>
      </c>
      <c r="F180" s="254">
        <f t="shared" si="22"/>
        <v>99</v>
      </c>
      <c r="G180" s="294">
        <v>40</v>
      </c>
      <c r="H180" s="249">
        <f t="shared" si="23"/>
        <v>335.99999999999994</v>
      </c>
      <c r="I180" s="251">
        <f t="shared" si="24"/>
        <v>99</v>
      </c>
      <c r="J180" s="252"/>
      <c r="K180" s="252"/>
      <c r="L180" s="252"/>
      <c r="M180" s="252"/>
      <c r="N180" s="252"/>
      <c r="O180" s="252"/>
      <c r="P180" s="252"/>
      <c r="Q180" s="253"/>
    </row>
    <row r="181" spans="1:17" s="3" customFormat="1" ht="25" customHeight="1" x14ac:dyDescent="0.25">
      <c r="A181" s="349" t="s">
        <v>292</v>
      </c>
      <c r="B181" s="372" t="s">
        <v>414</v>
      </c>
      <c r="C181" s="422">
        <v>1</v>
      </c>
      <c r="D181" s="352">
        <v>1.4</v>
      </c>
      <c r="E181" s="422">
        <v>14</v>
      </c>
      <c r="F181" s="254">
        <f t="shared" si="22"/>
        <v>300.3</v>
      </c>
      <c r="G181" s="294">
        <v>80</v>
      </c>
      <c r="H181" s="249">
        <f t="shared" si="23"/>
        <v>1567.9999999999998</v>
      </c>
      <c r="I181" s="251">
        <f t="shared" si="24"/>
        <v>300.3</v>
      </c>
      <c r="J181" s="252"/>
      <c r="K181" s="252"/>
      <c r="L181" s="252"/>
      <c r="M181" s="252"/>
      <c r="N181" s="252"/>
      <c r="O181" s="252"/>
      <c r="P181" s="252"/>
      <c r="Q181" s="253"/>
    </row>
    <row r="182" spans="1:17" s="3" customFormat="1" ht="25" customHeight="1" x14ac:dyDescent="0.25">
      <c r="A182" s="354"/>
      <c r="B182" s="361" t="s">
        <v>380</v>
      </c>
      <c r="C182" s="364">
        <f>SUM(C171:C181)</f>
        <v>27</v>
      </c>
      <c r="D182" s="364">
        <f>SUM(D171:D181)</f>
        <v>11.8</v>
      </c>
      <c r="E182" s="364">
        <f>SUM(E171:E181)</f>
        <v>52</v>
      </c>
      <c r="F182" s="254">
        <f t="shared" si="22"/>
        <v>30115.8</v>
      </c>
      <c r="G182" s="294">
        <v>80</v>
      </c>
      <c r="H182" s="249">
        <f t="shared" si="23"/>
        <v>1325376</v>
      </c>
      <c r="I182" s="251">
        <f t="shared" si="24"/>
        <v>30115.8</v>
      </c>
      <c r="J182" s="252"/>
      <c r="K182" s="252"/>
      <c r="L182" s="252"/>
      <c r="M182" s="252"/>
      <c r="N182" s="252"/>
      <c r="O182" s="252"/>
      <c r="P182" s="252"/>
      <c r="Q182" s="253"/>
    </row>
    <row r="183" spans="1:17" s="3" customFormat="1" ht="25" customHeight="1" x14ac:dyDescent="0.25">
      <c r="A183" s="423">
        <v>2</v>
      </c>
      <c r="B183" s="423" t="s">
        <v>164</v>
      </c>
      <c r="C183" s="352"/>
      <c r="D183" s="352"/>
      <c r="E183" s="352"/>
      <c r="F183" s="254">
        <f t="shared" si="22"/>
        <v>0</v>
      </c>
      <c r="G183" s="294">
        <v>36</v>
      </c>
      <c r="H183" s="249">
        <f t="shared" si="23"/>
        <v>0</v>
      </c>
      <c r="I183" s="251">
        <f>E183*15</f>
        <v>0</v>
      </c>
      <c r="J183" s="252"/>
      <c r="K183" s="252"/>
      <c r="L183" s="252"/>
      <c r="M183" s="252"/>
      <c r="N183" s="252"/>
      <c r="O183" s="252"/>
      <c r="P183" s="252"/>
      <c r="Q183" s="253"/>
    </row>
    <row r="184" spans="1:17" s="3" customFormat="1" ht="25" customHeight="1" x14ac:dyDescent="0.25">
      <c r="A184" s="356" t="s">
        <v>147</v>
      </c>
      <c r="B184" s="357" t="s">
        <v>165</v>
      </c>
      <c r="C184" s="352"/>
      <c r="D184" s="352"/>
      <c r="E184" s="352"/>
      <c r="F184" s="254">
        <f t="shared" si="22"/>
        <v>0</v>
      </c>
      <c r="G184" s="294">
        <v>20</v>
      </c>
      <c r="H184" s="249">
        <f t="shared" si="23"/>
        <v>0</v>
      </c>
      <c r="I184" s="251">
        <f>E184*15</f>
        <v>0</v>
      </c>
      <c r="J184" s="252"/>
      <c r="K184" s="252"/>
      <c r="L184" s="252"/>
      <c r="M184" s="252"/>
      <c r="N184" s="252"/>
      <c r="O184" s="252"/>
      <c r="P184" s="252"/>
      <c r="Q184" s="253"/>
    </row>
    <row r="185" spans="1:17" s="3" customFormat="1" ht="25" customHeight="1" x14ac:dyDescent="0.25">
      <c r="A185" s="349" t="s">
        <v>226</v>
      </c>
      <c r="B185" s="350" t="s">
        <v>415</v>
      </c>
      <c r="C185" s="372">
        <v>3</v>
      </c>
      <c r="D185" s="352">
        <v>1</v>
      </c>
      <c r="E185" s="422">
        <v>3</v>
      </c>
      <c r="F185" s="271">
        <f>SUM(F171:F184)</f>
        <v>32681.55</v>
      </c>
      <c r="G185" s="279">
        <f>SUM(G171:G184)</f>
        <v>691</v>
      </c>
      <c r="H185" s="279">
        <f>SUM(H171:H184)</f>
        <v>1333970</v>
      </c>
      <c r="I185" s="279">
        <f>SUM(I171:I184)</f>
        <v>32681.55</v>
      </c>
      <c r="J185" s="252"/>
      <c r="K185" s="252"/>
      <c r="L185" s="252"/>
      <c r="M185" s="252"/>
      <c r="N185" s="252"/>
      <c r="O185" s="252"/>
      <c r="P185" s="252"/>
      <c r="Q185" s="253"/>
    </row>
    <row r="186" spans="1:17" s="3" customFormat="1" ht="25" customHeight="1" x14ac:dyDescent="0.25">
      <c r="A186" s="349" t="s">
        <v>227</v>
      </c>
      <c r="B186" s="350" t="s">
        <v>416</v>
      </c>
      <c r="C186" s="372">
        <v>3</v>
      </c>
      <c r="D186" s="352">
        <v>1</v>
      </c>
      <c r="E186" s="422">
        <v>1</v>
      </c>
      <c r="F186" s="295"/>
      <c r="G186" s="295"/>
      <c r="H186" s="257"/>
      <c r="I186" s="285"/>
      <c r="J186" s="252"/>
      <c r="K186" s="252"/>
      <c r="L186" s="252"/>
      <c r="M186" s="252"/>
      <c r="N186" s="252"/>
      <c r="O186" s="252"/>
      <c r="P186" s="252"/>
      <c r="Q186" s="253"/>
    </row>
    <row r="187" spans="1:17" s="3" customFormat="1" ht="25" customHeight="1" x14ac:dyDescent="0.25">
      <c r="A187" s="349" t="s">
        <v>228</v>
      </c>
      <c r="B187" s="350" t="s">
        <v>417</v>
      </c>
      <c r="C187" s="372">
        <v>3</v>
      </c>
      <c r="D187" s="352">
        <v>1</v>
      </c>
      <c r="E187" s="422">
        <v>1</v>
      </c>
      <c r="F187" s="295"/>
      <c r="G187" s="295"/>
      <c r="H187" s="257"/>
      <c r="I187" s="285"/>
      <c r="J187" s="252"/>
      <c r="K187" s="252"/>
      <c r="L187" s="252"/>
      <c r="M187" s="252"/>
      <c r="N187" s="252"/>
      <c r="O187" s="252"/>
      <c r="P187" s="252"/>
      <c r="Q187" s="253"/>
    </row>
    <row r="188" spans="1:17" s="3" customFormat="1" ht="25" customHeight="1" x14ac:dyDescent="0.25">
      <c r="A188" s="349" t="s">
        <v>229</v>
      </c>
      <c r="B188" s="350" t="s">
        <v>418</v>
      </c>
      <c r="C188" s="372">
        <v>3</v>
      </c>
      <c r="D188" s="352">
        <v>1</v>
      </c>
      <c r="E188" s="422">
        <v>1</v>
      </c>
      <c r="F188" s="254">
        <f t="shared" ref="F188:F194" si="25">I188+J188+K188</f>
        <v>74.25</v>
      </c>
      <c r="G188" s="293">
        <v>15</v>
      </c>
      <c r="H188" s="249">
        <f>C188*D188*E188*G188</f>
        <v>45</v>
      </c>
      <c r="I188" s="251">
        <f t="shared" ref="I188:I194" si="26">IF(G188&lt;70, C188*E188*16.5*1*1.5, C188*E188*16.5*1.3*1.5)</f>
        <v>74.25</v>
      </c>
      <c r="J188" s="252"/>
      <c r="K188" s="252"/>
      <c r="L188" s="252"/>
      <c r="M188" s="252"/>
      <c r="N188" s="252"/>
      <c r="O188" s="252"/>
      <c r="P188" s="252"/>
      <c r="Q188" s="253"/>
    </row>
    <row r="189" spans="1:17" s="3" customFormat="1" ht="25" customHeight="1" x14ac:dyDescent="0.25">
      <c r="A189" s="349" t="s">
        <v>230</v>
      </c>
      <c r="B189" s="353" t="s">
        <v>419</v>
      </c>
      <c r="C189" s="372">
        <v>3</v>
      </c>
      <c r="D189" s="352">
        <v>1</v>
      </c>
      <c r="E189" s="422">
        <v>3</v>
      </c>
      <c r="F189" s="254">
        <f t="shared" si="25"/>
        <v>222.75</v>
      </c>
      <c r="G189" s="293">
        <v>10</v>
      </c>
      <c r="H189" s="249">
        <f t="shared" ref="H189:H194" si="27">C189*D189*E189*G189</f>
        <v>90</v>
      </c>
      <c r="I189" s="251">
        <f t="shared" si="26"/>
        <v>222.75</v>
      </c>
      <c r="J189" s="252"/>
      <c r="K189" s="252"/>
      <c r="L189" s="252"/>
      <c r="M189" s="252"/>
      <c r="N189" s="252"/>
      <c r="O189" s="252"/>
      <c r="P189" s="252"/>
      <c r="Q189" s="253"/>
    </row>
    <row r="190" spans="1:17" s="3" customFormat="1" ht="25" customHeight="1" x14ac:dyDescent="0.25">
      <c r="A190" s="349" t="s">
        <v>231</v>
      </c>
      <c r="B190" s="353" t="s">
        <v>420</v>
      </c>
      <c r="C190" s="372">
        <v>3</v>
      </c>
      <c r="D190" s="352">
        <v>1</v>
      </c>
      <c r="E190" s="422">
        <v>1</v>
      </c>
      <c r="F190" s="254">
        <f t="shared" si="25"/>
        <v>74.25</v>
      </c>
      <c r="G190" s="293">
        <v>10</v>
      </c>
      <c r="H190" s="249">
        <f t="shared" si="27"/>
        <v>30</v>
      </c>
      <c r="I190" s="251">
        <f t="shared" si="26"/>
        <v>74.25</v>
      </c>
      <c r="J190" s="252"/>
      <c r="K190" s="252"/>
      <c r="L190" s="252"/>
      <c r="M190" s="252"/>
      <c r="N190" s="252"/>
      <c r="O190" s="252"/>
      <c r="P190" s="252"/>
      <c r="Q190" s="253"/>
    </row>
    <row r="191" spans="1:17" s="3" customFormat="1" ht="25" customHeight="1" x14ac:dyDescent="0.25">
      <c r="A191" s="349" t="s">
        <v>282</v>
      </c>
      <c r="B191" s="353" t="s">
        <v>421</v>
      </c>
      <c r="C191" s="372">
        <v>3</v>
      </c>
      <c r="D191" s="352">
        <v>1</v>
      </c>
      <c r="E191" s="422">
        <v>3</v>
      </c>
      <c r="F191" s="254">
        <f t="shared" si="25"/>
        <v>222.75</v>
      </c>
      <c r="G191" s="293">
        <v>10</v>
      </c>
      <c r="H191" s="249">
        <f t="shared" si="27"/>
        <v>90</v>
      </c>
      <c r="I191" s="251">
        <f t="shared" si="26"/>
        <v>222.75</v>
      </c>
      <c r="J191" s="252"/>
      <c r="K191" s="252"/>
      <c r="L191" s="252"/>
      <c r="M191" s="252"/>
      <c r="N191" s="252"/>
      <c r="O191" s="252"/>
      <c r="P191" s="252"/>
      <c r="Q191" s="253"/>
    </row>
    <row r="192" spans="1:17" s="3" customFormat="1" ht="25" customHeight="1" x14ac:dyDescent="0.25">
      <c r="A192" s="354"/>
      <c r="B192" s="424" t="s">
        <v>380</v>
      </c>
      <c r="C192" s="364">
        <f>SUM(C185:C191)</f>
        <v>21</v>
      </c>
      <c r="D192" s="364">
        <f>SUM(D185:D191)</f>
        <v>7</v>
      </c>
      <c r="E192" s="364">
        <f>SUM(E185:E191)</f>
        <v>13</v>
      </c>
      <c r="F192" s="254">
        <f t="shared" si="25"/>
        <v>6756.75</v>
      </c>
      <c r="G192" s="293">
        <v>15</v>
      </c>
      <c r="H192" s="249">
        <f t="shared" si="27"/>
        <v>28665</v>
      </c>
      <c r="I192" s="251">
        <f t="shared" si="26"/>
        <v>6756.75</v>
      </c>
      <c r="J192" s="252"/>
      <c r="K192" s="252"/>
      <c r="L192" s="252"/>
      <c r="M192" s="252"/>
      <c r="N192" s="252"/>
      <c r="O192" s="252"/>
      <c r="P192" s="252"/>
      <c r="Q192" s="253"/>
    </row>
    <row r="193" spans="1:17" s="3" customFormat="1" ht="25" customHeight="1" x14ac:dyDescent="0.25">
      <c r="A193" s="423" t="s">
        <v>8</v>
      </c>
      <c r="B193" s="423" t="s">
        <v>224</v>
      </c>
      <c r="C193" s="352"/>
      <c r="D193" s="352"/>
      <c r="E193" s="352"/>
      <c r="F193" s="254">
        <f t="shared" si="25"/>
        <v>0</v>
      </c>
      <c r="G193" s="293">
        <v>10</v>
      </c>
      <c r="H193" s="249">
        <f t="shared" si="27"/>
        <v>0</v>
      </c>
      <c r="I193" s="251">
        <f t="shared" si="26"/>
        <v>0</v>
      </c>
      <c r="J193" s="252"/>
      <c r="K193" s="252"/>
      <c r="L193" s="252"/>
      <c r="M193" s="252"/>
      <c r="N193" s="252"/>
      <c r="O193" s="252"/>
      <c r="P193" s="252"/>
      <c r="Q193" s="253"/>
    </row>
    <row r="194" spans="1:17" s="3" customFormat="1" ht="25" customHeight="1" x14ac:dyDescent="0.25">
      <c r="A194" s="423">
        <v>1</v>
      </c>
      <c r="B194" s="357" t="s">
        <v>225</v>
      </c>
      <c r="C194" s="352"/>
      <c r="D194" s="352"/>
      <c r="E194" s="352"/>
      <c r="F194" s="254">
        <f t="shared" si="25"/>
        <v>0</v>
      </c>
      <c r="G194" s="293">
        <v>15</v>
      </c>
      <c r="H194" s="249">
        <f t="shared" si="27"/>
        <v>0</v>
      </c>
      <c r="I194" s="251">
        <f t="shared" si="26"/>
        <v>0</v>
      </c>
      <c r="J194" s="252"/>
      <c r="K194" s="252"/>
      <c r="L194" s="252"/>
      <c r="M194" s="252"/>
      <c r="N194" s="252"/>
      <c r="O194" s="252"/>
      <c r="P194" s="252"/>
      <c r="Q194" s="253"/>
    </row>
    <row r="195" spans="1:17" s="3" customFormat="1" ht="25" customHeight="1" x14ac:dyDescent="0.25">
      <c r="A195" s="423" t="s">
        <v>147</v>
      </c>
      <c r="B195" s="357" t="s">
        <v>163</v>
      </c>
      <c r="C195" s="352"/>
      <c r="D195" s="352"/>
      <c r="E195" s="352"/>
      <c r="F195" s="271">
        <f>SUM(F188:F194)</f>
        <v>7350.75</v>
      </c>
      <c r="G195" s="279">
        <f>SUM(G188:G194)</f>
        <v>85</v>
      </c>
      <c r="H195" s="279">
        <f>SUM(H188:H194)</f>
        <v>28920</v>
      </c>
      <c r="I195" s="279">
        <f>SUM(I188:I194)</f>
        <v>7350.75</v>
      </c>
      <c r="J195" s="252"/>
      <c r="K195" s="252"/>
      <c r="L195" s="252"/>
      <c r="M195" s="252"/>
      <c r="N195" s="252"/>
      <c r="O195" s="252"/>
      <c r="P195" s="252"/>
      <c r="Q195" s="253"/>
    </row>
    <row r="196" spans="1:17" s="3" customFormat="1" ht="25" customHeight="1" x14ac:dyDescent="0.25">
      <c r="A196" s="354" t="s">
        <v>226</v>
      </c>
      <c r="B196" s="350" t="s">
        <v>687</v>
      </c>
      <c r="C196" s="422">
        <v>5</v>
      </c>
      <c r="D196" s="352">
        <v>1</v>
      </c>
      <c r="E196" s="352">
        <v>25</v>
      </c>
      <c r="F196" s="295"/>
      <c r="G196" s="295"/>
      <c r="H196" s="295"/>
      <c r="I196" s="296"/>
      <c r="J196" s="296"/>
      <c r="K196" s="296"/>
      <c r="L196" s="296"/>
      <c r="M196" s="296"/>
      <c r="N196" s="296"/>
      <c r="O196" s="296"/>
      <c r="P196" s="296"/>
      <c r="Q196" s="297"/>
    </row>
    <row r="197" spans="1:17" s="3" customFormat="1" ht="25" customHeight="1" x14ac:dyDescent="0.25">
      <c r="A197" s="354" t="s">
        <v>227</v>
      </c>
      <c r="B197" s="350" t="s">
        <v>688</v>
      </c>
      <c r="C197" s="422">
        <v>5</v>
      </c>
      <c r="D197" s="352">
        <v>1</v>
      </c>
      <c r="E197" s="352">
        <v>26</v>
      </c>
      <c r="F197" s="295"/>
      <c r="G197" s="295"/>
      <c r="H197" s="295"/>
      <c r="I197" s="296"/>
      <c r="J197" s="296"/>
      <c r="K197" s="296"/>
      <c r="L197" s="296"/>
      <c r="M197" s="296"/>
      <c r="N197" s="296"/>
      <c r="O197" s="296"/>
      <c r="P197" s="296"/>
      <c r="Q197" s="297"/>
    </row>
    <row r="198" spans="1:17" s="3" customFormat="1" ht="25" customHeight="1" x14ac:dyDescent="0.25">
      <c r="A198" s="354"/>
      <c r="B198" s="361" t="s">
        <v>380</v>
      </c>
      <c r="C198" s="364">
        <f>SUM(C196:C197)</f>
        <v>10</v>
      </c>
      <c r="D198" s="364">
        <f>SUM(D196:D197)</f>
        <v>2</v>
      </c>
      <c r="E198" s="364">
        <f>SUM(E196:E197)</f>
        <v>51</v>
      </c>
      <c r="F198" s="295"/>
      <c r="G198" s="295"/>
      <c r="H198" s="295"/>
      <c r="I198" s="296"/>
      <c r="J198" s="296"/>
      <c r="K198" s="296"/>
      <c r="L198" s="296"/>
      <c r="M198" s="296"/>
      <c r="N198" s="296"/>
      <c r="O198" s="296"/>
      <c r="P198" s="296"/>
      <c r="Q198" s="297"/>
    </row>
    <row r="199" spans="1:17" s="3" customFormat="1" ht="25" customHeight="1" x14ac:dyDescent="0.25">
      <c r="A199" s="393"/>
      <c r="B199" s="398" t="s">
        <v>424</v>
      </c>
      <c r="C199" s="388">
        <f>C182+C192+C198</f>
        <v>58</v>
      </c>
      <c r="D199" s="388">
        <f>D182+D192+D198</f>
        <v>20.8</v>
      </c>
      <c r="E199" s="388">
        <f>E182+E192+E198</f>
        <v>116</v>
      </c>
      <c r="F199" s="254">
        <f>I199+J199+K199</f>
        <v>111012</v>
      </c>
      <c r="G199" s="295">
        <v>50</v>
      </c>
      <c r="H199" s="249">
        <f>C199*D199*E199*G199</f>
        <v>6997120.0000000009</v>
      </c>
      <c r="I199" s="251">
        <f>IF(G199&lt;70, C199*E199*16.5*1, C199*E199*16.5*1.3)</f>
        <v>111012</v>
      </c>
      <c r="J199" s="296"/>
      <c r="K199" s="296"/>
      <c r="L199" s="296"/>
      <c r="M199" s="296"/>
      <c r="N199" s="296"/>
      <c r="O199" s="296"/>
      <c r="P199" s="296"/>
      <c r="Q199" s="297"/>
    </row>
    <row r="200" spans="1:17" s="3" customFormat="1" ht="25" customHeight="1" x14ac:dyDescent="0.25">
      <c r="A200" s="288" t="s">
        <v>431</v>
      </c>
      <c r="B200" s="323" t="s">
        <v>432</v>
      </c>
      <c r="C200" s="287"/>
      <c r="D200" s="287"/>
      <c r="E200" s="287"/>
      <c r="F200" s="318"/>
      <c r="G200" s="287"/>
      <c r="H200" s="287"/>
      <c r="I200" s="287"/>
      <c r="J200" s="252"/>
      <c r="K200" s="252"/>
      <c r="L200" s="252"/>
      <c r="M200" s="252"/>
      <c r="N200" s="252"/>
      <c r="O200" s="252"/>
      <c r="P200" s="252"/>
      <c r="Q200" s="253"/>
    </row>
    <row r="201" spans="1:17" s="3" customFormat="1" ht="25" customHeight="1" x14ac:dyDescent="0.25">
      <c r="A201" s="288" t="s">
        <v>7</v>
      </c>
      <c r="B201" s="288" t="s">
        <v>223</v>
      </c>
      <c r="C201" s="287"/>
      <c r="D201" s="287"/>
      <c r="E201" s="287"/>
      <c r="F201" s="318"/>
      <c r="G201" s="287"/>
      <c r="H201" s="287"/>
      <c r="I201" s="287"/>
      <c r="J201" s="252"/>
      <c r="K201" s="252"/>
      <c r="L201" s="252"/>
      <c r="M201" s="252"/>
      <c r="N201" s="252"/>
      <c r="O201" s="252"/>
      <c r="P201" s="252"/>
      <c r="Q201" s="253"/>
    </row>
    <row r="202" spans="1:17" s="3" customFormat="1" ht="25" customHeight="1" x14ac:dyDescent="0.25">
      <c r="A202" s="288">
        <v>1</v>
      </c>
      <c r="B202" s="288" t="s">
        <v>4</v>
      </c>
      <c r="C202" s="287"/>
      <c r="D202" s="287"/>
      <c r="E202" s="287"/>
      <c r="F202" s="318"/>
      <c r="G202" s="287"/>
      <c r="H202" s="287"/>
      <c r="I202" s="287"/>
      <c r="J202" s="252"/>
      <c r="K202" s="252"/>
      <c r="L202" s="252"/>
      <c r="M202" s="252"/>
      <c r="N202" s="252"/>
      <c r="O202" s="252"/>
      <c r="P202" s="252"/>
      <c r="Q202" s="253"/>
    </row>
    <row r="203" spans="1:17" s="3" customFormat="1" ht="25" customHeight="1" x14ac:dyDescent="0.25">
      <c r="A203" s="349" t="s">
        <v>226</v>
      </c>
      <c r="B203" s="350" t="s">
        <v>689</v>
      </c>
      <c r="C203" s="351">
        <v>4</v>
      </c>
      <c r="D203" s="351">
        <v>1</v>
      </c>
      <c r="E203" s="351">
        <v>10</v>
      </c>
      <c r="F203" s="295"/>
      <c r="G203" s="291"/>
      <c r="H203" s="291"/>
      <c r="I203" s="298"/>
      <c r="J203" s="252"/>
      <c r="K203" s="252"/>
      <c r="L203" s="252"/>
      <c r="M203" s="252"/>
      <c r="N203" s="252"/>
      <c r="O203" s="252"/>
      <c r="P203" s="252"/>
      <c r="Q203" s="253"/>
    </row>
    <row r="204" spans="1:17" s="3" customFormat="1" ht="25" customHeight="1" x14ac:dyDescent="0.25">
      <c r="A204" s="349" t="s">
        <v>227</v>
      </c>
      <c r="B204" s="350" t="s">
        <v>690</v>
      </c>
      <c r="C204" s="352">
        <v>3</v>
      </c>
      <c r="D204" s="352">
        <v>1</v>
      </c>
      <c r="E204" s="352">
        <v>4</v>
      </c>
      <c r="F204" s="254">
        <f t="shared" ref="F204:F210" si="28">I204+J204+K204</f>
        <v>257.40000000000003</v>
      </c>
      <c r="G204" s="299">
        <v>70</v>
      </c>
      <c r="H204" s="249">
        <f t="shared" ref="H204:H210" si="29">C204*D204*E204*G204</f>
        <v>840</v>
      </c>
      <c r="I204" s="251">
        <f t="shared" ref="I204:I210" si="30">IF(G204&lt;70, C204*E204*16.5*1, C204*E204*16.5*1.3)</f>
        <v>257.40000000000003</v>
      </c>
      <c r="J204" s="252"/>
      <c r="K204" s="252"/>
      <c r="L204" s="252"/>
      <c r="M204" s="252"/>
      <c r="N204" s="252"/>
      <c r="O204" s="252"/>
      <c r="P204" s="252"/>
      <c r="Q204" s="253"/>
    </row>
    <row r="205" spans="1:17" s="3" customFormat="1" ht="25" customHeight="1" x14ac:dyDescent="0.25">
      <c r="A205" s="349" t="s">
        <v>228</v>
      </c>
      <c r="B205" s="350" t="s">
        <v>426</v>
      </c>
      <c r="C205" s="352">
        <v>3</v>
      </c>
      <c r="D205" s="352">
        <v>1</v>
      </c>
      <c r="E205" s="352">
        <v>3</v>
      </c>
      <c r="F205" s="254">
        <f t="shared" si="28"/>
        <v>193.05</v>
      </c>
      <c r="G205" s="295">
        <v>70</v>
      </c>
      <c r="H205" s="249">
        <f t="shared" si="29"/>
        <v>630</v>
      </c>
      <c r="I205" s="251">
        <f t="shared" si="30"/>
        <v>193.05</v>
      </c>
      <c r="J205" s="252"/>
      <c r="K205" s="252"/>
      <c r="L205" s="252"/>
      <c r="M205" s="252"/>
      <c r="N205" s="252"/>
      <c r="O205" s="252"/>
      <c r="P205" s="252"/>
      <c r="Q205" s="253"/>
    </row>
    <row r="206" spans="1:17" s="3" customFormat="1" ht="25" customHeight="1" x14ac:dyDescent="0.25">
      <c r="A206" s="349" t="s">
        <v>229</v>
      </c>
      <c r="B206" s="350" t="s">
        <v>427</v>
      </c>
      <c r="C206" s="352">
        <v>4</v>
      </c>
      <c r="D206" s="352">
        <v>1</v>
      </c>
      <c r="E206" s="352">
        <v>3</v>
      </c>
      <c r="F206" s="254">
        <f t="shared" si="28"/>
        <v>257.40000000000003</v>
      </c>
      <c r="G206" s="295">
        <v>70</v>
      </c>
      <c r="H206" s="249">
        <f t="shared" si="29"/>
        <v>840</v>
      </c>
      <c r="I206" s="251">
        <f t="shared" si="30"/>
        <v>257.40000000000003</v>
      </c>
      <c r="J206" s="252"/>
      <c r="K206" s="252"/>
      <c r="L206" s="252"/>
      <c r="M206" s="252"/>
      <c r="N206" s="252"/>
      <c r="O206" s="252"/>
      <c r="P206" s="252"/>
      <c r="Q206" s="253"/>
    </row>
    <row r="207" spans="1:17" s="3" customFormat="1" ht="25" customHeight="1" x14ac:dyDescent="0.25">
      <c r="A207" s="349" t="s">
        <v>230</v>
      </c>
      <c r="B207" s="350" t="s">
        <v>428</v>
      </c>
      <c r="C207" s="352">
        <v>4</v>
      </c>
      <c r="D207" s="352">
        <v>1</v>
      </c>
      <c r="E207" s="352">
        <v>4</v>
      </c>
      <c r="F207" s="254">
        <f t="shared" si="28"/>
        <v>343.2</v>
      </c>
      <c r="G207" s="295">
        <v>70</v>
      </c>
      <c r="H207" s="249">
        <f t="shared" si="29"/>
        <v>1120</v>
      </c>
      <c r="I207" s="251">
        <f t="shared" si="30"/>
        <v>343.2</v>
      </c>
      <c r="J207" s="252"/>
      <c r="K207" s="252"/>
      <c r="L207" s="252"/>
      <c r="M207" s="252"/>
      <c r="N207" s="252"/>
      <c r="O207" s="252"/>
      <c r="P207" s="252"/>
      <c r="Q207" s="253"/>
    </row>
    <row r="208" spans="1:17" s="3" customFormat="1" ht="25" customHeight="1" x14ac:dyDescent="0.25">
      <c r="A208" s="349" t="s">
        <v>231</v>
      </c>
      <c r="B208" s="353" t="s">
        <v>429</v>
      </c>
      <c r="C208" s="352">
        <v>4</v>
      </c>
      <c r="D208" s="352">
        <v>1</v>
      </c>
      <c r="E208" s="352">
        <v>1</v>
      </c>
      <c r="F208" s="254">
        <f t="shared" si="28"/>
        <v>85.8</v>
      </c>
      <c r="G208" s="295">
        <v>70</v>
      </c>
      <c r="H208" s="249">
        <f t="shared" si="29"/>
        <v>280</v>
      </c>
      <c r="I208" s="251">
        <f t="shared" si="30"/>
        <v>85.8</v>
      </c>
      <c r="J208" s="252"/>
      <c r="K208" s="252"/>
      <c r="L208" s="252"/>
      <c r="M208" s="252"/>
      <c r="N208" s="252"/>
      <c r="O208" s="252"/>
      <c r="P208" s="252"/>
      <c r="Q208" s="253"/>
    </row>
    <row r="209" spans="1:17" s="3" customFormat="1" ht="25" customHeight="1" x14ac:dyDescent="0.25">
      <c r="A209" s="349" t="s">
        <v>691</v>
      </c>
      <c r="B209" s="353" t="s">
        <v>692</v>
      </c>
      <c r="C209" s="352">
        <v>2</v>
      </c>
      <c r="D209" s="352">
        <v>1</v>
      </c>
      <c r="E209" s="352">
        <v>4</v>
      </c>
      <c r="F209" s="254">
        <f t="shared" si="28"/>
        <v>171.6</v>
      </c>
      <c r="G209" s="295">
        <v>70</v>
      </c>
      <c r="H209" s="249">
        <f t="shared" si="29"/>
        <v>560</v>
      </c>
      <c r="I209" s="251">
        <f t="shared" si="30"/>
        <v>171.6</v>
      </c>
      <c r="J209" s="252"/>
      <c r="K209" s="252"/>
      <c r="L209" s="252"/>
      <c r="M209" s="252"/>
      <c r="N209" s="252"/>
      <c r="O209" s="252"/>
      <c r="P209" s="252"/>
      <c r="Q209" s="253"/>
    </row>
    <row r="210" spans="1:17" s="3" customFormat="1" ht="25" customHeight="1" x14ac:dyDescent="0.25">
      <c r="A210" s="349" t="s">
        <v>693</v>
      </c>
      <c r="B210" s="353" t="s">
        <v>694</v>
      </c>
      <c r="C210" s="352">
        <v>2</v>
      </c>
      <c r="D210" s="352">
        <v>1</v>
      </c>
      <c r="E210" s="352">
        <v>10</v>
      </c>
      <c r="F210" s="254">
        <f t="shared" si="28"/>
        <v>429</v>
      </c>
      <c r="G210" s="295">
        <v>70</v>
      </c>
      <c r="H210" s="249">
        <f t="shared" si="29"/>
        <v>1400</v>
      </c>
      <c r="I210" s="251">
        <f t="shared" si="30"/>
        <v>429</v>
      </c>
      <c r="J210" s="252"/>
      <c r="K210" s="252"/>
      <c r="L210" s="252"/>
      <c r="M210" s="252"/>
      <c r="N210" s="252"/>
      <c r="O210" s="252"/>
      <c r="P210" s="252"/>
      <c r="Q210" s="253"/>
    </row>
    <row r="211" spans="1:17" s="3" customFormat="1" ht="25" customHeight="1" x14ac:dyDescent="0.25">
      <c r="A211" s="349" t="s">
        <v>282</v>
      </c>
      <c r="B211" s="353" t="s">
        <v>430</v>
      </c>
      <c r="C211" s="352">
        <v>3</v>
      </c>
      <c r="D211" s="352">
        <v>1</v>
      </c>
      <c r="E211" s="352">
        <v>4</v>
      </c>
      <c r="F211" s="271">
        <f>SUM(F204:F210)</f>
        <v>1737.45</v>
      </c>
      <c r="G211" s="279">
        <f>SUM(G204:G210)</f>
        <v>490</v>
      </c>
      <c r="H211" s="279">
        <f>SUM(H204:H210)</f>
        <v>5670</v>
      </c>
      <c r="I211" s="279">
        <f>SUM(I204:I210)</f>
        <v>1737.45</v>
      </c>
      <c r="J211" s="252"/>
      <c r="K211" s="252"/>
      <c r="L211" s="252"/>
      <c r="M211" s="252"/>
      <c r="N211" s="252"/>
      <c r="O211" s="252"/>
      <c r="P211" s="252"/>
      <c r="Q211" s="253"/>
    </row>
    <row r="212" spans="1:17" s="3" customFormat="1" ht="25" customHeight="1" x14ac:dyDescent="0.25">
      <c r="A212" s="354"/>
      <c r="B212" s="361" t="s">
        <v>380</v>
      </c>
      <c r="C212" s="364">
        <f>SUM(C203:C211)</f>
        <v>29</v>
      </c>
      <c r="D212" s="364">
        <f>SUM(D203:D211)</f>
        <v>9</v>
      </c>
      <c r="E212" s="364">
        <f>SUM(E203:E211)</f>
        <v>43</v>
      </c>
      <c r="F212" s="295"/>
      <c r="G212" s="295"/>
      <c r="H212" s="295"/>
      <c r="I212" s="296"/>
      <c r="J212" s="296"/>
      <c r="K212" s="296"/>
      <c r="L212" s="296"/>
      <c r="M212" s="296"/>
      <c r="N212" s="252"/>
      <c r="O212" s="252"/>
      <c r="P212" s="252"/>
      <c r="Q212" s="253"/>
    </row>
    <row r="213" spans="1:17" s="3" customFormat="1" ht="25" customHeight="1" x14ac:dyDescent="0.25">
      <c r="A213" s="359" t="s">
        <v>148</v>
      </c>
      <c r="B213" s="360" t="s">
        <v>151</v>
      </c>
      <c r="C213" s="352"/>
      <c r="D213" s="352"/>
      <c r="E213" s="352"/>
      <c r="F213" s="295"/>
      <c r="G213" s="295"/>
      <c r="H213" s="295"/>
      <c r="I213" s="296"/>
      <c r="J213" s="296"/>
      <c r="K213" s="296"/>
      <c r="L213" s="296"/>
      <c r="M213" s="296"/>
      <c r="N213" s="252"/>
      <c r="O213" s="252"/>
      <c r="P213" s="252"/>
      <c r="Q213" s="253"/>
    </row>
    <row r="214" spans="1:17" s="3" customFormat="1" ht="25" customHeight="1" x14ac:dyDescent="0.25">
      <c r="A214" s="354" t="s">
        <v>232</v>
      </c>
      <c r="B214" s="349" t="s">
        <v>154</v>
      </c>
      <c r="C214" s="352"/>
      <c r="D214" s="352"/>
      <c r="E214" s="352"/>
      <c r="F214" s="295"/>
      <c r="G214" s="295"/>
      <c r="H214" s="295"/>
      <c r="I214" s="296"/>
      <c r="J214" s="296"/>
      <c r="K214" s="296"/>
      <c r="L214" s="296"/>
      <c r="M214" s="296"/>
      <c r="N214" s="252"/>
      <c r="O214" s="252"/>
      <c r="P214" s="252"/>
      <c r="Q214" s="253"/>
    </row>
    <row r="215" spans="1:17" s="3" customFormat="1" ht="25" customHeight="1" x14ac:dyDescent="0.25">
      <c r="A215" s="354" t="s">
        <v>233</v>
      </c>
      <c r="B215" s="349" t="s">
        <v>153</v>
      </c>
      <c r="C215" s="352"/>
      <c r="D215" s="352"/>
      <c r="E215" s="352"/>
      <c r="F215" s="295"/>
      <c r="G215" s="295"/>
      <c r="H215" s="295"/>
      <c r="I215" s="296"/>
      <c r="J215" s="296"/>
      <c r="K215" s="296"/>
      <c r="L215" s="296"/>
      <c r="M215" s="296"/>
      <c r="N215" s="252"/>
      <c r="O215" s="252"/>
      <c r="P215" s="252"/>
      <c r="Q215" s="253"/>
    </row>
    <row r="216" spans="1:17" s="3" customFormat="1" ht="25" customHeight="1" x14ac:dyDescent="0.25">
      <c r="A216" s="354" t="s">
        <v>234</v>
      </c>
      <c r="B216" s="349" t="s">
        <v>155</v>
      </c>
      <c r="C216" s="352"/>
      <c r="D216" s="352"/>
      <c r="E216" s="352"/>
      <c r="F216" s="295"/>
      <c r="G216" s="295"/>
      <c r="H216" s="295"/>
      <c r="I216" s="296"/>
      <c r="J216" s="296"/>
      <c r="K216" s="296"/>
      <c r="L216" s="296"/>
      <c r="M216" s="296"/>
      <c r="N216" s="252"/>
      <c r="O216" s="252"/>
      <c r="P216" s="252"/>
      <c r="Q216" s="253"/>
    </row>
    <row r="217" spans="1:17" s="3" customFormat="1" ht="25" customHeight="1" x14ac:dyDescent="0.25">
      <c r="A217" s="354" t="s">
        <v>235</v>
      </c>
      <c r="B217" s="349" t="s">
        <v>156</v>
      </c>
      <c r="C217" s="352"/>
      <c r="D217" s="352"/>
      <c r="E217" s="352"/>
      <c r="F217" s="295"/>
      <c r="G217" s="295"/>
      <c r="H217" s="295"/>
      <c r="I217" s="296"/>
      <c r="J217" s="296"/>
      <c r="K217" s="296"/>
      <c r="L217" s="296"/>
      <c r="M217" s="296"/>
      <c r="N217" s="252"/>
      <c r="O217" s="252"/>
      <c r="P217" s="252"/>
      <c r="Q217" s="253"/>
    </row>
    <row r="218" spans="1:17" s="3" customFormat="1" ht="25" customHeight="1" x14ac:dyDescent="0.25">
      <c r="A218" s="354" t="s">
        <v>236</v>
      </c>
      <c r="B218" s="349" t="s">
        <v>157</v>
      </c>
      <c r="C218" s="352"/>
      <c r="D218" s="352"/>
      <c r="E218" s="352"/>
      <c r="F218" s="295"/>
      <c r="G218" s="295"/>
      <c r="H218" s="295"/>
      <c r="I218" s="296"/>
      <c r="J218" s="296"/>
      <c r="K218" s="296"/>
      <c r="L218" s="296"/>
      <c r="M218" s="296"/>
      <c r="N218" s="252"/>
      <c r="O218" s="252"/>
      <c r="P218" s="252"/>
      <c r="Q218" s="253"/>
    </row>
    <row r="219" spans="1:17" s="3" customFormat="1" ht="25" customHeight="1" x14ac:dyDescent="0.25">
      <c r="A219" s="423">
        <v>2</v>
      </c>
      <c r="B219" s="423" t="s">
        <v>164</v>
      </c>
      <c r="C219" s="352"/>
      <c r="D219" s="352"/>
      <c r="E219" s="352"/>
      <c r="F219" s="295"/>
      <c r="G219" s="295"/>
      <c r="H219" s="295"/>
      <c r="I219" s="296"/>
      <c r="J219" s="296"/>
      <c r="K219" s="296"/>
      <c r="L219" s="296"/>
      <c r="M219" s="296"/>
      <c r="N219" s="252"/>
      <c r="O219" s="252"/>
      <c r="P219" s="252"/>
      <c r="Q219" s="253"/>
    </row>
    <row r="220" spans="1:17" s="3" customFormat="1" ht="25" customHeight="1" x14ac:dyDescent="0.25">
      <c r="A220" s="356" t="s">
        <v>147</v>
      </c>
      <c r="B220" s="357" t="s">
        <v>165</v>
      </c>
      <c r="C220" s="352"/>
      <c r="D220" s="352"/>
      <c r="E220" s="352"/>
      <c r="F220" s="254">
        <f>I220+J220+K220</f>
        <v>0</v>
      </c>
      <c r="G220" s="295">
        <v>25</v>
      </c>
      <c r="H220" s="249">
        <f>C220*D220*E220*G220</f>
        <v>0</v>
      </c>
      <c r="I220" s="251">
        <f>IF(G220&lt;70, C220*E220*16.5*1.5, C220*E220*16.5*1.5)</f>
        <v>0</v>
      </c>
      <c r="J220" s="296"/>
      <c r="K220" s="296"/>
      <c r="L220" s="296"/>
      <c r="M220" s="296"/>
      <c r="N220" s="252"/>
      <c r="O220" s="252"/>
      <c r="P220" s="252"/>
      <c r="Q220" s="253"/>
    </row>
    <row r="221" spans="1:17" s="3" customFormat="1" ht="25" customHeight="1" x14ac:dyDescent="0.25">
      <c r="A221" s="349" t="s">
        <v>226</v>
      </c>
      <c r="B221" s="350" t="s">
        <v>433</v>
      </c>
      <c r="C221" s="352">
        <v>3</v>
      </c>
      <c r="D221" s="352">
        <v>1</v>
      </c>
      <c r="E221" s="352">
        <v>3</v>
      </c>
      <c r="F221" s="254">
        <f>I221+J221+K221</f>
        <v>222.75</v>
      </c>
      <c r="G221" s="295">
        <v>15</v>
      </c>
      <c r="H221" s="249">
        <f>C221*D221*E221*G221</f>
        <v>135</v>
      </c>
      <c r="I221" s="251">
        <f>IF(G221&lt;70, C221*E221*16.5*1.5, C221*E221*16.5*1.5)</f>
        <v>222.75</v>
      </c>
      <c r="J221" s="296"/>
      <c r="K221" s="296"/>
      <c r="L221" s="296"/>
      <c r="M221" s="296"/>
      <c r="N221" s="252"/>
      <c r="O221" s="252"/>
      <c r="P221" s="252"/>
      <c r="Q221" s="253"/>
    </row>
    <row r="222" spans="1:17" s="3" customFormat="1" ht="25" customHeight="1" x14ac:dyDescent="0.25">
      <c r="A222" s="349" t="s">
        <v>227</v>
      </c>
      <c r="B222" s="350" t="s">
        <v>434</v>
      </c>
      <c r="C222" s="352">
        <v>3</v>
      </c>
      <c r="D222" s="352">
        <v>1</v>
      </c>
      <c r="E222" s="352">
        <v>1</v>
      </c>
      <c r="F222" s="254">
        <f>I222+J222+K222</f>
        <v>74.25</v>
      </c>
      <c r="G222" s="295">
        <v>25</v>
      </c>
      <c r="H222" s="249">
        <f>C222*D222*E222*G222</f>
        <v>75</v>
      </c>
      <c r="I222" s="251">
        <f>IF(G222&lt;70, C222*E222*16.5*1.5, C222*E222*16.5*1.5)</f>
        <v>74.25</v>
      </c>
      <c r="J222" s="296"/>
      <c r="K222" s="296"/>
      <c r="L222" s="296"/>
      <c r="M222" s="296"/>
      <c r="N222" s="252"/>
      <c r="O222" s="252"/>
      <c r="P222" s="252"/>
      <c r="Q222" s="253"/>
    </row>
    <row r="223" spans="1:17" s="3" customFormat="1" ht="25" customHeight="1" x14ac:dyDescent="0.25">
      <c r="A223" s="349"/>
      <c r="B223" s="350" t="s">
        <v>695</v>
      </c>
      <c r="C223" s="352">
        <v>3</v>
      </c>
      <c r="D223" s="352">
        <v>1</v>
      </c>
      <c r="E223" s="352">
        <v>1</v>
      </c>
      <c r="F223" s="295">
        <f>SUM(F220:F222)</f>
        <v>297</v>
      </c>
      <c r="G223" s="291">
        <f>SUM(G220:G222)</f>
        <v>65</v>
      </c>
      <c r="H223" s="291">
        <f>SUM(H220:H222)</f>
        <v>210</v>
      </c>
      <c r="I223" s="291">
        <f>SUM(I220:I222)</f>
        <v>297</v>
      </c>
      <c r="J223" s="296"/>
      <c r="K223" s="296"/>
      <c r="L223" s="296"/>
      <c r="M223" s="296"/>
      <c r="N223" s="252"/>
      <c r="O223" s="252"/>
      <c r="P223" s="252"/>
      <c r="Q223" s="253"/>
    </row>
    <row r="224" spans="1:17" s="3" customFormat="1" ht="25" customHeight="1" x14ac:dyDescent="0.25">
      <c r="A224" s="349" t="s">
        <v>228</v>
      </c>
      <c r="B224" s="350" t="s">
        <v>435</v>
      </c>
      <c r="C224" s="352">
        <v>3</v>
      </c>
      <c r="D224" s="352">
        <v>1</v>
      </c>
      <c r="E224" s="352">
        <v>3</v>
      </c>
      <c r="F224" s="295"/>
      <c r="G224" s="295"/>
      <c r="H224" s="295"/>
      <c r="I224" s="296"/>
      <c r="J224" s="296"/>
      <c r="K224" s="296"/>
      <c r="L224" s="296"/>
      <c r="M224" s="296"/>
      <c r="N224" s="252"/>
      <c r="O224" s="252"/>
      <c r="P224" s="252"/>
      <c r="Q224" s="253"/>
    </row>
    <row r="225" spans="1:17" s="3" customFormat="1" ht="25" customHeight="1" x14ac:dyDescent="0.25">
      <c r="A225" s="349"/>
      <c r="B225" s="389" t="s">
        <v>380</v>
      </c>
      <c r="C225" s="364">
        <f>SUM(C221:C224)</f>
        <v>12</v>
      </c>
      <c r="D225" s="364">
        <f>SUM(D221:D224)</f>
        <v>4</v>
      </c>
      <c r="E225" s="364">
        <f>SUM(E221:E224)</f>
        <v>8</v>
      </c>
      <c r="F225" s="295"/>
      <c r="G225" s="295"/>
      <c r="H225" s="295"/>
      <c r="I225" s="296"/>
      <c r="J225" s="296"/>
      <c r="K225" s="296"/>
      <c r="L225" s="296"/>
      <c r="M225" s="296"/>
      <c r="N225" s="252"/>
      <c r="O225" s="252"/>
      <c r="P225" s="252"/>
      <c r="Q225" s="253"/>
    </row>
    <row r="226" spans="1:17" s="3" customFormat="1" ht="25" customHeight="1" x14ac:dyDescent="0.25">
      <c r="A226" s="359" t="s">
        <v>148</v>
      </c>
      <c r="B226" s="360" t="s">
        <v>696</v>
      </c>
      <c r="C226" s="352"/>
      <c r="D226" s="352"/>
      <c r="E226" s="352"/>
      <c r="F226" s="295"/>
      <c r="G226" s="295"/>
      <c r="H226" s="295"/>
      <c r="I226" s="296"/>
      <c r="J226" s="296"/>
      <c r="K226" s="296"/>
      <c r="L226" s="296"/>
      <c r="M226" s="296"/>
      <c r="N226" s="252"/>
      <c r="O226" s="252"/>
      <c r="P226" s="252"/>
      <c r="Q226" s="253"/>
    </row>
    <row r="227" spans="1:17" s="3" customFormat="1" ht="25" customHeight="1" x14ac:dyDescent="0.25">
      <c r="A227" s="423">
        <v>3</v>
      </c>
      <c r="B227" s="423" t="s">
        <v>166</v>
      </c>
      <c r="C227" s="352"/>
      <c r="D227" s="352"/>
      <c r="E227" s="352"/>
      <c r="F227" s="295"/>
      <c r="G227" s="295"/>
      <c r="H227" s="295"/>
      <c r="I227" s="296"/>
      <c r="J227" s="296"/>
      <c r="K227" s="296"/>
      <c r="L227" s="296"/>
      <c r="M227" s="296"/>
      <c r="N227" s="252"/>
      <c r="O227" s="252"/>
      <c r="P227" s="252"/>
      <c r="Q227" s="253"/>
    </row>
    <row r="228" spans="1:17" s="3" customFormat="1" ht="25" customHeight="1" x14ac:dyDescent="0.25">
      <c r="A228" s="356" t="s">
        <v>147</v>
      </c>
      <c r="B228" s="357" t="s">
        <v>167</v>
      </c>
      <c r="C228" s="352"/>
      <c r="D228" s="352"/>
      <c r="E228" s="352"/>
      <c r="F228" s="295"/>
      <c r="G228" s="295"/>
      <c r="H228" s="295"/>
      <c r="I228" s="296"/>
      <c r="J228" s="296"/>
      <c r="K228" s="296"/>
      <c r="L228" s="296"/>
      <c r="M228" s="296"/>
      <c r="N228" s="252"/>
      <c r="O228" s="252"/>
      <c r="P228" s="252"/>
      <c r="Q228" s="253"/>
    </row>
    <row r="229" spans="1:17" s="3" customFormat="1" ht="25" customHeight="1" x14ac:dyDescent="0.25">
      <c r="A229" s="359" t="s">
        <v>148</v>
      </c>
      <c r="B229" s="360" t="s">
        <v>168</v>
      </c>
      <c r="C229" s="352"/>
      <c r="D229" s="352"/>
      <c r="E229" s="352"/>
      <c r="F229" s="295">
        <f>F224+F227+F228</f>
        <v>0</v>
      </c>
      <c r="G229" s="291">
        <f>G224+G227+G228</f>
        <v>0</v>
      </c>
      <c r="H229" s="291">
        <f>H224+H227+H228</f>
        <v>0</v>
      </c>
      <c r="I229" s="291">
        <f>I224+I227+I228</f>
        <v>0</v>
      </c>
      <c r="J229" s="296"/>
      <c r="K229" s="296"/>
      <c r="L229" s="296"/>
      <c r="M229" s="296"/>
      <c r="N229" s="252"/>
      <c r="O229" s="252"/>
      <c r="P229" s="252"/>
      <c r="Q229" s="253"/>
    </row>
    <row r="230" spans="1:17" s="3" customFormat="1" ht="25" customHeight="1" x14ac:dyDescent="0.25">
      <c r="A230" s="359" t="s">
        <v>169</v>
      </c>
      <c r="B230" s="360" t="s">
        <v>170</v>
      </c>
      <c r="C230" s="352"/>
      <c r="D230" s="352"/>
      <c r="E230" s="352"/>
      <c r="F230" s="295"/>
      <c r="G230" s="295"/>
      <c r="H230" s="295"/>
      <c r="I230" s="296"/>
      <c r="J230" s="296"/>
      <c r="K230" s="296"/>
      <c r="L230" s="296"/>
      <c r="M230" s="296"/>
      <c r="N230" s="252"/>
      <c r="O230" s="252"/>
      <c r="P230" s="252"/>
      <c r="Q230" s="253"/>
    </row>
    <row r="231" spans="1:17" s="3" customFormat="1" ht="25" customHeight="1" x14ac:dyDescent="0.25">
      <c r="A231" s="354"/>
      <c r="B231" s="361" t="s">
        <v>438</v>
      </c>
      <c r="C231" s="364">
        <f>C229+C230</f>
        <v>0</v>
      </c>
      <c r="D231" s="364">
        <f>D226+D229+D230</f>
        <v>0</v>
      </c>
      <c r="E231" s="364">
        <f>E226+E229+E230</f>
        <v>0</v>
      </c>
      <c r="F231" s="295"/>
      <c r="G231" s="295"/>
      <c r="H231" s="295"/>
      <c r="I231" s="296"/>
      <c r="J231" s="296"/>
      <c r="K231" s="296"/>
      <c r="L231" s="296"/>
      <c r="M231" s="296"/>
      <c r="N231" s="252"/>
      <c r="O231" s="252"/>
      <c r="P231" s="252"/>
      <c r="Q231" s="253"/>
    </row>
    <row r="232" spans="1:17" s="3" customFormat="1" ht="25" customHeight="1" x14ac:dyDescent="0.25">
      <c r="A232" s="423" t="s">
        <v>8</v>
      </c>
      <c r="B232" s="423" t="s">
        <v>224</v>
      </c>
      <c r="C232" s="352"/>
      <c r="D232" s="352"/>
      <c r="E232" s="352"/>
      <c r="F232" s="295"/>
      <c r="G232" s="295"/>
      <c r="H232" s="295"/>
      <c r="I232" s="296"/>
      <c r="J232" s="296"/>
      <c r="K232" s="296"/>
      <c r="L232" s="296"/>
      <c r="M232" s="296"/>
      <c r="N232" s="252"/>
      <c r="O232" s="252"/>
      <c r="P232" s="252"/>
      <c r="Q232" s="253"/>
    </row>
    <row r="233" spans="1:17" s="3" customFormat="1" ht="25" customHeight="1" x14ac:dyDescent="0.25">
      <c r="A233" s="423">
        <v>1</v>
      </c>
      <c r="B233" s="357" t="s">
        <v>225</v>
      </c>
      <c r="C233" s="352"/>
      <c r="D233" s="352"/>
      <c r="E233" s="352"/>
      <c r="F233" s="254">
        <f t="shared" ref="F233:F238" si="31">I233+J233+K233</f>
        <v>0</v>
      </c>
      <c r="G233" s="295">
        <v>60</v>
      </c>
      <c r="H233" s="249">
        <f t="shared" ref="H233:H238" si="32">C233*D233*E233*G233</f>
        <v>0</v>
      </c>
      <c r="I233" s="251">
        <f t="shared" ref="I233:I238" si="33">IF(G233&lt;70, C233*E233*16.5*1, C233*E233*16.5*1.3)</f>
        <v>0</v>
      </c>
      <c r="J233" s="296"/>
      <c r="K233" s="296"/>
      <c r="L233" s="296"/>
      <c r="M233" s="296"/>
      <c r="N233" s="252"/>
      <c r="O233" s="252"/>
      <c r="P233" s="252"/>
      <c r="Q233" s="253"/>
    </row>
    <row r="234" spans="1:17" s="3" customFormat="1" ht="25" customHeight="1" x14ac:dyDescent="0.25">
      <c r="A234" s="423" t="s">
        <v>147</v>
      </c>
      <c r="B234" s="357" t="s">
        <v>163</v>
      </c>
      <c r="C234" s="352"/>
      <c r="D234" s="352"/>
      <c r="E234" s="352"/>
      <c r="F234" s="254">
        <f t="shared" si="31"/>
        <v>0</v>
      </c>
      <c r="G234" s="295">
        <v>60</v>
      </c>
      <c r="H234" s="249">
        <f t="shared" si="32"/>
        <v>0</v>
      </c>
      <c r="I234" s="251">
        <f t="shared" si="33"/>
        <v>0</v>
      </c>
      <c r="J234" s="296"/>
      <c r="K234" s="296"/>
      <c r="L234" s="296"/>
      <c r="M234" s="296"/>
      <c r="N234" s="252"/>
      <c r="O234" s="252"/>
      <c r="P234" s="252"/>
      <c r="Q234" s="253"/>
    </row>
    <row r="235" spans="1:17" s="3" customFormat="1" ht="25" customHeight="1" x14ac:dyDescent="0.25">
      <c r="A235" s="354" t="s">
        <v>226</v>
      </c>
      <c r="B235" s="350" t="s">
        <v>697</v>
      </c>
      <c r="C235" s="352">
        <v>5</v>
      </c>
      <c r="D235" s="352">
        <v>1</v>
      </c>
      <c r="E235" s="352">
        <v>16</v>
      </c>
      <c r="F235" s="254">
        <f t="shared" si="31"/>
        <v>1320</v>
      </c>
      <c r="G235" s="295">
        <v>60</v>
      </c>
      <c r="H235" s="249">
        <f t="shared" si="32"/>
        <v>4800</v>
      </c>
      <c r="I235" s="251">
        <f t="shared" si="33"/>
        <v>1320</v>
      </c>
      <c r="J235" s="296"/>
      <c r="K235" s="296"/>
      <c r="L235" s="296"/>
      <c r="M235" s="296"/>
      <c r="N235" s="252"/>
      <c r="O235" s="252"/>
      <c r="P235" s="252"/>
      <c r="Q235" s="253"/>
    </row>
    <row r="236" spans="1:17" s="3" customFormat="1" ht="25" customHeight="1" x14ac:dyDescent="0.25">
      <c r="A236" s="354" t="s">
        <v>227</v>
      </c>
      <c r="B236" s="350" t="s">
        <v>436</v>
      </c>
      <c r="C236" s="352">
        <v>5</v>
      </c>
      <c r="D236" s="352">
        <v>1</v>
      </c>
      <c r="E236" s="352">
        <v>7</v>
      </c>
      <c r="F236" s="254">
        <f t="shared" si="31"/>
        <v>577.5</v>
      </c>
      <c r="G236" s="295">
        <v>60</v>
      </c>
      <c r="H236" s="249">
        <f t="shared" si="32"/>
        <v>2100</v>
      </c>
      <c r="I236" s="251">
        <f t="shared" si="33"/>
        <v>577.5</v>
      </c>
      <c r="J236" s="296"/>
      <c r="K236" s="296"/>
      <c r="L236" s="296"/>
      <c r="M236" s="296"/>
      <c r="N236" s="252"/>
      <c r="O236" s="252"/>
      <c r="P236" s="252"/>
      <c r="Q236" s="253"/>
    </row>
    <row r="237" spans="1:17" s="3" customFormat="1" ht="25" customHeight="1" x14ac:dyDescent="0.25">
      <c r="A237" s="354" t="s">
        <v>228</v>
      </c>
      <c r="B237" s="350" t="s">
        <v>425</v>
      </c>
      <c r="C237" s="352">
        <v>3</v>
      </c>
      <c r="D237" s="352">
        <v>1</v>
      </c>
      <c r="E237" s="352">
        <v>16</v>
      </c>
      <c r="F237" s="254">
        <f t="shared" si="31"/>
        <v>792</v>
      </c>
      <c r="G237" s="259">
        <v>50</v>
      </c>
      <c r="H237" s="249">
        <f t="shared" si="32"/>
        <v>2400</v>
      </c>
      <c r="I237" s="251">
        <f t="shared" si="33"/>
        <v>792</v>
      </c>
      <c r="J237" s="296"/>
      <c r="K237" s="296"/>
      <c r="L237" s="296"/>
      <c r="M237" s="296"/>
      <c r="N237" s="252"/>
      <c r="O237" s="252"/>
      <c r="P237" s="252"/>
      <c r="Q237" s="253"/>
    </row>
    <row r="238" spans="1:17" s="3" customFormat="1" ht="25" customHeight="1" x14ac:dyDescent="0.25">
      <c r="A238" s="354" t="s">
        <v>229</v>
      </c>
      <c r="B238" s="350" t="s">
        <v>437</v>
      </c>
      <c r="C238" s="352">
        <v>3</v>
      </c>
      <c r="D238" s="352">
        <v>1</v>
      </c>
      <c r="E238" s="352">
        <v>7</v>
      </c>
      <c r="F238" s="254">
        <f t="shared" si="31"/>
        <v>346.5</v>
      </c>
      <c r="G238" s="259">
        <v>50</v>
      </c>
      <c r="H238" s="249">
        <f t="shared" si="32"/>
        <v>1050</v>
      </c>
      <c r="I238" s="251">
        <f t="shared" si="33"/>
        <v>346.5</v>
      </c>
      <c r="J238" s="296"/>
      <c r="K238" s="296"/>
      <c r="L238" s="296"/>
      <c r="M238" s="296"/>
      <c r="N238" s="252"/>
      <c r="O238" s="252"/>
      <c r="P238" s="252"/>
      <c r="Q238" s="253"/>
    </row>
    <row r="239" spans="1:17" s="3" customFormat="1" ht="25" customHeight="1" x14ac:dyDescent="0.25">
      <c r="A239" s="354" t="s">
        <v>230</v>
      </c>
      <c r="B239" s="350" t="s">
        <v>505</v>
      </c>
      <c r="C239" s="352">
        <v>5</v>
      </c>
      <c r="D239" s="352">
        <v>1</v>
      </c>
      <c r="E239" s="352">
        <v>7</v>
      </c>
      <c r="F239" s="271">
        <f>SUM(F233:F238)</f>
        <v>3036</v>
      </c>
      <c r="G239" s="279">
        <f>SUM(G233:G238)</f>
        <v>340</v>
      </c>
      <c r="H239" s="279">
        <f>SUM(H233:H238)</f>
        <v>10350</v>
      </c>
      <c r="I239" s="279">
        <f>SUM(I233:I238)</f>
        <v>3036</v>
      </c>
      <c r="J239" s="252"/>
      <c r="K239" s="252"/>
      <c r="L239" s="252"/>
      <c r="M239" s="252"/>
      <c r="N239" s="252"/>
      <c r="O239" s="252"/>
      <c r="P239" s="252"/>
      <c r="Q239" s="253"/>
    </row>
    <row r="240" spans="1:17" s="3" customFormat="1" ht="25" customHeight="1" x14ac:dyDescent="0.25">
      <c r="A240" s="354" t="s">
        <v>231</v>
      </c>
      <c r="B240" s="350" t="s">
        <v>506</v>
      </c>
      <c r="C240" s="352">
        <v>5</v>
      </c>
      <c r="D240" s="352">
        <v>1</v>
      </c>
      <c r="E240" s="352">
        <v>16</v>
      </c>
      <c r="F240" s="317">
        <f>F211+F223+F229+F239</f>
        <v>5070.45</v>
      </c>
      <c r="G240" s="282">
        <f>G211+G223+G229+G239</f>
        <v>895</v>
      </c>
      <c r="H240" s="282">
        <f>H211+H223+H229+H239</f>
        <v>16230</v>
      </c>
      <c r="I240" s="282">
        <f>I211+I223+I229+I239</f>
        <v>5070.45</v>
      </c>
      <c r="J240" s="300">
        <v>0</v>
      </c>
      <c r="K240" s="301">
        <v>0</v>
      </c>
      <c r="L240" s="264">
        <f>'Bieu3 GDH'!F20</f>
        <v>1080</v>
      </c>
      <c r="M240" s="264">
        <f>'Bieu3 GDH'!N20</f>
        <v>1039.5</v>
      </c>
      <c r="N240" s="260">
        <f>I240-M240</f>
        <v>4030.95</v>
      </c>
      <c r="O240" s="264">
        <f>'Bieu3 GDH'!O20</f>
        <v>805.25</v>
      </c>
      <c r="P240" s="264">
        <f>'Bieu3 GDH'!P20</f>
        <v>370</v>
      </c>
      <c r="Q240" s="265"/>
    </row>
    <row r="241" spans="1:17" s="3" customFormat="1" ht="25" customHeight="1" x14ac:dyDescent="0.25">
      <c r="A241" s="354"/>
      <c r="B241" s="361" t="s">
        <v>380</v>
      </c>
      <c r="C241" s="364">
        <f>SUM(C235:C240)</f>
        <v>26</v>
      </c>
      <c r="D241" s="364">
        <f>SUM(D235:D240)</f>
        <v>6</v>
      </c>
      <c r="E241" s="364">
        <f>SUM(E235:E240)</f>
        <v>69</v>
      </c>
      <c r="F241" s="439"/>
      <c r="G241" s="438"/>
      <c r="H241" s="438"/>
      <c r="I241" s="438"/>
      <c r="J241" s="440"/>
      <c r="K241" s="441"/>
      <c r="L241" s="370"/>
      <c r="M241" s="370"/>
      <c r="N241" s="365"/>
      <c r="O241" s="370"/>
      <c r="P241" s="370"/>
      <c r="Q241" s="371"/>
    </row>
    <row r="242" spans="1:17" s="3" customFormat="1" ht="25" customHeight="1" x14ac:dyDescent="0.25">
      <c r="A242" s="393"/>
      <c r="B242" s="442" t="s">
        <v>439</v>
      </c>
      <c r="C242" s="388">
        <f>C4+C212+C225+C231+C241</f>
        <v>67</v>
      </c>
      <c r="D242" s="388">
        <f>D212+D225+D231+D241</f>
        <v>19</v>
      </c>
      <c r="E242" s="388">
        <f>E212+E225+E231+E241</f>
        <v>120</v>
      </c>
      <c r="F242" s="439"/>
      <c r="G242" s="438"/>
      <c r="H242" s="438"/>
      <c r="I242" s="438"/>
      <c r="J242" s="440"/>
      <c r="K242" s="441"/>
      <c r="L242" s="370"/>
      <c r="M242" s="370"/>
      <c r="N242" s="365"/>
      <c r="O242" s="370"/>
      <c r="P242" s="370"/>
      <c r="Q242" s="371"/>
    </row>
    <row r="243" spans="1:17" s="3" customFormat="1" ht="25" customHeight="1" x14ac:dyDescent="0.25">
      <c r="A243" s="242" t="s">
        <v>6</v>
      </c>
      <c r="B243" s="242" t="s">
        <v>483</v>
      </c>
      <c r="C243" s="243"/>
      <c r="D243" s="243"/>
      <c r="E243" s="243"/>
      <c r="F243" s="315"/>
      <c r="G243" s="243"/>
      <c r="H243" s="243"/>
      <c r="I243" s="243"/>
      <c r="J243" s="243"/>
      <c r="K243" s="283"/>
      <c r="L243" s="284"/>
      <c r="M243" s="257"/>
      <c r="N243" s="257"/>
      <c r="O243" s="257"/>
      <c r="P243" s="257"/>
      <c r="Q243" s="257"/>
    </row>
    <row r="244" spans="1:17" s="3" customFormat="1" ht="25" customHeight="1" x14ac:dyDescent="0.25">
      <c r="A244" s="242" t="s">
        <v>7</v>
      </c>
      <c r="B244" s="242" t="s">
        <v>223</v>
      </c>
      <c r="C244" s="243"/>
      <c r="D244" s="243"/>
      <c r="E244" s="243"/>
      <c r="F244" s="315"/>
      <c r="G244" s="243"/>
      <c r="H244" s="243"/>
      <c r="I244" s="243"/>
      <c r="J244" s="243"/>
      <c r="K244" s="283"/>
      <c r="L244" s="284"/>
      <c r="M244" s="257"/>
      <c r="N244" s="257"/>
      <c r="O244" s="257"/>
      <c r="P244" s="257"/>
      <c r="Q244" s="257"/>
    </row>
    <row r="245" spans="1:17" s="3" customFormat="1" ht="25" customHeight="1" x14ac:dyDescent="0.25">
      <c r="A245" s="242">
        <v>1</v>
      </c>
      <c r="B245" s="242" t="s">
        <v>4</v>
      </c>
      <c r="C245" s="243"/>
      <c r="D245" s="243"/>
      <c r="E245" s="243"/>
      <c r="F245" s="315"/>
      <c r="G245" s="243"/>
      <c r="H245" s="243"/>
      <c r="I245" s="243"/>
      <c r="J245" s="243"/>
      <c r="K245" s="283"/>
      <c r="L245" s="284"/>
      <c r="M245" s="257"/>
      <c r="N245" s="257"/>
      <c r="O245" s="257"/>
      <c r="P245" s="257"/>
      <c r="Q245" s="257"/>
    </row>
    <row r="246" spans="1:17" s="3" customFormat="1" ht="25" customHeight="1" x14ac:dyDescent="0.25">
      <c r="A246" s="244" t="s">
        <v>147</v>
      </c>
      <c r="B246" s="245" t="s">
        <v>161</v>
      </c>
      <c r="C246" s="246"/>
      <c r="D246" s="246"/>
      <c r="E246" s="246"/>
      <c r="F246" s="249"/>
      <c r="G246" s="246"/>
      <c r="H246" s="246"/>
      <c r="I246" s="247"/>
      <c r="J246" s="247"/>
      <c r="K246" s="283"/>
      <c r="L246" s="284"/>
      <c r="M246" s="257"/>
      <c r="N246" s="257"/>
      <c r="O246" s="257"/>
      <c r="P246" s="257"/>
      <c r="Q246" s="257"/>
    </row>
    <row r="247" spans="1:17" s="3" customFormat="1" ht="25" customHeight="1" x14ac:dyDescent="0.25">
      <c r="A247" s="358" t="s">
        <v>226</v>
      </c>
      <c r="B247" s="372" t="s">
        <v>440</v>
      </c>
      <c r="C247" s="352">
        <v>2</v>
      </c>
      <c r="D247" s="351">
        <v>1</v>
      </c>
      <c r="E247" s="352">
        <v>1</v>
      </c>
      <c r="F247" s="254">
        <f t="shared" ref="F247:F272" si="34">I247+J247+K247</f>
        <v>33</v>
      </c>
      <c r="G247" s="249">
        <v>40</v>
      </c>
      <c r="H247" s="249">
        <f t="shared" ref="H247:H271" si="35">C247*D247*E247*G247</f>
        <v>80</v>
      </c>
      <c r="I247" s="251">
        <f t="shared" ref="I247:I272" si="36">IF(G247&lt;70, C247*E247*16.5*1, C247*E247*16.5*1.3)</f>
        <v>33</v>
      </c>
      <c r="J247" s="247"/>
      <c r="K247" s="283"/>
      <c r="L247" s="284"/>
      <c r="M247" s="257"/>
      <c r="N247" s="257"/>
      <c r="O247" s="257"/>
      <c r="P247" s="257"/>
      <c r="Q247" s="257"/>
    </row>
    <row r="248" spans="1:17" s="3" customFormat="1" ht="25" customHeight="1" x14ac:dyDescent="0.25">
      <c r="A248" s="358" t="s">
        <v>227</v>
      </c>
      <c r="B248" s="390" t="s">
        <v>441</v>
      </c>
      <c r="C248" s="352">
        <v>3</v>
      </c>
      <c r="D248" s="352">
        <v>1</v>
      </c>
      <c r="E248" s="352">
        <v>1</v>
      </c>
      <c r="F248" s="254">
        <f t="shared" si="34"/>
        <v>49.5</v>
      </c>
      <c r="G248" s="249">
        <v>20</v>
      </c>
      <c r="H248" s="249">
        <f t="shared" si="35"/>
        <v>60</v>
      </c>
      <c r="I248" s="251">
        <f t="shared" si="36"/>
        <v>49.5</v>
      </c>
      <c r="J248" s="247"/>
      <c r="K248" s="283"/>
      <c r="L248" s="284"/>
      <c r="M248" s="257"/>
      <c r="N248" s="257"/>
      <c r="O248" s="257"/>
      <c r="P248" s="257"/>
      <c r="Q248" s="257"/>
    </row>
    <row r="249" spans="1:17" s="3" customFormat="1" ht="25" customHeight="1" x14ac:dyDescent="0.25">
      <c r="A249" s="358" t="s">
        <v>228</v>
      </c>
      <c r="B249" s="350" t="s">
        <v>442</v>
      </c>
      <c r="C249" s="352">
        <v>2</v>
      </c>
      <c r="D249" s="352">
        <v>1</v>
      </c>
      <c r="E249" s="352">
        <v>3</v>
      </c>
      <c r="F249" s="254">
        <f t="shared" si="34"/>
        <v>128.70000000000002</v>
      </c>
      <c r="G249" s="249">
        <v>80</v>
      </c>
      <c r="H249" s="249">
        <f t="shared" si="35"/>
        <v>480</v>
      </c>
      <c r="I249" s="251">
        <f t="shared" si="36"/>
        <v>128.70000000000002</v>
      </c>
      <c r="J249" s="252"/>
      <c r="K249" s="283"/>
      <c r="L249" s="284"/>
      <c r="M249" s="257"/>
      <c r="N249" s="257"/>
      <c r="O249" s="257"/>
      <c r="P249" s="257"/>
      <c r="Q249" s="257"/>
    </row>
    <row r="250" spans="1:17" s="3" customFormat="1" ht="25" customHeight="1" x14ac:dyDescent="0.25">
      <c r="A250" s="358" t="s">
        <v>229</v>
      </c>
      <c r="B250" s="372" t="s">
        <v>443</v>
      </c>
      <c r="C250" s="352">
        <v>3</v>
      </c>
      <c r="D250" s="352">
        <v>1</v>
      </c>
      <c r="E250" s="352">
        <v>1</v>
      </c>
      <c r="F250" s="254">
        <f t="shared" si="34"/>
        <v>64.350000000000009</v>
      </c>
      <c r="G250" s="249">
        <v>80</v>
      </c>
      <c r="H250" s="249">
        <f t="shared" si="35"/>
        <v>240</v>
      </c>
      <c r="I250" s="251">
        <f t="shared" si="36"/>
        <v>64.350000000000009</v>
      </c>
      <c r="J250" s="247"/>
      <c r="K250" s="283"/>
      <c r="L250" s="284"/>
      <c r="M250" s="257"/>
      <c r="N250" s="257"/>
      <c r="O250" s="257"/>
      <c r="P250" s="257"/>
      <c r="Q250" s="257"/>
    </row>
    <row r="251" spans="1:17" s="3" customFormat="1" ht="25" customHeight="1" x14ac:dyDescent="0.25">
      <c r="A251" s="358" t="s">
        <v>230</v>
      </c>
      <c r="B251" s="350" t="s">
        <v>442</v>
      </c>
      <c r="C251" s="352">
        <v>2</v>
      </c>
      <c r="D251" s="352">
        <v>1</v>
      </c>
      <c r="E251" s="352">
        <v>2</v>
      </c>
      <c r="F251" s="254">
        <f t="shared" si="34"/>
        <v>85.8</v>
      </c>
      <c r="G251" s="249">
        <v>80</v>
      </c>
      <c r="H251" s="249">
        <f t="shared" si="35"/>
        <v>320</v>
      </c>
      <c r="I251" s="251">
        <f t="shared" si="36"/>
        <v>85.8</v>
      </c>
      <c r="J251" s="247"/>
      <c r="K251" s="283"/>
      <c r="L251" s="284"/>
      <c r="M251" s="257"/>
      <c r="N251" s="257"/>
      <c r="O251" s="257"/>
      <c r="P251" s="257"/>
      <c r="Q251" s="257"/>
    </row>
    <row r="252" spans="1:17" s="3" customFormat="1" ht="25" customHeight="1" x14ac:dyDescent="0.25">
      <c r="A252" s="358" t="s">
        <v>231</v>
      </c>
      <c r="B252" s="372" t="s">
        <v>440</v>
      </c>
      <c r="C252" s="352">
        <v>2</v>
      </c>
      <c r="D252" s="352">
        <v>1</v>
      </c>
      <c r="E252" s="352">
        <v>1</v>
      </c>
      <c r="F252" s="254">
        <f t="shared" si="34"/>
        <v>42.9</v>
      </c>
      <c r="G252" s="249">
        <v>80</v>
      </c>
      <c r="H252" s="249">
        <f t="shared" si="35"/>
        <v>160</v>
      </c>
      <c r="I252" s="251">
        <f t="shared" si="36"/>
        <v>42.9</v>
      </c>
      <c r="J252" s="247"/>
      <c r="K252" s="283"/>
      <c r="L252" s="284"/>
      <c r="M252" s="257"/>
      <c r="N252" s="257"/>
      <c r="O252" s="257"/>
      <c r="P252" s="257"/>
      <c r="Q252" s="257"/>
    </row>
    <row r="253" spans="1:17" s="3" customFormat="1" ht="25" customHeight="1" x14ac:dyDescent="0.25">
      <c r="A253" s="358" t="s">
        <v>282</v>
      </c>
      <c r="B253" s="350" t="s">
        <v>444</v>
      </c>
      <c r="C253" s="351">
        <v>3</v>
      </c>
      <c r="D253" s="351">
        <v>1</v>
      </c>
      <c r="E253" s="351">
        <v>1</v>
      </c>
      <c r="F253" s="254">
        <f t="shared" si="34"/>
        <v>49.5</v>
      </c>
      <c r="G253" s="251">
        <v>40</v>
      </c>
      <c r="H253" s="249">
        <f t="shared" si="35"/>
        <v>120</v>
      </c>
      <c r="I253" s="251">
        <f t="shared" si="36"/>
        <v>49.5</v>
      </c>
      <c r="J253" s="247"/>
      <c r="K253" s="283"/>
      <c r="L253" s="284"/>
      <c r="M253" s="257"/>
      <c r="N253" s="257"/>
      <c r="O253" s="257"/>
      <c r="P253" s="257"/>
      <c r="Q253" s="257"/>
    </row>
    <row r="254" spans="1:17" s="3" customFormat="1" ht="25" customHeight="1" x14ac:dyDescent="0.25">
      <c r="A254" s="358" t="s">
        <v>283</v>
      </c>
      <c r="B254" s="350" t="s">
        <v>445</v>
      </c>
      <c r="C254" s="351">
        <v>2</v>
      </c>
      <c r="D254" s="351">
        <v>1</v>
      </c>
      <c r="E254" s="351">
        <v>1</v>
      </c>
      <c r="F254" s="254">
        <f t="shared" si="34"/>
        <v>33</v>
      </c>
      <c r="G254" s="251">
        <v>40</v>
      </c>
      <c r="H254" s="249">
        <f t="shared" si="35"/>
        <v>80</v>
      </c>
      <c r="I254" s="251">
        <f t="shared" si="36"/>
        <v>33</v>
      </c>
      <c r="J254" s="247"/>
      <c r="K254" s="283"/>
      <c r="L254" s="284"/>
      <c r="M254" s="257"/>
      <c r="N254" s="257"/>
      <c r="O254" s="257"/>
      <c r="P254" s="257"/>
      <c r="Q254" s="257"/>
    </row>
    <row r="255" spans="1:17" s="3" customFormat="1" ht="25" customHeight="1" x14ac:dyDescent="0.25">
      <c r="A255" s="358" t="s">
        <v>284</v>
      </c>
      <c r="B255" s="350" t="s">
        <v>446</v>
      </c>
      <c r="C255" s="351">
        <v>3</v>
      </c>
      <c r="D255" s="351">
        <v>1</v>
      </c>
      <c r="E255" s="351">
        <v>1</v>
      </c>
      <c r="F255" s="254">
        <f t="shared" si="34"/>
        <v>49.5</v>
      </c>
      <c r="G255" s="251">
        <v>30</v>
      </c>
      <c r="H255" s="249">
        <f t="shared" si="35"/>
        <v>90</v>
      </c>
      <c r="I255" s="251">
        <f t="shared" si="36"/>
        <v>49.5</v>
      </c>
      <c r="J255" s="247"/>
      <c r="K255" s="283"/>
      <c r="L255" s="284"/>
      <c r="M255" s="257"/>
      <c r="N255" s="257"/>
      <c r="O255" s="257"/>
      <c r="P255" s="257"/>
      <c r="Q255" s="257"/>
    </row>
    <row r="256" spans="1:17" s="3" customFormat="1" ht="25" customHeight="1" x14ac:dyDescent="0.25">
      <c r="A256" s="358" t="s">
        <v>285</v>
      </c>
      <c r="B256" s="350" t="s">
        <v>447</v>
      </c>
      <c r="C256" s="351">
        <v>4</v>
      </c>
      <c r="D256" s="351">
        <v>1</v>
      </c>
      <c r="E256" s="351">
        <v>1</v>
      </c>
      <c r="F256" s="254">
        <f t="shared" si="34"/>
        <v>66</v>
      </c>
      <c r="G256" s="251">
        <v>30</v>
      </c>
      <c r="H256" s="249">
        <f t="shared" si="35"/>
        <v>120</v>
      </c>
      <c r="I256" s="251">
        <f t="shared" si="36"/>
        <v>66</v>
      </c>
      <c r="J256" s="247"/>
      <c r="K256" s="283"/>
      <c r="L256" s="284"/>
      <c r="M256" s="257"/>
      <c r="N256" s="257"/>
      <c r="O256" s="257"/>
      <c r="P256" s="257"/>
      <c r="Q256" s="257"/>
    </row>
    <row r="257" spans="1:17" s="3" customFormat="1" ht="25" customHeight="1" x14ac:dyDescent="0.25">
      <c r="A257" s="358" t="s">
        <v>286</v>
      </c>
      <c r="B257" s="372" t="s">
        <v>440</v>
      </c>
      <c r="C257" s="351">
        <v>2</v>
      </c>
      <c r="D257" s="351">
        <v>1</v>
      </c>
      <c r="E257" s="351">
        <v>1</v>
      </c>
      <c r="F257" s="254">
        <f t="shared" si="34"/>
        <v>42.9</v>
      </c>
      <c r="G257" s="251">
        <v>80</v>
      </c>
      <c r="H257" s="249">
        <f t="shared" si="35"/>
        <v>160</v>
      </c>
      <c r="I257" s="251">
        <f t="shared" si="36"/>
        <v>42.9</v>
      </c>
      <c r="J257" s="247"/>
      <c r="K257" s="283"/>
      <c r="L257" s="284"/>
      <c r="M257" s="257"/>
      <c r="N257" s="257"/>
      <c r="O257" s="257"/>
      <c r="P257" s="257"/>
      <c r="Q257" s="257"/>
    </row>
    <row r="258" spans="1:17" s="3" customFormat="1" ht="25" customHeight="1" x14ac:dyDescent="0.25">
      <c r="A258" s="358" t="s">
        <v>289</v>
      </c>
      <c r="B258" s="350" t="s">
        <v>442</v>
      </c>
      <c r="C258" s="352">
        <v>2</v>
      </c>
      <c r="D258" s="352">
        <v>1</v>
      </c>
      <c r="E258" s="351">
        <v>1</v>
      </c>
      <c r="F258" s="254">
        <f t="shared" si="34"/>
        <v>42.9</v>
      </c>
      <c r="G258" s="249">
        <v>80</v>
      </c>
      <c r="H258" s="249">
        <f t="shared" si="35"/>
        <v>160</v>
      </c>
      <c r="I258" s="251">
        <f t="shared" si="36"/>
        <v>42.9</v>
      </c>
      <c r="J258" s="247"/>
      <c r="K258" s="283"/>
      <c r="L258" s="284"/>
      <c r="M258" s="257"/>
      <c r="N258" s="257"/>
      <c r="O258" s="257"/>
      <c r="P258" s="257"/>
      <c r="Q258" s="257"/>
    </row>
    <row r="259" spans="1:17" s="3" customFormat="1" ht="25" customHeight="1" x14ac:dyDescent="0.25">
      <c r="A259" s="358" t="s">
        <v>290</v>
      </c>
      <c r="B259" s="350" t="s">
        <v>448</v>
      </c>
      <c r="C259" s="352">
        <v>4</v>
      </c>
      <c r="D259" s="352">
        <v>1</v>
      </c>
      <c r="E259" s="352">
        <v>1</v>
      </c>
      <c r="F259" s="254">
        <f t="shared" si="34"/>
        <v>66</v>
      </c>
      <c r="G259" s="249">
        <v>30</v>
      </c>
      <c r="H259" s="249">
        <f t="shared" si="35"/>
        <v>120</v>
      </c>
      <c r="I259" s="251">
        <f t="shared" si="36"/>
        <v>66</v>
      </c>
      <c r="J259" s="247"/>
      <c r="K259" s="283"/>
      <c r="L259" s="284"/>
      <c r="M259" s="257"/>
      <c r="N259" s="257"/>
      <c r="O259" s="257"/>
      <c r="P259" s="257"/>
      <c r="Q259" s="257"/>
    </row>
    <row r="260" spans="1:17" s="3" customFormat="1" ht="25" customHeight="1" x14ac:dyDescent="0.25">
      <c r="A260" s="358" t="s">
        <v>291</v>
      </c>
      <c r="B260" s="350" t="s">
        <v>449</v>
      </c>
      <c r="C260" s="391">
        <v>4</v>
      </c>
      <c r="D260" s="376">
        <v>1</v>
      </c>
      <c r="E260" s="376">
        <v>1</v>
      </c>
      <c r="F260" s="254">
        <f t="shared" si="34"/>
        <v>66</v>
      </c>
      <c r="G260" s="322">
        <v>40</v>
      </c>
      <c r="H260" s="249">
        <f t="shared" si="35"/>
        <v>160</v>
      </c>
      <c r="I260" s="251">
        <f t="shared" si="36"/>
        <v>66</v>
      </c>
      <c r="J260" s="247"/>
      <c r="K260" s="283"/>
      <c r="L260" s="284"/>
      <c r="M260" s="257"/>
      <c r="N260" s="257"/>
      <c r="O260" s="257"/>
      <c r="P260" s="257"/>
      <c r="Q260" s="257"/>
    </row>
    <row r="261" spans="1:17" s="3" customFormat="1" ht="25" customHeight="1" x14ac:dyDescent="0.25">
      <c r="A261" s="358" t="s">
        <v>292</v>
      </c>
      <c r="B261" s="372" t="s">
        <v>440</v>
      </c>
      <c r="C261" s="391">
        <v>2</v>
      </c>
      <c r="D261" s="376">
        <v>1</v>
      </c>
      <c r="E261" s="376">
        <v>1</v>
      </c>
      <c r="F261" s="254">
        <f t="shared" si="34"/>
        <v>42.9</v>
      </c>
      <c r="G261" s="322">
        <v>89</v>
      </c>
      <c r="H261" s="249">
        <f t="shared" si="35"/>
        <v>178</v>
      </c>
      <c r="I261" s="251">
        <f t="shared" si="36"/>
        <v>42.9</v>
      </c>
      <c r="J261" s="247"/>
      <c r="K261" s="283"/>
      <c r="L261" s="284"/>
      <c r="M261" s="257"/>
      <c r="N261" s="257"/>
      <c r="O261" s="257"/>
      <c r="P261" s="257"/>
      <c r="Q261" s="257"/>
    </row>
    <row r="262" spans="1:17" s="3" customFormat="1" ht="25" customHeight="1" x14ac:dyDescent="0.25">
      <c r="A262" s="358" t="s">
        <v>394</v>
      </c>
      <c r="B262" s="350" t="s">
        <v>450</v>
      </c>
      <c r="C262" s="391">
        <v>3</v>
      </c>
      <c r="D262" s="376">
        <v>1</v>
      </c>
      <c r="E262" s="376">
        <v>1</v>
      </c>
      <c r="F262" s="254">
        <f t="shared" si="34"/>
        <v>49.5</v>
      </c>
      <c r="G262" s="322">
        <v>40</v>
      </c>
      <c r="H262" s="249">
        <f t="shared" si="35"/>
        <v>120</v>
      </c>
      <c r="I262" s="251">
        <f t="shared" si="36"/>
        <v>49.5</v>
      </c>
      <c r="J262" s="252"/>
      <c r="K262" s="283"/>
      <c r="L262" s="284"/>
      <c r="M262" s="257"/>
      <c r="N262" s="257"/>
      <c r="O262" s="257"/>
      <c r="P262" s="257"/>
      <c r="Q262" s="257"/>
    </row>
    <row r="263" spans="1:17" s="3" customFormat="1" ht="25" customHeight="1" x14ac:dyDescent="0.25">
      <c r="A263" s="358" t="s">
        <v>395</v>
      </c>
      <c r="B263" s="350" t="s">
        <v>442</v>
      </c>
      <c r="C263" s="352">
        <v>2</v>
      </c>
      <c r="D263" s="352">
        <v>1</v>
      </c>
      <c r="E263" s="352">
        <v>1</v>
      </c>
      <c r="F263" s="254">
        <f t="shared" si="34"/>
        <v>42.9</v>
      </c>
      <c r="G263" s="249">
        <v>80</v>
      </c>
      <c r="H263" s="249">
        <f t="shared" si="35"/>
        <v>160</v>
      </c>
      <c r="I263" s="251">
        <f t="shared" si="36"/>
        <v>42.9</v>
      </c>
      <c r="J263" s="252"/>
      <c r="K263" s="283"/>
      <c r="L263" s="284"/>
      <c r="M263" s="257"/>
      <c r="N263" s="257"/>
      <c r="O263" s="257"/>
      <c r="P263" s="257"/>
      <c r="Q263" s="257"/>
    </row>
    <row r="264" spans="1:17" s="3" customFormat="1" ht="25" customHeight="1" x14ac:dyDescent="0.25">
      <c r="A264" s="358" t="s">
        <v>396</v>
      </c>
      <c r="B264" s="375" t="s">
        <v>451</v>
      </c>
      <c r="C264" s="352">
        <v>2</v>
      </c>
      <c r="D264" s="352">
        <v>1</v>
      </c>
      <c r="E264" s="352">
        <v>1</v>
      </c>
      <c r="F264" s="254">
        <f t="shared" si="34"/>
        <v>33</v>
      </c>
      <c r="G264" s="249">
        <v>40</v>
      </c>
      <c r="H264" s="249">
        <f t="shared" si="35"/>
        <v>80</v>
      </c>
      <c r="I264" s="251">
        <f t="shared" si="36"/>
        <v>33</v>
      </c>
      <c r="J264" s="252"/>
      <c r="K264" s="283"/>
      <c r="L264" s="284"/>
      <c r="M264" s="257"/>
      <c r="N264" s="257"/>
      <c r="O264" s="257"/>
      <c r="P264" s="257"/>
      <c r="Q264" s="257"/>
    </row>
    <row r="265" spans="1:17" s="3" customFormat="1" ht="25" customHeight="1" x14ac:dyDescent="0.25">
      <c r="A265" s="358" t="s">
        <v>397</v>
      </c>
      <c r="B265" s="350" t="s">
        <v>452</v>
      </c>
      <c r="C265" s="352">
        <v>3</v>
      </c>
      <c r="D265" s="352">
        <v>1</v>
      </c>
      <c r="E265" s="352">
        <v>1</v>
      </c>
      <c r="F265" s="254">
        <f t="shared" si="34"/>
        <v>49.5</v>
      </c>
      <c r="G265" s="249">
        <v>40</v>
      </c>
      <c r="H265" s="249">
        <f t="shared" si="35"/>
        <v>120</v>
      </c>
      <c r="I265" s="251">
        <f t="shared" si="36"/>
        <v>49.5</v>
      </c>
      <c r="J265" s="252"/>
      <c r="K265" s="283"/>
      <c r="L265" s="284"/>
      <c r="M265" s="257"/>
      <c r="N265" s="257"/>
      <c r="O265" s="257"/>
      <c r="P265" s="257"/>
      <c r="Q265" s="257"/>
    </row>
    <row r="266" spans="1:17" s="3" customFormat="1" ht="25" customHeight="1" x14ac:dyDescent="0.25">
      <c r="A266" s="358" t="s">
        <v>398</v>
      </c>
      <c r="B266" s="350" t="s">
        <v>453</v>
      </c>
      <c r="C266" s="352">
        <v>2</v>
      </c>
      <c r="D266" s="352">
        <v>1</v>
      </c>
      <c r="E266" s="352">
        <v>1</v>
      </c>
      <c r="F266" s="254">
        <f t="shared" si="34"/>
        <v>42.9</v>
      </c>
      <c r="G266" s="249">
        <v>80</v>
      </c>
      <c r="H266" s="249">
        <f t="shared" si="35"/>
        <v>160</v>
      </c>
      <c r="I266" s="251">
        <f t="shared" si="36"/>
        <v>42.9</v>
      </c>
      <c r="J266" s="252"/>
      <c r="K266" s="283"/>
      <c r="L266" s="284"/>
      <c r="M266" s="257"/>
      <c r="N266" s="257"/>
      <c r="O266" s="257"/>
      <c r="P266" s="257"/>
      <c r="Q266" s="257"/>
    </row>
    <row r="267" spans="1:17" s="3" customFormat="1" ht="25" customHeight="1" x14ac:dyDescent="0.25">
      <c r="A267" s="358" t="s">
        <v>399</v>
      </c>
      <c r="B267" s="350" t="s">
        <v>445</v>
      </c>
      <c r="C267" s="351">
        <v>2</v>
      </c>
      <c r="D267" s="377">
        <v>1</v>
      </c>
      <c r="E267" s="377">
        <v>1</v>
      </c>
      <c r="F267" s="254">
        <f t="shared" si="34"/>
        <v>33</v>
      </c>
      <c r="G267" s="255">
        <v>40</v>
      </c>
      <c r="H267" s="249">
        <f t="shared" si="35"/>
        <v>80</v>
      </c>
      <c r="I267" s="251">
        <f t="shared" si="36"/>
        <v>33</v>
      </c>
      <c r="J267" s="252"/>
      <c r="K267" s="283"/>
      <c r="L267" s="284"/>
      <c r="M267" s="257"/>
      <c r="N267" s="257"/>
      <c r="O267" s="257"/>
      <c r="P267" s="257"/>
      <c r="Q267" s="257"/>
    </row>
    <row r="268" spans="1:17" s="3" customFormat="1" ht="25" customHeight="1" x14ac:dyDescent="0.25">
      <c r="A268" s="358" t="s">
        <v>400</v>
      </c>
      <c r="B268" s="350" t="s">
        <v>453</v>
      </c>
      <c r="C268" s="352">
        <v>2</v>
      </c>
      <c r="D268" s="352">
        <v>1.3</v>
      </c>
      <c r="E268" s="352">
        <v>1</v>
      </c>
      <c r="F268" s="254">
        <f t="shared" si="34"/>
        <v>33</v>
      </c>
      <c r="G268" s="249">
        <v>40</v>
      </c>
      <c r="H268" s="249">
        <f t="shared" si="35"/>
        <v>104</v>
      </c>
      <c r="I268" s="251">
        <f t="shared" si="36"/>
        <v>33</v>
      </c>
      <c r="J268" s="252"/>
      <c r="K268" s="283"/>
      <c r="L268" s="284"/>
      <c r="M268" s="257"/>
      <c r="N268" s="257"/>
      <c r="O268" s="257"/>
      <c r="P268" s="257"/>
      <c r="Q268" s="257"/>
    </row>
    <row r="269" spans="1:17" s="3" customFormat="1" ht="25" customHeight="1" x14ac:dyDescent="0.25">
      <c r="A269" s="358" t="s">
        <v>401</v>
      </c>
      <c r="B269" s="350" t="s">
        <v>454</v>
      </c>
      <c r="C269" s="352">
        <v>4</v>
      </c>
      <c r="D269" s="352">
        <v>1</v>
      </c>
      <c r="E269" s="352">
        <v>1</v>
      </c>
      <c r="F269" s="254">
        <f t="shared" si="34"/>
        <v>66</v>
      </c>
      <c r="G269" s="249">
        <v>40</v>
      </c>
      <c r="H269" s="249">
        <f t="shared" si="35"/>
        <v>160</v>
      </c>
      <c r="I269" s="251">
        <f t="shared" si="36"/>
        <v>66</v>
      </c>
      <c r="J269" s="252"/>
      <c r="K269" s="283"/>
      <c r="L269" s="284"/>
      <c r="M269" s="257"/>
      <c r="N269" s="257"/>
      <c r="O269" s="257"/>
      <c r="P269" s="257"/>
      <c r="Q269" s="257"/>
    </row>
    <row r="270" spans="1:17" s="3" customFormat="1" ht="25" customHeight="1" x14ac:dyDescent="0.25">
      <c r="A270" s="358" t="s">
        <v>402</v>
      </c>
      <c r="B270" s="350" t="s">
        <v>455</v>
      </c>
      <c r="C270" s="352">
        <v>4</v>
      </c>
      <c r="D270" s="352">
        <v>1</v>
      </c>
      <c r="E270" s="352">
        <v>1</v>
      </c>
      <c r="F270" s="254">
        <f t="shared" si="34"/>
        <v>66</v>
      </c>
      <c r="G270" s="249">
        <v>40</v>
      </c>
      <c r="H270" s="249">
        <f t="shared" si="35"/>
        <v>160</v>
      </c>
      <c r="I270" s="251">
        <f t="shared" si="36"/>
        <v>66</v>
      </c>
      <c r="J270" s="252"/>
      <c r="K270" s="283"/>
      <c r="L270" s="284"/>
      <c r="M270" s="257"/>
      <c r="N270" s="257"/>
      <c r="O270" s="257"/>
      <c r="P270" s="257"/>
      <c r="Q270" s="257"/>
    </row>
    <row r="271" spans="1:17" s="3" customFormat="1" ht="25" customHeight="1" x14ac:dyDescent="0.25">
      <c r="A271" s="358" t="s">
        <v>403</v>
      </c>
      <c r="B271" s="350" t="s">
        <v>456</v>
      </c>
      <c r="C271" s="352">
        <v>3</v>
      </c>
      <c r="D271" s="352">
        <v>1</v>
      </c>
      <c r="E271" s="352">
        <v>1</v>
      </c>
      <c r="F271" s="254">
        <f t="shared" si="34"/>
        <v>49.5</v>
      </c>
      <c r="G271" s="249">
        <v>40</v>
      </c>
      <c r="H271" s="249">
        <f t="shared" si="35"/>
        <v>120</v>
      </c>
      <c r="I271" s="251">
        <f t="shared" si="36"/>
        <v>49.5</v>
      </c>
      <c r="J271" s="252"/>
      <c r="K271" s="283"/>
      <c r="L271" s="284"/>
      <c r="M271" s="257"/>
      <c r="N271" s="257"/>
      <c r="O271" s="257"/>
      <c r="P271" s="257"/>
      <c r="Q271" s="257"/>
    </row>
    <row r="272" spans="1:17" s="3" customFormat="1" ht="25" customHeight="1" x14ac:dyDescent="0.25">
      <c r="A272" s="358" t="s">
        <v>404</v>
      </c>
      <c r="B272" s="350" t="s">
        <v>457</v>
      </c>
      <c r="C272" s="352">
        <v>1</v>
      </c>
      <c r="D272" s="352">
        <v>1.3</v>
      </c>
      <c r="E272" s="352">
        <v>1</v>
      </c>
      <c r="F272" s="254">
        <f t="shared" si="34"/>
        <v>16.5</v>
      </c>
      <c r="G272" s="249">
        <v>40</v>
      </c>
      <c r="H272" s="249">
        <f>C272*D272*E272*G272</f>
        <v>52</v>
      </c>
      <c r="I272" s="251">
        <f t="shared" si="36"/>
        <v>16.5</v>
      </c>
      <c r="J272" s="252"/>
      <c r="K272" s="283"/>
      <c r="L272" s="284"/>
      <c r="M272" s="257"/>
      <c r="N272" s="257"/>
      <c r="O272" s="257"/>
      <c r="P272" s="257"/>
      <c r="Q272" s="257"/>
    </row>
    <row r="273" spans="1:17" s="3" customFormat="1" ht="25" customHeight="1" x14ac:dyDescent="0.25">
      <c r="A273" s="349"/>
      <c r="B273" s="392" t="s">
        <v>380</v>
      </c>
      <c r="C273" s="351">
        <f>SUM(C247:C272)</f>
        <v>68</v>
      </c>
      <c r="D273" s="351">
        <f t="shared" ref="D273:I273" si="37">SUM(D247:D272)</f>
        <v>26.6</v>
      </c>
      <c r="E273" s="351">
        <f t="shared" si="37"/>
        <v>29</v>
      </c>
      <c r="F273" s="269">
        <f t="shared" si="37"/>
        <v>1344.75</v>
      </c>
      <c r="G273" s="269">
        <f t="shared" si="37"/>
        <v>1359</v>
      </c>
      <c r="H273" s="269">
        <f t="shared" si="37"/>
        <v>3844</v>
      </c>
      <c r="I273" s="269">
        <f t="shared" si="37"/>
        <v>1344.75</v>
      </c>
      <c r="J273" s="252"/>
      <c r="K273" s="283"/>
      <c r="L273" s="284"/>
      <c r="M273" s="257"/>
      <c r="N273" s="257"/>
      <c r="O273" s="257"/>
      <c r="P273" s="257"/>
      <c r="Q273" s="257"/>
    </row>
    <row r="274" spans="1:17" s="3" customFormat="1" ht="25" customHeight="1" x14ac:dyDescent="0.25">
      <c r="A274" s="359" t="s">
        <v>148</v>
      </c>
      <c r="B274" s="360" t="s">
        <v>151</v>
      </c>
      <c r="C274" s="352"/>
      <c r="D274" s="352"/>
      <c r="E274" s="352"/>
      <c r="F274" s="249"/>
      <c r="G274" s="249"/>
      <c r="H274" s="249"/>
      <c r="I274" s="252"/>
      <c r="J274" s="252"/>
      <c r="K274" s="283"/>
      <c r="L274" s="284"/>
      <c r="M274" s="257"/>
      <c r="N274" s="257"/>
      <c r="O274" s="257"/>
      <c r="P274" s="257"/>
      <c r="Q274" s="257"/>
    </row>
    <row r="275" spans="1:17" s="3" customFormat="1" ht="25" customHeight="1" x14ac:dyDescent="0.25">
      <c r="A275" s="354" t="s">
        <v>232</v>
      </c>
      <c r="B275" s="349" t="s">
        <v>154</v>
      </c>
      <c r="C275" s="352"/>
      <c r="D275" s="352"/>
      <c r="E275" s="352"/>
      <c r="F275" s="249"/>
      <c r="G275" s="249"/>
      <c r="H275" s="249"/>
      <c r="I275" s="252"/>
      <c r="J275" s="252"/>
      <c r="K275" s="283"/>
      <c r="L275" s="284"/>
      <c r="M275" s="257"/>
      <c r="N275" s="257"/>
      <c r="O275" s="257"/>
      <c r="P275" s="257"/>
      <c r="Q275" s="257"/>
    </row>
    <row r="276" spans="1:17" s="3" customFormat="1" ht="25" customHeight="1" x14ac:dyDescent="0.25">
      <c r="A276" s="354" t="s">
        <v>233</v>
      </c>
      <c r="B276" s="349" t="s">
        <v>153</v>
      </c>
      <c r="C276" s="352"/>
      <c r="D276" s="352"/>
      <c r="E276" s="352"/>
      <c r="F276" s="249"/>
      <c r="G276" s="249"/>
      <c r="H276" s="249"/>
      <c r="I276" s="252"/>
      <c r="J276" s="252"/>
      <c r="K276" s="283"/>
      <c r="L276" s="284"/>
      <c r="M276" s="257"/>
      <c r="N276" s="257"/>
      <c r="O276" s="257"/>
      <c r="P276" s="257"/>
      <c r="Q276" s="257"/>
    </row>
    <row r="277" spans="1:17" s="3" customFormat="1" ht="25" customHeight="1" x14ac:dyDescent="0.25">
      <c r="A277" s="393" t="s">
        <v>234</v>
      </c>
      <c r="B277" s="394" t="s">
        <v>155</v>
      </c>
      <c r="C277" s="395">
        <v>5</v>
      </c>
      <c r="D277" s="395" t="s">
        <v>665</v>
      </c>
      <c r="E277" s="395">
        <v>21</v>
      </c>
      <c r="F277" s="249"/>
      <c r="G277" s="249"/>
      <c r="H277" s="249"/>
      <c r="I277" s="252"/>
      <c r="J277" s="252"/>
      <c r="K277" s="283"/>
      <c r="L277" s="284"/>
      <c r="M277" s="257"/>
      <c r="N277" s="257"/>
      <c r="O277" s="257"/>
      <c r="P277" s="257"/>
      <c r="Q277" s="257"/>
    </row>
    <row r="278" spans="1:17" s="3" customFormat="1" ht="25" customHeight="1" x14ac:dyDescent="0.25">
      <c r="A278" s="393" t="s">
        <v>235</v>
      </c>
      <c r="B278" s="394" t="s">
        <v>156</v>
      </c>
      <c r="C278" s="395">
        <v>5</v>
      </c>
      <c r="D278" s="395" t="s">
        <v>665</v>
      </c>
      <c r="E278" s="395">
        <v>21</v>
      </c>
      <c r="F278" s="249"/>
      <c r="G278" s="249"/>
      <c r="H278" s="249"/>
      <c r="I278" s="252"/>
      <c r="J278" s="252"/>
      <c r="K278" s="283"/>
      <c r="L278" s="284"/>
      <c r="M278" s="257"/>
      <c r="N278" s="257"/>
      <c r="O278" s="257"/>
      <c r="P278" s="257"/>
      <c r="Q278" s="257"/>
    </row>
    <row r="279" spans="1:17" s="3" customFormat="1" ht="25" customHeight="1" x14ac:dyDescent="0.25">
      <c r="A279" s="354" t="s">
        <v>236</v>
      </c>
      <c r="B279" s="349" t="s">
        <v>157</v>
      </c>
      <c r="C279" s="352"/>
      <c r="D279" s="352"/>
      <c r="E279" s="352"/>
      <c r="F279" s="249"/>
      <c r="G279" s="249"/>
      <c r="H279" s="249"/>
      <c r="I279" s="252"/>
      <c r="J279" s="252"/>
      <c r="K279" s="283"/>
      <c r="L279" s="284"/>
      <c r="M279" s="257"/>
      <c r="N279" s="257"/>
      <c r="O279" s="257"/>
      <c r="P279" s="257"/>
      <c r="Q279" s="257"/>
    </row>
    <row r="280" spans="1:17" s="3" customFormat="1" ht="25" customHeight="1" x14ac:dyDescent="0.25">
      <c r="A280" s="385">
        <v>2</v>
      </c>
      <c r="B280" s="385" t="s">
        <v>164</v>
      </c>
      <c r="C280" s="352"/>
      <c r="D280" s="352"/>
      <c r="E280" s="352"/>
      <c r="F280" s="249"/>
      <c r="G280" s="249"/>
      <c r="H280" s="249"/>
      <c r="I280" s="252"/>
      <c r="J280" s="252"/>
      <c r="K280" s="283"/>
      <c r="L280" s="284"/>
      <c r="M280" s="257"/>
      <c r="N280" s="257"/>
      <c r="O280" s="257"/>
      <c r="P280" s="257"/>
      <c r="Q280" s="257"/>
    </row>
    <row r="281" spans="1:17" s="3" customFormat="1" ht="25" customHeight="1" x14ac:dyDescent="0.25">
      <c r="A281" s="356" t="s">
        <v>147</v>
      </c>
      <c r="B281" s="357" t="s">
        <v>165</v>
      </c>
      <c r="C281" s="352"/>
      <c r="D281" s="352"/>
      <c r="E281" s="352"/>
      <c r="F281" s="249"/>
      <c r="G281" s="249"/>
      <c r="H281" s="249"/>
      <c r="I281" s="252"/>
      <c r="J281" s="252"/>
      <c r="K281" s="283"/>
      <c r="L281" s="284"/>
      <c r="M281" s="257"/>
      <c r="N281" s="257"/>
      <c r="O281" s="257"/>
      <c r="P281" s="257"/>
      <c r="Q281" s="257"/>
    </row>
    <row r="282" spans="1:17" s="3" customFormat="1" ht="25" customHeight="1" x14ac:dyDescent="0.25">
      <c r="A282" s="349" t="s">
        <v>226</v>
      </c>
      <c r="B282" s="350" t="s">
        <v>458</v>
      </c>
      <c r="C282" s="352">
        <v>3</v>
      </c>
      <c r="D282" s="352">
        <v>1</v>
      </c>
      <c r="E282" s="352">
        <v>6</v>
      </c>
      <c r="F282" s="254">
        <f t="shared" ref="F282:F294" si="38">I282+J282+K282</f>
        <v>445.5</v>
      </c>
      <c r="G282" s="249">
        <v>30</v>
      </c>
      <c r="H282" s="249">
        <f t="shared" ref="H282:H294" si="39">C282*D282*E282*G282</f>
        <v>540</v>
      </c>
      <c r="I282" s="251">
        <f>IF(G282&lt;70, C282*E282*16.5*1.5, C282*E282*16.5*1.5)</f>
        <v>445.5</v>
      </c>
      <c r="J282" s="252"/>
      <c r="K282" s="283"/>
      <c r="L282" s="284"/>
      <c r="M282" s="257"/>
      <c r="N282" s="257"/>
      <c r="O282" s="257"/>
      <c r="P282" s="257"/>
      <c r="Q282" s="257"/>
    </row>
    <row r="283" spans="1:17" s="3" customFormat="1" ht="25" customHeight="1" x14ac:dyDescent="0.25">
      <c r="A283" s="349" t="s">
        <v>227</v>
      </c>
      <c r="B283" s="350" t="s">
        <v>459</v>
      </c>
      <c r="C283" s="352">
        <v>3</v>
      </c>
      <c r="D283" s="352">
        <v>1</v>
      </c>
      <c r="E283" s="352">
        <v>6</v>
      </c>
      <c r="F283" s="254">
        <f t="shared" si="38"/>
        <v>445.5</v>
      </c>
      <c r="G283" s="249">
        <v>30</v>
      </c>
      <c r="H283" s="249">
        <f t="shared" si="39"/>
        <v>540</v>
      </c>
      <c r="I283" s="251">
        <f t="shared" ref="I283:I289" si="40">IF(G283&lt;70, C283*E283*16.5*1.5, C283*E283*16.5*1.5)</f>
        <v>445.5</v>
      </c>
      <c r="J283" s="252"/>
      <c r="K283" s="283"/>
      <c r="L283" s="284"/>
      <c r="M283" s="257"/>
      <c r="N283" s="257"/>
      <c r="O283" s="257"/>
      <c r="P283" s="257"/>
      <c r="Q283" s="257"/>
    </row>
    <row r="284" spans="1:17" s="3" customFormat="1" ht="25" customHeight="1" x14ac:dyDescent="0.25">
      <c r="A284" s="349" t="s">
        <v>228</v>
      </c>
      <c r="B284" s="350" t="s">
        <v>460</v>
      </c>
      <c r="C284" s="352">
        <v>3</v>
      </c>
      <c r="D284" s="352">
        <v>1</v>
      </c>
      <c r="E284" s="352">
        <v>1</v>
      </c>
      <c r="F284" s="254">
        <f t="shared" si="38"/>
        <v>74.25</v>
      </c>
      <c r="G284" s="249">
        <v>30</v>
      </c>
      <c r="H284" s="249">
        <f t="shared" si="39"/>
        <v>90</v>
      </c>
      <c r="I284" s="251">
        <f t="shared" si="40"/>
        <v>74.25</v>
      </c>
      <c r="J284" s="252"/>
      <c r="K284" s="283"/>
      <c r="L284" s="284"/>
      <c r="M284" s="257"/>
      <c r="N284" s="257"/>
      <c r="O284" s="257"/>
      <c r="P284" s="257"/>
      <c r="Q284" s="257"/>
    </row>
    <row r="285" spans="1:17" s="3" customFormat="1" ht="25" customHeight="1" x14ac:dyDescent="0.25">
      <c r="A285" s="349" t="s">
        <v>229</v>
      </c>
      <c r="B285" s="350" t="s">
        <v>461</v>
      </c>
      <c r="C285" s="352">
        <v>3</v>
      </c>
      <c r="D285" s="352">
        <v>1</v>
      </c>
      <c r="E285" s="352">
        <v>1</v>
      </c>
      <c r="F285" s="254">
        <f t="shared" si="38"/>
        <v>74.25</v>
      </c>
      <c r="G285" s="249">
        <v>30</v>
      </c>
      <c r="H285" s="249">
        <f t="shared" si="39"/>
        <v>90</v>
      </c>
      <c r="I285" s="251">
        <f t="shared" si="40"/>
        <v>74.25</v>
      </c>
      <c r="J285" s="252"/>
      <c r="K285" s="283"/>
      <c r="L285" s="284"/>
      <c r="M285" s="257"/>
      <c r="N285" s="257"/>
      <c r="O285" s="257"/>
      <c r="P285" s="257"/>
      <c r="Q285" s="257"/>
    </row>
    <row r="286" spans="1:17" s="3" customFormat="1" ht="25" customHeight="1" x14ac:dyDescent="0.25">
      <c r="A286" s="349" t="s">
        <v>230</v>
      </c>
      <c r="B286" s="353" t="s">
        <v>462</v>
      </c>
      <c r="C286" s="352">
        <v>3</v>
      </c>
      <c r="D286" s="352">
        <v>1</v>
      </c>
      <c r="E286" s="352">
        <v>6</v>
      </c>
      <c r="F286" s="254">
        <f t="shared" si="38"/>
        <v>445.5</v>
      </c>
      <c r="G286" s="249">
        <v>30</v>
      </c>
      <c r="H286" s="249">
        <f t="shared" si="39"/>
        <v>540</v>
      </c>
      <c r="I286" s="251">
        <f t="shared" si="40"/>
        <v>445.5</v>
      </c>
      <c r="J286" s="252"/>
      <c r="K286" s="283"/>
      <c r="L286" s="284"/>
      <c r="M286" s="257"/>
      <c r="N286" s="257"/>
      <c r="O286" s="257"/>
      <c r="P286" s="257"/>
      <c r="Q286" s="257"/>
    </row>
    <row r="287" spans="1:17" s="3" customFormat="1" ht="25" customHeight="1" x14ac:dyDescent="0.25">
      <c r="A287" s="349" t="s">
        <v>231</v>
      </c>
      <c r="B287" s="353" t="s">
        <v>463</v>
      </c>
      <c r="C287" s="352">
        <v>3</v>
      </c>
      <c r="D287" s="352">
        <v>1</v>
      </c>
      <c r="E287" s="352">
        <v>6</v>
      </c>
      <c r="F287" s="254">
        <f t="shared" si="38"/>
        <v>445.5</v>
      </c>
      <c r="G287" s="249">
        <v>30</v>
      </c>
      <c r="H287" s="249">
        <f t="shared" si="39"/>
        <v>540</v>
      </c>
      <c r="I287" s="251">
        <f t="shared" si="40"/>
        <v>445.5</v>
      </c>
      <c r="J287" s="252"/>
      <c r="K287" s="256"/>
      <c r="L287" s="245"/>
      <c r="M287" s="302"/>
      <c r="N287" s="302"/>
      <c r="O287" s="302"/>
      <c r="P287" s="302"/>
      <c r="Q287" s="302"/>
    </row>
    <row r="288" spans="1:17" s="3" customFormat="1" ht="25" customHeight="1" x14ac:dyDescent="0.25">
      <c r="A288" s="349" t="s">
        <v>282</v>
      </c>
      <c r="B288" s="353" t="s">
        <v>464</v>
      </c>
      <c r="C288" s="352">
        <v>3</v>
      </c>
      <c r="D288" s="352">
        <v>1</v>
      </c>
      <c r="E288" s="352">
        <v>1</v>
      </c>
      <c r="F288" s="254">
        <f t="shared" si="38"/>
        <v>74.25</v>
      </c>
      <c r="G288" s="249">
        <v>30</v>
      </c>
      <c r="H288" s="249">
        <f t="shared" si="39"/>
        <v>90</v>
      </c>
      <c r="I288" s="251">
        <f t="shared" si="40"/>
        <v>74.25</v>
      </c>
      <c r="J288" s="252"/>
      <c r="K288" s="242"/>
      <c r="L288" s="242"/>
      <c r="M288" s="302"/>
      <c r="N288" s="302"/>
      <c r="O288" s="302"/>
      <c r="P288" s="302"/>
      <c r="Q288" s="302"/>
    </row>
    <row r="289" spans="1:17" s="3" customFormat="1" ht="25" customHeight="1" x14ac:dyDescent="0.25">
      <c r="A289" s="349" t="s">
        <v>283</v>
      </c>
      <c r="B289" s="353" t="s">
        <v>465</v>
      </c>
      <c r="C289" s="352">
        <v>3</v>
      </c>
      <c r="D289" s="352">
        <v>1</v>
      </c>
      <c r="E289" s="352">
        <v>1</v>
      </c>
      <c r="F289" s="254">
        <f t="shared" si="38"/>
        <v>74.25</v>
      </c>
      <c r="G289" s="249">
        <v>30</v>
      </c>
      <c r="H289" s="249">
        <f t="shared" si="39"/>
        <v>90</v>
      </c>
      <c r="I289" s="251">
        <f t="shared" si="40"/>
        <v>74.25</v>
      </c>
      <c r="J289" s="252"/>
      <c r="K289" s="256"/>
      <c r="L289" s="242"/>
      <c r="M289" s="302"/>
      <c r="N289" s="302"/>
      <c r="O289" s="302"/>
      <c r="P289" s="302"/>
      <c r="Q289" s="302"/>
    </row>
    <row r="290" spans="1:17" s="3" customFormat="1" ht="25" customHeight="1" x14ac:dyDescent="0.25">
      <c r="A290" s="349" t="s">
        <v>284</v>
      </c>
      <c r="B290" s="353" t="s">
        <v>466</v>
      </c>
      <c r="C290" s="352">
        <v>3</v>
      </c>
      <c r="D290" s="352">
        <v>1</v>
      </c>
      <c r="E290" s="352">
        <v>6</v>
      </c>
      <c r="F290" s="254">
        <f t="shared" si="38"/>
        <v>445.5</v>
      </c>
      <c r="G290" s="249">
        <v>30</v>
      </c>
      <c r="H290" s="249">
        <f t="shared" si="39"/>
        <v>540</v>
      </c>
      <c r="I290" s="300"/>
      <c r="J290" s="251">
        <f>IF(G290&lt;70, C290*E290*16.5*1.5, C290*E290*16.5*1.5)</f>
        <v>445.5</v>
      </c>
      <c r="K290" s="242"/>
      <c r="L290" s="242"/>
      <c r="M290" s="302"/>
      <c r="N290" s="302"/>
      <c r="O290" s="302"/>
      <c r="P290" s="302"/>
      <c r="Q290" s="302"/>
    </row>
    <row r="291" spans="1:17" s="3" customFormat="1" ht="25" customHeight="1" x14ac:dyDescent="0.25">
      <c r="A291" s="349" t="s">
        <v>285</v>
      </c>
      <c r="B291" s="353" t="s">
        <v>467</v>
      </c>
      <c r="C291" s="352">
        <v>3</v>
      </c>
      <c r="D291" s="352">
        <v>1</v>
      </c>
      <c r="E291" s="352">
        <v>6</v>
      </c>
      <c r="F291" s="254">
        <f t="shared" si="38"/>
        <v>445.5</v>
      </c>
      <c r="G291" s="249">
        <v>30</v>
      </c>
      <c r="H291" s="249">
        <f t="shared" si="39"/>
        <v>540</v>
      </c>
      <c r="I291" s="300"/>
      <c r="J291" s="251">
        <f>IF(G291&lt;70, C291*E291*16.5*1.5, C291*E291*16.5*1.5)</f>
        <v>445.5</v>
      </c>
      <c r="K291" s="242"/>
      <c r="L291" s="242"/>
      <c r="M291" s="302"/>
      <c r="N291" s="302"/>
      <c r="O291" s="302"/>
      <c r="P291" s="302"/>
      <c r="Q291" s="302"/>
    </row>
    <row r="292" spans="1:17" s="324" customFormat="1" ht="25" customHeight="1" x14ac:dyDescent="0.25">
      <c r="A292" s="349" t="s">
        <v>286</v>
      </c>
      <c r="B292" s="353" t="s">
        <v>468</v>
      </c>
      <c r="C292" s="352">
        <v>3</v>
      </c>
      <c r="D292" s="352">
        <v>1</v>
      </c>
      <c r="E292" s="352">
        <v>1</v>
      </c>
      <c r="F292" s="254">
        <f t="shared" si="38"/>
        <v>74.25</v>
      </c>
      <c r="G292" s="249">
        <v>30</v>
      </c>
      <c r="H292" s="249">
        <f t="shared" si="39"/>
        <v>90</v>
      </c>
      <c r="I292" s="322"/>
      <c r="J292" s="251">
        <f>IF(G292&lt;70, C292*E292*16.5*1.5, C292*E292*16.5*1.5)</f>
        <v>74.25</v>
      </c>
      <c r="K292" s="238"/>
      <c r="L292" s="258"/>
      <c r="M292" s="302"/>
      <c r="N292" s="302"/>
      <c r="O292" s="302"/>
      <c r="P292" s="302"/>
      <c r="Q292" s="302"/>
    </row>
    <row r="293" spans="1:17" s="324" customFormat="1" ht="25" customHeight="1" x14ac:dyDescent="0.25">
      <c r="A293" s="349" t="s">
        <v>289</v>
      </c>
      <c r="B293" s="353" t="s">
        <v>469</v>
      </c>
      <c r="C293" s="352">
        <v>3</v>
      </c>
      <c r="D293" s="352">
        <v>1</v>
      </c>
      <c r="E293" s="352">
        <v>1</v>
      </c>
      <c r="F293" s="254">
        <f t="shared" si="38"/>
        <v>74.25</v>
      </c>
      <c r="G293" s="249">
        <v>30</v>
      </c>
      <c r="H293" s="249">
        <f t="shared" si="39"/>
        <v>90</v>
      </c>
      <c r="I293" s="322"/>
      <c r="J293" s="251">
        <f>IF(G293&lt;70, C293*E293*16.5*1.5, C293*E293*16.5*1.5)</f>
        <v>74.25</v>
      </c>
      <c r="K293" s="238"/>
      <c r="L293" s="258"/>
      <c r="M293" s="302"/>
      <c r="N293" s="302"/>
      <c r="O293" s="302"/>
      <c r="P293" s="302"/>
      <c r="Q293" s="302"/>
    </row>
    <row r="294" spans="1:17" s="324" customFormat="1" ht="25" customHeight="1" x14ac:dyDescent="0.3">
      <c r="A294" s="349" t="s">
        <v>290</v>
      </c>
      <c r="B294" s="353" t="s">
        <v>463</v>
      </c>
      <c r="C294" s="352">
        <v>3</v>
      </c>
      <c r="D294" s="352">
        <v>1</v>
      </c>
      <c r="E294" s="352">
        <v>1</v>
      </c>
      <c r="F294" s="254">
        <f t="shared" si="38"/>
        <v>74.25</v>
      </c>
      <c r="G294" s="249">
        <v>30</v>
      </c>
      <c r="H294" s="249">
        <f t="shared" si="39"/>
        <v>90</v>
      </c>
      <c r="I294" s="252"/>
      <c r="J294" s="251">
        <f>IF(G294&lt;70, C294*E294*16.5*1.5, C294*E294*16.5*1.5)</f>
        <v>74.25</v>
      </c>
      <c r="K294" s="303"/>
      <c r="L294" s="303"/>
      <c r="M294" s="304"/>
      <c r="N294" s="304"/>
      <c r="O294" s="304"/>
      <c r="P294" s="304"/>
      <c r="Q294" s="304"/>
    </row>
    <row r="295" spans="1:17" s="324" customFormat="1" ht="25" customHeight="1" x14ac:dyDescent="0.3">
      <c r="A295" s="396"/>
      <c r="B295" s="361" t="s">
        <v>380</v>
      </c>
      <c r="C295" s="364">
        <f>SUM(C282:C294)</f>
        <v>39</v>
      </c>
      <c r="D295" s="364">
        <f t="shared" ref="D295:J295" si="41">SUM(D282:D294)</f>
        <v>13</v>
      </c>
      <c r="E295" s="364">
        <f t="shared" si="41"/>
        <v>43</v>
      </c>
      <c r="F295" s="246">
        <f t="shared" si="41"/>
        <v>3192.75</v>
      </c>
      <c r="G295" s="246">
        <f t="shared" si="41"/>
        <v>390</v>
      </c>
      <c r="H295" s="246">
        <f t="shared" si="41"/>
        <v>3870</v>
      </c>
      <c r="I295" s="246">
        <f t="shared" si="41"/>
        <v>2079</v>
      </c>
      <c r="J295" s="246">
        <f t="shared" si="41"/>
        <v>1113.75</v>
      </c>
      <c r="K295" s="303"/>
      <c r="L295" s="303"/>
      <c r="M295" s="304"/>
      <c r="N295" s="304"/>
      <c r="O295" s="304"/>
      <c r="P295" s="304"/>
      <c r="Q295" s="304"/>
    </row>
    <row r="296" spans="1:17" s="324" customFormat="1" ht="25" customHeight="1" x14ac:dyDescent="0.3">
      <c r="A296" s="359" t="s">
        <v>148</v>
      </c>
      <c r="B296" s="360" t="s">
        <v>507</v>
      </c>
      <c r="C296" s="352"/>
      <c r="D296" s="352"/>
      <c r="E296" s="352"/>
      <c r="F296" s="249"/>
      <c r="G296" s="249"/>
      <c r="H296" s="249"/>
      <c r="I296" s="252"/>
      <c r="J296" s="252"/>
      <c r="K296" s="303"/>
      <c r="L296" s="303"/>
      <c r="M296" s="304"/>
      <c r="N296" s="304"/>
      <c r="O296" s="304"/>
      <c r="P296" s="304"/>
      <c r="Q296" s="304"/>
    </row>
    <row r="297" spans="1:17" s="324" customFormat="1" ht="25" customHeight="1" x14ac:dyDescent="0.3">
      <c r="A297" s="354" t="s">
        <v>512</v>
      </c>
      <c r="B297" s="349" t="s">
        <v>471</v>
      </c>
      <c r="C297" s="352">
        <v>15</v>
      </c>
      <c r="D297" s="352">
        <v>1</v>
      </c>
      <c r="E297" s="352">
        <v>1</v>
      </c>
      <c r="F297" s="254">
        <f>I297+J297+K297</f>
        <v>175</v>
      </c>
      <c r="G297" s="249">
        <v>5</v>
      </c>
      <c r="H297" s="249">
        <f>C297*G297</f>
        <v>75</v>
      </c>
      <c r="I297" s="251">
        <f>G297*35</f>
        <v>175</v>
      </c>
      <c r="J297" s="252"/>
      <c r="K297" s="303"/>
      <c r="L297" s="305"/>
      <c r="M297" s="305"/>
      <c r="N297" s="305"/>
      <c r="O297" s="305"/>
      <c r="P297" s="305"/>
      <c r="Q297" s="305"/>
    </row>
    <row r="298" spans="1:17" s="324" customFormat="1" ht="25" customHeight="1" x14ac:dyDescent="0.3">
      <c r="A298" s="354" t="s">
        <v>513</v>
      </c>
      <c r="B298" s="349" t="s">
        <v>666</v>
      </c>
      <c r="C298" s="352">
        <v>15</v>
      </c>
      <c r="D298" s="352">
        <v>1</v>
      </c>
      <c r="E298" s="352">
        <v>1</v>
      </c>
      <c r="F298" s="254">
        <f t="shared" ref="F298:F307" si="42">I298+J298+K298</f>
        <v>175</v>
      </c>
      <c r="G298" s="249">
        <v>5</v>
      </c>
      <c r="H298" s="249">
        <f>C298*G298</f>
        <v>75</v>
      </c>
      <c r="I298" s="251"/>
      <c r="J298" s="251">
        <f>G298*35</f>
        <v>175</v>
      </c>
      <c r="K298" s="303"/>
      <c r="L298" s="306"/>
      <c r="M298" s="306"/>
      <c r="N298" s="306"/>
      <c r="O298" s="306"/>
      <c r="P298" s="306"/>
      <c r="Q298" s="306"/>
    </row>
    <row r="299" spans="1:17" s="324" customFormat="1" ht="25" customHeight="1" x14ac:dyDescent="0.3">
      <c r="A299" s="354" t="s">
        <v>514</v>
      </c>
      <c r="B299" s="349" t="s">
        <v>472</v>
      </c>
      <c r="C299" s="352">
        <v>15</v>
      </c>
      <c r="D299" s="352">
        <v>1</v>
      </c>
      <c r="E299" s="352">
        <v>1</v>
      </c>
      <c r="F299" s="254">
        <f t="shared" si="42"/>
        <v>175</v>
      </c>
      <c r="G299" s="249">
        <v>5</v>
      </c>
      <c r="H299" s="249">
        <f>C299*G299*E299*D299</f>
        <v>75</v>
      </c>
      <c r="I299" s="251">
        <f>G299*35</f>
        <v>175</v>
      </c>
      <c r="J299" s="251"/>
      <c r="K299" s="303"/>
      <c r="L299" s="307"/>
      <c r="M299" s="307"/>
      <c r="N299" s="307"/>
      <c r="O299" s="307"/>
      <c r="P299" s="307"/>
      <c r="Q299" s="307"/>
    </row>
    <row r="300" spans="1:17" s="324" customFormat="1" ht="25" customHeight="1" x14ac:dyDescent="0.3">
      <c r="A300" s="354" t="s">
        <v>515</v>
      </c>
      <c r="B300" s="349" t="s">
        <v>473</v>
      </c>
      <c r="C300" s="352">
        <v>15</v>
      </c>
      <c r="D300" s="352">
        <v>1</v>
      </c>
      <c r="E300" s="352">
        <v>1</v>
      </c>
      <c r="F300" s="254">
        <f t="shared" si="42"/>
        <v>175</v>
      </c>
      <c r="G300" s="249">
        <v>5</v>
      </c>
      <c r="H300" s="249">
        <f t="shared" ref="H300:H307" si="43">C300*G300*E300*D300</f>
        <v>75</v>
      </c>
      <c r="I300" s="252"/>
      <c r="J300" s="251">
        <f>G300*35</f>
        <v>175</v>
      </c>
      <c r="K300" s="303"/>
      <c r="L300" s="303"/>
      <c r="M300" s="1449"/>
      <c r="N300" s="1449"/>
      <c r="O300" s="1449"/>
      <c r="P300" s="1449"/>
      <c r="Q300" s="1449"/>
    </row>
    <row r="301" spans="1:17" s="324" customFormat="1" ht="25" customHeight="1" x14ac:dyDescent="0.3">
      <c r="A301" s="354" t="s">
        <v>516</v>
      </c>
      <c r="B301" s="349" t="s">
        <v>474</v>
      </c>
      <c r="C301" s="352">
        <v>15</v>
      </c>
      <c r="D301" s="352">
        <v>1</v>
      </c>
      <c r="E301" s="352">
        <v>1</v>
      </c>
      <c r="F301" s="254">
        <f t="shared" si="42"/>
        <v>175</v>
      </c>
      <c r="G301" s="249">
        <v>5</v>
      </c>
      <c r="H301" s="249">
        <f t="shared" si="43"/>
        <v>75</v>
      </c>
      <c r="I301" s="252"/>
      <c r="J301" s="251">
        <f>G301*35</f>
        <v>175</v>
      </c>
      <c r="K301" s="303"/>
      <c r="L301" s="303"/>
      <c r="M301" s="304"/>
      <c r="N301" s="304"/>
      <c r="O301" s="304"/>
      <c r="P301" s="304"/>
      <c r="Q301" s="304"/>
    </row>
    <row r="302" spans="1:17" ht="25" customHeight="1" x14ac:dyDescent="0.3">
      <c r="A302" s="354" t="s">
        <v>517</v>
      </c>
      <c r="B302" s="349" t="s">
        <v>508</v>
      </c>
      <c r="C302" s="352">
        <v>15</v>
      </c>
      <c r="D302" s="352">
        <v>1</v>
      </c>
      <c r="E302" s="352">
        <v>1</v>
      </c>
      <c r="F302" s="254">
        <f t="shared" si="42"/>
        <v>175</v>
      </c>
      <c r="G302" s="249">
        <v>5</v>
      </c>
      <c r="H302" s="249">
        <f t="shared" si="43"/>
        <v>75</v>
      </c>
      <c r="I302" s="251">
        <f>G302*35</f>
        <v>175</v>
      </c>
      <c r="J302" s="325"/>
      <c r="K302" s="303"/>
      <c r="L302" s="303"/>
      <c r="M302" s="304"/>
      <c r="N302" s="304"/>
      <c r="O302" s="304"/>
      <c r="P302" s="304"/>
      <c r="Q302" s="304"/>
    </row>
    <row r="303" spans="1:17" ht="25" customHeight="1" x14ac:dyDescent="0.3">
      <c r="A303" s="354" t="s">
        <v>518</v>
      </c>
      <c r="B303" s="349" t="s">
        <v>509</v>
      </c>
      <c r="C303" s="352">
        <v>15</v>
      </c>
      <c r="D303" s="352">
        <v>1</v>
      </c>
      <c r="E303" s="352">
        <v>1</v>
      </c>
      <c r="F303" s="254">
        <f t="shared" si="42"/>
        <v>175</v>
      </c>
      <c r="G303" s="249">
        <v>5</v>
      </c>
      <c r="H303" s="249">
        <f t="shared" si="43"/>
        <v>75</v>
      </c>
      <c r="I303" s="251">
        <f>G303*35</f>
        <v>175</v>
      </c>
      <c r="J303" s="325"/>
      <c r="K303" s="303"/>
      <c r="L303" s="303"/>
      <c r="M303" s="308"/>
      <c r="N303" s="308"/>
      <c r="O303" s="308"/>
      <c r="P303" s="308"/>
      <c r="Q303" s="308"/>
    </row>
    <row r="304" spans="1:17" ht="25" customHeight="1" x14ac:dyDescent="0.3">
      <c r="A304" s="354" t="s">
        <v>519</v>
      </c>
      <c r="B304" s="349" t="s">
        <v>510</v>
      </c>
      <c r="C304" s="352">
        <v>15</v>
      </c>
      <c r="D304" s="352">
        <v>1</v>
      </c>
      <c r="E304" s="352">
        <v>1</v>
      </c>
      <c r="F304" s="254">
        <f t="shared" si="42"/>
        <v>175</v>
      </c>
      <c r="G304" s="249">
        <v>5</v>
      </c>
      <c r="H304" s="249">
        <f t="shared" si="43"/>
        <v>75</v>
      </c>
      <c r="I304" s="251">
        <f>G304*35</f>
        <v>175</v>
      </c>
      <c r="J304" s="326"/>
      <c r="K304" s="303"/>
      <c r="L304" s="303"/>
      <c r="M304" s="308"/>
      <c r="N304" s="308"/>
      <c r="O304" s="308"/>
      <c r="P304" s="308"/>
      <c r="Q304" s="308"/>
    </row>
    <row r="305" spans="1:17" ht="25" customHeight="1" x14ac:dyDescent="0.3">
      <c r="A305" s="354" t="s">
        <v>520</v>
      </c>
      <c r="B305" s="349" t="s">
        <v>511</v>
      </c>
      <c r="C305" s="352">
        <v>15</v>
      </c>
      <c r="D305" s="352">
        <v>1</v>
      </c>
      <c r="E305" s="352">
        <v>1</v>
      </c>
      <c r="F305" s="254">
        <f t="shared" si="42"/>
        <v>175</v>
      </c>
      <c r="G305" s="249">
        <v>5</v>
      </c>
      <c r="H305" s="249">
        <f t="shared" si="43"/>
        <v>75</v>
      </c>
      <c r="I305" s="251">
        <f>G305*35</f>
        <v>175</v>
      </c>
      <c r="J305" s="251"/>
      <c r="K305" s="303"/>
      <c r="L305" s="303"/>
      <c r="M305" s="308"/>
      <c r="N305" s="308"/>
      <c r="O305" s="308"/>
      <c r="P305" s="308"/>
      <c r="Q305" s="308"/>
    </row>
    <row r="306" spans="1:17" ht="25" customHeight="1" x14ac:dyDescent="0.3">
      <c r="A306" s="354" t="s">
        <v>521</v>
      </c>
      <c r="B306" s="349" t="s">
        <v>566</v>
      </c>
      <c r="C306" s="352">
        <v>15</v>
      </c>
      <c r="D306" s="352">
        <v>1</v>
      </c>
      <c r="E306" s="352">
        <v>1</v>
      </c>
      <c r="F306" s="254">
        <f t="shared" si="42"/>
        <v>175</v>
      </c>
      <c r="G306" s="249">
        <v>5</v>
      </c>
      <c r="H306" s="249">
        <f t="shared" si="43"/>
        <v>75</v>
      </c>
      <c r="I306" s="251">
        <f>G306*35</f>
        <v>175</v>
      </c>
      <c r="J306" s="251"/>
      <c r="K306" s="303"/>
      <c r="L306" s="303"/>
      <c r="M306" s="308"/>
      <c r="N306" s="308"/>
      <c r="O306" s="308"/>
      <c r="P306" s="308"/>
      <c r="Q306" s="308"/>
    </row>
    <row r="307" spans="1:17" ht="25" customHeight="1" x14ac:dyDescent="0.3">
      <c r="A307" s="354" t="s">
        <v>667</v>
      </c>
      <c r="B307" s="349" t="s">
        <v>668</v>
      </c>
      <c r="C307" s="352">
        <v>15</v>
      </c>
      <c r="D307" s="352">
        <v>1</v>
      </c>
      <c r="E307" s="352">
        <v>1</v>
      </c>
      <c r="F307" s="254">
        <f t="shared" si="42"/>
        <v>4515</v>
      </c>
      <c r="G307" s="249">
        <v>129</v>
      </c>
      <c r="H307" s="249">
        <f t="shared" si="43"/>
        <v>1935</v>
      </c>
      <c r="I307" s="326"/>
      <c r="J307" s="251"/>
      <c r="K307" s="251">
        <f>G307*35</f>
        <v>4515</v>
      </c>
      <c r="L307" s="303"/>
      <c r="M307" s="308"/>
      <c r="N307" s="308"/>
      <c r="O307" s="308"/>
      <c r="P307" s="308"/>
      <c r="Q307" s="308"/>
    </row>
    <row r="308" spans="1:17" ht="25" customHeight="1" x14ac:dyDescent="0.3">
      <c r="A308" s="354" t="s">
        <v>669</v>
      </c>
      <c r="B308" s="349" t="s">
        <v>670</v>
      </c>
      <c r="C308" s="352">
        <v>15</v>
      </c>
      <c r="D308" s="352">
        <v>1</v>
      </c>
      <c r="E308" s="352">
        <v>1</v>
      </c>
      <c r="F308" s="246">
        <f t="shared" ref="F308:K308" si="44">SUM(F297:F307)</f>
        <v>6265</v>
      </c>
      <c r="G308" s="246">
        <f t="shared" si="44"/>
        <v>179</v>
      </c>
      <c r="H308" s="246">
        <f t="shared" si="44"/>
        <v>2685</v>
      </c>
      <c r="I308" s="246">
        <f t="shared" si="44"/>
        <v>1225</v>
      </c>
      <c r="J308" s="246">
        <f t="shared" si="44"/>
        <v>525</v>
      </c>
      <c r="K308" s="246">
        <f t="shared" si="44"/>
        <v>4515</v>
      </c>
      <c r="L308" s="303"/>
      <c r="M308" s="308"/>
      <c r="N308" s="308"/>
      <c r="O308" s="308"/>
      <c r="P308" s="308"/>
      <c r="Q308" s="308"/>
    </row>
    <row r="309" spans="1:17" ht="25" customHeight="1" x14ac:dyDescent="0.3">
      <c r="A309" s="354" t="s">
        <v>671</v>
      </c>
      <c r="B309" s="349" t="s">
        <v>672</v>
      </c>
      <c r="C309" s="352">
        <v>15</v>
      </c>
      <c r="D309" s="352">
        <v>1</v>
      </c>
      <c r="E309" s="352">
        <v>1</v>
      </c>
      <c r="F309" s="249"/>
      <c r="G309" s="249"/>
      <c r="H309" s="249"/>
      <c r="I309" s="252"/>
      <c r="J309" s="252"/>
      <c r="K309" s="303"/>
      <c r="L309" s="303"/>
      <c r="M309" s="309"/>
      <c r="N309" s="309"/>
      <c r="O309" s="309"/>
      <c r="P309" s="309"/>
      <c r="Q309" s="309"/>
    </row>
    <row r="310" spans="1:17" ht="25" customHeight="1" x14ac:dyDescent="0.3">
      <c r="A310" s="393"/>
      <c r="B310" s="394" t="s">
        <v>673</v>
      </c>
      <c r="C310" s="352">
        <v>15</v>
      </c>
      <c r="D310" s="352">
        <v>1</v>
      </c>
      <c r="E310" s="352">
        <v>1</v>
      </c>
      <c r="F310" s="249"/>
      <c r="G310" s="249"/>
      <c r="H310" s="249"/>
      <c r="I310" s="252"/>
      <c r="J310" s="252"/>
      <c r="K310" s="303"/>
      <c r="L310" s="303"/>
      <c r="M310" s="304"/>
      <c r="N310" s="304"/>
      <c r="O310" s="304"/>
      <c r="P310" s="304"/>
      <c r="Q310" s="304"/>
    </row>
    <row r="311" spans="1:17" ht="25" customHeight="1" x14ac:dyDescent="0.3">
      <c r="A311" s="354"/>
      <c r="B311" s="361" t="s">
        <v>380</v>
      </c>
      <c r="C311" s="364">
        <f>SUM(C297:C310)</f>
        <v>210</v>
      </c>
      <c r="D311" s="364">
        <f>SUM(D297:D310)</f>
        <v>14</v>
      </c>
      <c r="E311" s="364">
        <f>SUM(E297:E310)</f>
        <v>14</v>
      </c>
      <c r="F311" s="254">
        <f>I311+J311+K311</f>
        <v>97020</v>
      </c>
      <c r="G311" s="249">
        <v>11</v>
      </c>
      <c r="H311" s="249">
        <f>C311*D311*E311*G311</f>
        <v>452760</v>
      </c>
      <c r="I311" s="251">
        <f>IF(G311&lt;70, C311*E311*16.5*1*2, C311*E311*16.5*1.3*2)</f>
        <v>97020</v>
      </c>
      <c r="J311" s="252"/>
      <c r="K311" s="303"/>
      <c r="L311" s="303"/>
      <c r="M311" s="304"/>
      <c r="N311" s="304"/>
      <c r="O311" s="304"/>
      <c r="P311" s="304"/>
      <c r="Q311" s="304"/>
    </row>
    <row r="312" spans="1:17" ht="25" customHeight="1" x14ac:dyDescent="0.3">
      <c r="A312" s="385">
        <v>3</v>
      </c>
      <c r="B312" s="385" t="s">
        <v>166</v>
      </c>
      <c r="C312" s="352"/>
      <c r="D312" s="352"/>
      <c r="E312" s="352"/>
      <c r="F312" s="254">
        <f>I312+J312+K312</f>
        <v>0</v>
      </c>
      <c r="G312" s="249">
        <v>11</v>
      </c>
      <c r="H312" s="249">
        <f>C312*D312*E312*G312</f>
        <v>0</v>
      </c>
      <c r="I312" s="251">
        <f>IF(G312&lt;70, C312*E312*16.5*1*2, C312*E312*16.5*1.3*2)</f>
        <v>0</v>
      </c>
      <c r="J312" s="252"/>
      <c r="K312" s="303"/>
      <c r="L312" s="303"/>
      <c r="M312" s="304"/>
      <c r="N312" s="304"/>
      <c r="O312" s="304"/>
      <c r="P312" s="304"/>
      <c r="Q312" s="304"/>
    </row>
    <row r="313" spans="1:17" ht="25" customHeight="1" x14ac:dyDescent="0.3">
      <c r="A313" s="356" t="s">
        <v>147</v>
      </c>
      <c r="B313" s="357" t="s">
        <v>167</v>
      </c>
      <c r="C313" s="352"/>
      <c r="D313" s="352"/>
      <c r="E313" s="352"/>
      <c r="F313" s="254">
        <f>I313+J313+K313</f>
        <v>0</v>
      </c>
      <c r="G313" s="249">
        <v>11</v>
      </c>
      <c r="H313" s="249">
        <f>C313*D313*E313*G313</f>
        <v>0</v>
      </c>
      <c r="I313" s="251">
        <f>IF(G313&lt;70, C313*E313*16.5*1*2, C313*E313*16.5*1.3*2)</f>
        <v>0</v>
      </c>
      <c r="J313" s="252"/>
      <c r="K313" s="303"/>
      <c r="L313" s="303"/>
      <c r="M313" s="304"/>
      <c r="N313" s="304"/>
      <c r="O313" s="304"/>
      <c r="P313" s="304"/>
      <c r="Q313" s="304"/>
    </row>
    <row r="314" spans="1:17" ht="25" customHeight="1" x14ac:dyDescent="0.3">
      <c r="A314" s="349" t="s">
        <v>226</v>
      </c>
      <c r="B314" s="350" t="s">
        <v>475</v>
      </c>
      <c r="C314" s="352">
        <v>3</v>
      </c>
      <c r="D314" s="352">
        <v>1</v>
      </c>
      <c r="E314" s="352">
        <v>1</v>
      </c>
      <c r="F314" s="249"/>
      <c r="G314" s="249"/>
      <c r="H314" s="249"/>
      <c r="I314" s="252"/>
      <c r="J314" s="252"/>
      <c r="K314" s="303"/>
      <c r="L314" s="303"/>
      <c r="M314" s="304"/>
      <c r="N314" s="304"/>
      <c r="O314" s="304"/>
      <c r="P314" s="304"/>
      <c r="Q314" s="304"/>
    </row>
    <row r="315" spans="1:17" ht="25" customHeight="1" x14ac:dyDescent="0.3">
      <c r="A315" s="349" t="s">
        <v>227</v>
      </c>
      <c r="B315" s="350" t="s">
        <v>476</v>
      </c>
      <c r="C315" s="352">
        <v>3</v>
      </c>
      <c r="D315" s="352">
        <v>1</v>
      </c>
      <c r="E315" s="352">
        <v>1</v>
      </c>
      <c r="F315" s="249"/>
      <c r="G315" s="249"/>
      <c r="H315" s="249"/>
      <c r="I315" s="252"/>
      <c r="J315" s="252"/>
      <c r="K315" s="303"/>
      <c r="L315" s="303"/>
      <c r="M315" s="304"/>
      <c r="N315" s="304"/>
      <c r="O315" s="304"/>
      <c r="P315" s="304"/>
      <c r="Q315" s="304"/>
    </row>
    <row r="316" spans="1:17" ht="25" customHeight="1" x14ac:dyDescent="0.3">
      <c r="A316" s="354" t="s">
        <v>477</v>
      </c>
      <c r="B316" s="349" t="s">
        <v>478</v>
      </c>
      <c r="C316" s="352">
        <v>3</v>
      </c>
      <c r="D316" s="352">
        <v>1</v>
      </c>
      <c r="E316" s="352">
        <v>1</v>
      </c>
      <c r="F316" s="249"/>
      <c r="G316" s="249"/>
      <c r="H316" s="249"/>
      <c r="I316" s="252"/>
      <c r="J316" s="252"/>
      <c r="K316" s="303"/>
      <c r="L316" s="303"/>
      <c r="M316" s="304"/>
      <c r="N316" s="304"/>
      <c r="O316" s="304"/>
      <c r="P316" s="304"/>
      <c r="Q316" s="304"/>
    </row>
    <row r="317" spans="1:17" ht="25" customHeight="1" x14ac:dyDescent="0.3">
      <c r="A317" s="359" t="s">
        <v>148</v>
      </c>
      <c r="B317" s="360" t="s">
        <v>168</v>
      </c>
      <c r="C317" s="352"/>
      <c r="D317" s="352"/>
      <c r="E317" s="352"/>
      <c r="F317" s="254">
        <f>I317+J317+K317</f>
        <v>600</v>
      </c>
      <c r="G317" s="249"/>
      <c r="H317" s="249"/>
      <c r="I317" s="252">
        <v>600</v>
      </c>
      <c r="J317" s="252"/>
      <c r="K317" s="303"/>
      <c r="L317" s="303"/>
      <c r="M317" s="304"/>
      <c r="N317" s="304"/>
      <c r="O317" s="304"/>
      <c r="P317" s="304"/>
      <c r="Q317" s="304"/>
    </row>
    <row r="318" spans="1:17" ht="25" customHeight="1" x14ac:dyDescent="0.3">
      <c r="A318" s="359"/>
      <c r="B318" s="360" t="s">
        <v>674</v>
      </c>
      <c r="C318" s="352"/>
      <c r="D318" s="352"/>
      <c r="E318" s="352"/>
      <c r="F318" s="254">
        <f>I318+J318+K318</f>
        <v>300</v>
      </c>
      <c r="G318" s="249"/>
      <c r="H318" s="249"/>
      <c r="I318" s="252"/>
      <c r="J318" s="252">
        <v>300</v>
      </c>
      <c r="K318" s="303"/>
      <c r="L318" s="303"/>
      <c r="M318" s="304"/>
      <c r="N318" s="304"/>
      <c r="O318" s="304"/>
      <c r="P318" s="304"/>
      <c r="Q318" s="304"/>
    </row>
    <row r="319" spans="1:17" ht="25" customHeight="1" x14ac:dyDescent="0.3">
      <c r="A319" s="359"/>
      <c r="B319" s="360" t="s">
        <v>675</v>
      </c>
      <c r="C319" s="352"/>
      <c r="D319" s="352"/>
      <c r="E319" s="352"/>
      <c r="F319" s="249"/>
      <c r="G319" s="249"/>
      <c r="H319" s="249"/>
      <c r="I319" s="252"/>
      <c r="J319" s="252"/>
      <c r="K319" s="303"/>
      <c r="L319" s="303"/>
      <c r="M319" s="304"/>
      <c r="N319" s="304"/>
      <c r="O319" s="304"/>
      <c r="P319" s="304"/>
      <c r="Q319" s="304"/>
    </row>
    <row r="320" spans="1:17" ht="25" customHeight="1" x14ac:dyDescent="0.3">
      <c r="A320" s="359"/>
      <c r="B320" s="360" t="s">
        <v>479</v>
      </c>
      <c r="C320" s="352"/>
      <c r="D320" s="352"/>
      <c r="E320" s="352"/>
      <c r="F320" s="249"/>
      <c r="G320" s="249"/>
      <c r="H320" s="249"/>
      <c r="I320" s="252"/>
      <c r="J320" s="252"/>
      <c r="K320" s="303"/>
      <c r="L320" s="303"/>
      <c r="M320" s="304"/>
      <c r="N320" s="304"/>
      <c r="O320" s="304"/>
      <c r="P320" s="304"/>
      <c r="Q320" s="304"/>
    </row>
    <row r="321" spans="1:17" ht="25" customHeight="1" x14ac:dyDescent="0.3">
      <c r="A321" s="354"/>
      <c r="B321" s="349" t="s">
        <v>480</v>
      </c>
      <c r="C321" s="352"/>
      <c r="D321" s="352"/>
      <c r="E321" s="352"/>
      <c r="F321" s="254">
        <f>I321+J321+K321</f>
        <v>1120</v>
      </c>
      <c r="G321" s="249"/>
      <c r="H321" s="249"/>
      <c r="I321" s="252">
        <v>1120</v>
      </c>
      <c r="J321" s="252"/>
      <c r="K321" s="303"/>
      <c r="L321" s="303"/>
      <c r="M321" s="304"/>
      <c r="N321" s="304"/>
      <c r="O321" s="304"/>
      <c r="P321" s="304"/>
      <c r="Q321" s="304"/>
    </row>
    <row r="322" spans="1:17" ht="25" customHeight="1" x14ac:dyDescent="0.3">
      <c r="A322" s="359" t="s">
        <v>169</v>
      </c>
      <c r="B322" s="360" t="s">
        <v>170</v>
      </c>
      <c r="C322" s="352"/>
      <c r="D322" s="352"/>
      <c r="E322" s="352"/>
      <c r="F322" s="254">
        <f>I322+J322+K322</f>
        <v>680</v>
      </c>
      <c r="G322" s="249"/>
      <c r="H322" s="249"/>
      <c r="I322" s="252"/>
      <c r="J322" s="252">
        <v>680</v>
      </c>
      <c r="K322" s="303"/>
      <c r="L322" s="303"/>
      <c r="M322" s="304"/>
      <c r="N322" s="304"/>
      <c r="O322" s="304"/>
      <c r="P322" s="304"/>
      <c r="Q322" s="304"/>
    </row>
    <row r="323" spans="1:17" ht="25" customHeight="1" x14ac:dyDescent="0.3">
      <c r="A323" s="354"/>
      <c r="B323" s="349" t="s">
        <v>676</v>
      </c>
      <c r="C323" s="352"/>
      <c r="D323" s="352"/>
      <c r="E323" s="352"/>
      <c r="F323" s="249">
        <f>SUM(F311:F322)</f>
        <v>99720</v>
      </c>
      <c r="G323" s="246">
        <f>SUM(G311:G322)</f>
        <v>33</v>
      </c>
      <c r="H323" s="246">
        <f>SUM(H311:H322)</f>
        <v>452760</v>
      </c>
      <c r="I323" s="246">
        <f>SUM(I311:I322)</f>
        <v>98740</v>
      </c>
      <c r="J323" s="246">
        <f>SUM(J311:J322)</f>
        <v>980</v>
      </c>
      <c r="K323" s="303"/>
      <c r="L323" s="303"/>
      <c r="M323" s="304"/>
      <c r="N323" s="304"/>
      <c r="O323" s="304"/>
      <c r="P323" s="304"/>
      <c r="Q323" s="304"/>
    </row>
    <row r="324" spans="1:17" ht="25" customHeight="1" x14ac:dyDescent="0.3">
      <c r="A324" s="354"/>
      <c r="B324" s="349" t="s">
        <v>481</v>
      </c>
      <c r="C324" s="352"/>
      <c r="D324" s="352"/>
      <c r="E324" s="352"/>
      <c r="F324" s="249"/>
      <c r="G324" s="249"/>
      <c r="H324" s="249"/>
      <c r="I324" s="252"/>
      <c r="J324" s="252"/>
      <c r="K324" s="303"/>
      <c r="L324" s="303"/>
      <c r="M324" s="304"/>
      <c r="N324" s="304"/>
      <c r="O324" s="304"/>
      <c r="P324" s="304"/>
      <c r="Q324" s="304"/>
    </row>
    <row r="325" spans="1:17" ht="25" customHeight="1" x14ac:dyDescent="0.3">
      <c r="A325" s="354"/>
      <c r="B325" s="349" t="s">
        <v>480</v>
      </c>
      <c r="C325" s="352"/>
      <c r="D325" s="352"/>
      <c r="E325" s="352"/>
      <c r="F325" s="249"/>
      <c r="G325" s="249"/>
      <c r="H325" s="249"/>
      <c r="I325" s="252"/>
      <c r="J325" s="252"/>
      <c r="K325" s="303"/>
      <c r="L325" s="303"/>
      <c r="M325" s="304"/>
      <c r="N325" s="304"/>
      <c r="O325" s="304"/>
      <c r="P325" s="304"/>
      <c r="Q325" s="304"/>
    </row>
    <row r="326" spans="1:17" ht="25" customHeight="1" x14ac:dyDescent="0.3">
      <c r="A326" s="354"/>
      <c r="B326" s="361" t="s">
        <v>380</v>
      </c>
      <c r="C326" s="364">
        <f>SUM(C314:C325)</f>
        <v>9</v>
      </c>
      <c r="D326" s="364">
        <f>SUM(D314:D325)</f>
        <v>3</v>
      </c>
      <c r="E326" s="364">
        <f>SUM(E314:E325)</f>
        <v>3</v>
      </c>
      <c r="F326" s="249"/>
      <c r="G326" s="249"/>
      <c r="H326" s="249"/>
      <c r="I326" s="252"/>
      <c r="J326" s="252"/>
      <c r="K326" s="303"/>
      <c r="L326" s="303"/>
      <c r="M326" s="304"/>
      <c r="N326" s="304"/>
      <c r="O326" s="304"/>
      <c r="P326" s="304"/>
      <c r="Q326" s="304"/>
    </row>
    <row r="327" spans="1:17" ht="25" customHeight="1" x14ac:dyDescent="0.3">
      <c r="A327" s="355" t="s">
        <v>502</v>
      </c>
      <c r="B327" s="355" t="s">
        <v>503</v>
      </c>
      <c r="C327" s="352"/>
      <c r="D327" s="352"/>
      <c r="E327" s="352"/>
      <c r="F327" s="254">
        <f>I327+J327+K327</f>
        <v>0</v>
      </c>
      <c r="G327" s="259">
        <v>40</v>
      </c>
      <c r="H327" s="249">
        <f>C327*D327*E327*G327</f>
        <v>0</v>
      </c>
      <c r="I327" s="251">
        <f>IF(G327&lt;70, C327*E327*16.5*1, C327*E327*16.5*1.3)</f>
        <v>0</v>
      </c>
      <c r="J327" s="252"/>
      <c r="K327" s="303"/>
      <c r="L327" s="303"/>
      <c r="M327" s="304"/>
      <c r="N327" s="304"/>
      <c r="O327" s="304"/>
      <c r="P327" s="304"/>
      <c r="Q327" s="304"/>
    </row>
    <row r="328" spans="1:17" ht="25" customHeight="1" x14ac:dyDescent="0.3">
      <c r="A328" s="355">
        <v>1</v>
      </c>
      <c r="B328" s="357" t="s">
        <v>225</v>
      </c>
      <c r="C328" s="352"/>
      <c r="D328" s="352"/>
      <c r="E328" s="352"/>
      <c r="F328" s="254">
        <f>I328+J328+K328</f>
        <v>0</v>
      </c>
      <c r="G328" s="259">
        <v>40</v>
      </c>
      <c r="H328" s="249">
        <f>C328*D328*E328*G328</f>
        <v>0</v>
      </c>
      <c r="I328" s="251">
        <f>IF(G328&lt;70, C328*E328*16.5*1, C328*E328*16.5*1.3)</f>
        <v>0</v>
      </c>
      <c r="J328" s="252"/>
      <c r="K328" s="303"/>
      <c r="L328" s="303"/>
      <c r="M328" s="304"/>
      <c r="N328" s="304"/>
      <c r="O328" s="304"/>
      <c r="P328" s="304"/>
      <c r="Q328" s="304"/>
    </row>
    <row r="329" spans="1:17" ht="25" customHeight="1" x14ac:dyDescent="0.3">
      <c r="A329" s="355" t="s">
        <v>381</v>
      </c>
      <c r="B329" s="357" t="s">
        <v>163</v>
      </c>
      <c r="C329" s="352"/>
      <c r="D329" s="352"/>
      <c r="E329" s="352"/>
      <c r="F329" s="249">
        <f>SUM(F327:F328)</f>
        <v>0</v>
      </c>
      <c r="G329" s="246">
        <f>SUM(G327:G328)</f>
        <v>80</v>
      </c>
      <c r="H329" s="246">
        <f>SUM(H327:H328)</f>
        <v>0</v>
      </c>
      <c r="I329" s="246">
        <f>SUM(I327:I328)</f>
        <v>0</v>
      </c>
      <c r="J329" s="246">
        <f>SUM(J327:J328)</f>
        <v>0</v>
      </c>
      <c r="K329" s="303"/>
      <c r="L329" s="303"/>
      <c r="M329" s="304"/>
      <c r="N329" s="304"/>
      <c r="O329" s="304"/>
      <c r="P329" s="304"/>
      <c r="Q329" s="304"/>
    </row>
    <row r="330" spans="1:17" s="405" customFormat="1" ht="25" customHeight="1" x14ac:dyDescent="0.3">
      <c r="A330" s="399" t="s">
        <v>226</v>
      </c>
      <c r="B330" s="397" t="s">
        <v>677</v>
      </c>
      <c r="C330" s="400">
        <v>2</v>
      </c>
      <c r="D330" s="400">
        <v>1</v>
      </c>
      <c r="E330" s="400">
        <v>5</v>
      </c>
      <c r="F330" s="414">
        <f t="shared" ref="F330:K330" si="45">F273+F295+F308+F329+F323</f>
        <v>110522.5</v>
      </c>
      <c r="G330" s="415">
        <f t="shared" si="45"/>
        <v>2041</v>
      </c>
      <c r="H330" s="415">
        <f t="shared" si="45"/>
        <v>463159</v>
      </c>
      <c r="I330" s="415">
        <f t="shared" si="45"/>
        <v>103388.75</v>
      </c>
      <c r="J330" s="415">
        <f t="shared" si="45"/>
        <v>2618.75</v>
      </c>
      <c r="K330" s="415">
        <f t="shared" si="45"/>
        <v>4515</v>
      </c>
      <c r="L330" s="416">
        <f>'Bieu3 QLGD'!F25</f>
        <v>1890</v>
      </c>
      <c r="M330" s="417">
        <f>'Bieu3 QLGD'!N25</f>
        <v>1606.5</v>
      </c>
      <c r="N330" s="417">
        <f>I330-M330</f>
        <v>101782.25</v>
      </c>
      <c r="O330" s="417">
        <f>'Bieu3 QLGD'!O25</f>
        <v>1266.75</v>
      </c>
      <c r="P330" s="417">
        <f>'Bieu3 QLGD'!P25</f>
        <v>650</v>
      </c>
      <c r="Q330" s="417"/>
    </row>
    <row r="331" spans="1:17" s="405" customFormat="1" ht="25" customHeight="1" x14ac:dyDescent="0.3">
      <c r="A331" s="399" t="s">
        <v>226</v>
      </c>
      <c r="B331" s="397" t="s">
        <v>678</v>
      </c>
      <c r="C331" s="400">
        <v>2</v>
      </c>
      <c r="D331" s="400">
        <v>1</v>
      </c>
      <c r="E331" s="400">
        <v>4</v>
      </c>
      <c r="F331" s="418"/>
      <c r="G331" s="419"/>
      <c r="H331" s="419"/>
      <c r="I331" s="419"/>
      <c r="J331" s="419"/>
      <c r="K331" s="419"/>
      <c r="L331" s="420"/>
      <c r="M331" s="404"/>
      <c r="N331" s="404"/>
      <c r="O331" s="404"/>
      <c r="P331" s="404"/>
      <c r="Q331" s="404"/>
    </row>
    <row r="332" spans="1:17" s="405" customFormat="1" ht="25" customHeight="1" x14ac:dyDescent="0.3">
      <c r="A332" s="399" t="s">
        <v>227</v>
      </c>
      <c r="B332" s="397" t="s">
        <v>679</v>
      </c>
      <c r="C332" s="400">
        <v>2</v>
      </c>
      <c r="D332" s="400">
        <v>1</v>
      </c>
      <c r="E332" s="400">
        <v>4</v>
      </c>
      <c r="F332" s="401"/>
      <c r="G332" s="401"/>
      <c r="H332" s="401"/>
      <c r="I332" s="401"/>
      <c r="J332" s="401"/>
      <c r="K332" s="402"/>
      <c r="L332" s="403"/>
      <c r="M332" s="403"/>
      <c r="N332" s="403"/>
      <c r="O332" s="403"/>
      <c r="P332" s="403"/>
      <c r="Q332" s="404"/>
    </row>
    <row r="333" spans="1:17" s="405" customFormat="1" ht="25" customHeight="1" x14ac:dyDescent="0.3">
      <c r="A333" s="399"/>
      <c r="B333" s="406" t="s">
        <v>380</v>
      </c>
      <c r="C333" s="407">
        <f>SUM(C331:C332)</f>
        <v>4</v>
      </c>
      <c r="D333" s="407">
        <f>SUM(D331:D332)</f>
        <v>2</v>
      </c>
      <c r="E333" s="407">
        <f>SUM(E331:E332)</f>
        <v>8</v>
      </c>
      <c r="F333" s="408"/>
      <c r="G333" s="408"/>
      <c r="H333" s="408"/>
      <c r="I333" s="408"/>
      <c r="J333" s="408"/>
      <c r="K333" s="409"/>
      <c r="L333" s="410"/>
      <c r="M333" s="410"/>
      <c r="N333" s="410"/>
      <c r="O333" s="410"/>
      <c r="P333" s="410"/>
      <c r="Q333" s="404"/>
    </row>
    <row r="334" spans="1:17" s="405" customFormat="1" ht="25" customHeight="1" x14ac:dyDescent="0.3">
      <c r="A334" s="399"/>
      <c r="B334" s="406" t="s">
        <v>482</v>
      </c>
      <c r="C334" s="407">
        <f>C273+C295+C311+C333+C326</f>
        <v>330</v>
      </c>
      <c r="D334" s="407">
        <f>D273+D295+D311+D333+D326</f>
        <v>58.6</v>
      </c>
      <c r="E334" s="407">
        <f>E273+E295+E311+E333+E326</f>
        <v>97</v>
      </c>
      <c r="F334" s="408"/>
      <c r="G334" s="408"/>
      <c r="H334" s="408"/>
      <c r="I334" s="408"/>
      <c r="J334" s="408"/>
      <c r="K334" s="409"/>
      <c r="L334" s="410"/>
      <c r="M334" s="410"/>
      <c r="N334" s="410"/>
      <c r="O334" s="410"/>
      <c r="P334" s="410"/>
      <c r="Q334" s="404"/>
    </row>
    <row r="335" spans="1:17" s="405" customFormat="1" ht="25" customHeight="1" x14ac:dyDescent="0.3">
      <c r="A335" s="411"/>
      <c r="B335" s="412"/>
      <c r="C335" s="408"/>
      <c r="D335" s="408"/>
      <c r="E335" s="413"/>
      <c r="F335" s="408"/>
      <c r="G335" s="408"/>
      <c r="H335" s="408"/>
      <c r="I335" s="408"/>
      <c r="J335" s="408"/>
      <c r="K335" s="409"/>
      <c r="L335" s="410"/>
      <c r="M335" s="410"/>
      <c r="N335" s="410"/>
      <c r="O335" s="410"/>
      <c r="P335" s="410"/>
      <c r="Q335" s="404"/>
    </row>
    <row r="336" spans="1:17" ht="25" customHeight="1" x14ac:dyDescent="0.25">
      <c r="A336" s="242" t="s">
        <v>7</v>
      </c>
      <c r="B336" s="242" t="s">
        <v>162</v>
      </c>
      <c r="C336" s="246">
        <f t="shared" ref="C336:K336" si="46">C48+C185+C211+C273+C126</f>
        <v>76</v>
      </c>
      <c r="D336" s="246">
        <f t="shared" si="46"/>
        <v>29.6</v>
      </c>
      <c r="E336" s="246">
        <f t="shared" si="46"/>
        <v>38</v>
      </c>
      <c r="F336" s="246">
        <f t="shared" si="46"/>
        <v>45451.149999999994</v>
      </c>
      <c r="G336" s="246">
        <f t="shared" si="46"/>
        <v>5620</v>
      </c>
      <c r="H336" s="246">
        <f t="shared" si="46"/>
        <v>1371917.36</v>
      </c>
      <c r="I336" s="246">
        <f t="shared" si="46"/>
        <v>45253.149999999994</v>
      </c>
      <c r="J336" s="246">
        <f t="shared" si="46"/>
        <v>198</v>
      </c>
      <c r="K336" s="246">
        <f t="shared" si="46"/>
        <v>0</v>
      </c>
      <c r="L336" s="310" t="e">
        <f>L330+L240+#REF!+L165+L85</f>
        <v>#REF!</v>
      </c>
      <c r="M336" s="310" t="e">
        <f>M330+M240+#REF!+M165+M85</f>
        <v>#REF!</v>
      </c>
      <c r="N336" s="310" t="e">
        <f>N330+N240+#REF!+N165+N85</f>
        <v>#REF!</v>
      </c>
      <c r="O336" s="310" t="e">
        <f>O330+O240+#REF!+O165+O85</f>
        <v>#REF!</v>
      </c>
      <c r="P336" s="310" t="e">
        <f>P330+P240+#REF!+P165+P85</f>
        <v>#REF!</v>
      </c>
      <c r="Q336" s="253"/>
    </row>
    <row r="337" spans="1:17" ht="25" customHeight="1" x14ac:dyDescent="0.25">
      <c r="A337" s="256" t="s">
        <v>8</v>
      </c>
      <c r="B337" s="242" t="s">
        <v>172</v>
      </c>
      <c r="C337" s="246">
        <f t="shared" ref="C337:K337" si="47">C308+C295+C223+C195+C63+C146</f>
        <v>63</v>
      </c>
      <c r="D337" s="246">
        <f t="shared" si="47"/>
        <v>17</v>
      </c>
      <c r="E337" s="246">
        <f t="shared" si="47"/>
        <v>62</v>
      </c>
      <c r="F337" s="246">
        <f t="shared" si="47"/>
        <v>58648.25</v>
      </c>
      <c r="G337" s="246">
        <f t="shared" si="47"/>
        <v>928</v>
      </c>
      <c r="H337" s="246">
        <f t="shared" si="47"/>
        <v>217128</v>
      </c>
      <c r="I337" s="246">
        <f t="shared" si="47"/>
        <v>52494.5</v>
      </c>
      <c r="J337" s="246">
        <f t="shared" si="47"/>
        <v>1638.75</v>
      </c>
      <c r="K337" s="246">
        <f t="shared" si="47"/>
        <v>4515</v>
      </c>
      <c r="L337" s="246">
        <f>L308+L295+L223+L195+L146</f>
        <v>0</v>
      </c>
      <c r="M337" s="246">
        <f>M308+M295+M223+M195+M146</f>
        <v>0</v>
      </c>
      <c r="N337" s="246">
        <f>N308+N295+N223+N195+N146</f>
        <v>0</v>
      </c>
      <c r="O337" s="246">
        <f>O308+O295+O223+O195+O146</f>
        <v>0</v>
      </c>
      <c r="P337" s="246">
        <f>P308+P295+P223+P195+P146</f>
        <v>0</v>
      </c>
      <c r="Q337" s="253"/>
    </row>
    <row r="338" spans="1:17" ht="25" customHeight="1" x14ac:dyDescent="0.25">
      <c r="A338" s="256" t="s">
        <v>25</v>
      </c>
      <c r="B338" s="245" t="s">
        <v>166</v>
      </c>
      <c r="C338" s="246">
        <f t="shared" ref="C338:J338" si="48">C323+C229</f>
        <v>0</v>
      </c>
      <c r="D338" s="246">
        <f t="shared" si="48"/>
        <v>0</v>
      </c>
      <c r="E338" s="246">
        <f t="shared" si="48"/>
        <v>0</v>
      </c>
      <c r="F338" s="246">
        <f t="shared" si="48"/>
        <v>99720</v>
      </c>
      <c r="G338" s="246">
        <f t="shared" si="48"/>
        <v>33</v>
      </c>
      <c r="H338" s="246">
        <f t="shared" si="48"/>
        <v>452760</v>
      </c>
      <c r="I338" s="246">
        <f t="shared" si="48"/>
        <v>98740</v>
      </c>
      <c r="J338" s="246">
        <f t="shared" si="48"/>
        <v>980</v>
      </c>
      <c r="K338" s="246">
        <f t="shared" ref="K338:P338" si="49">K329+K229</f>
        <v>0</v>
      </c>
      <c r="L338" s="246">
        <f t="shared" si="49"/>
        <v>0</v>
      </c>
      <c r="M338" s="246">
        <f t="shared" si="49"/>
        <v>0</v>
      </c>
      <c r="N338" s="246">
        <f t="shared" si="49"/>
        <v>0</v>
      </c>
      <c r="O338" s="246">
        <f t="shared" si="49"/>
        <v>0</v>
      </c>
      <c r="P338" s="246">
        <f t="shared" si="49"/>
        <v>0</v>
      </c>
      <c r="Q338" s="253"/>
    </row>
    <row r="339" spans="1:17" ht="25" customHeight="1" x14ac:dyDescent="0.25">
      <c r="A339" s="256"/>
      <c r="B339" s="245" t="s">
        <v>542</v>
      </c>
      <c r="C339" s="246" t="e">
        <f>C329+C239+#REF!+C164+C83</f>
        <v>#REF!</v>
      </c>
      <c r="D339" s="246" t="e">
        <f>D329+D239+#REF!+D164+D83</f>
        <v>#REF!</v>
      </c>
      <c r="E339" s="246" t="e">
        <f>E329+E239+#REF!+E164+E83</f>
        <v>#REF!</v>
      </c>
      <c r="F339" s="246" t="e">
        <f>F329+F239+#REF!+F164+F83</f>
        <v>#REF!</v>
      </c>
      <c r="G339" s="246" t="e">
        <f>G329+G239+#REF!+G164+G83</f>
        <v>#REF!</v>
      </c>
      <c r="H339" s="246" t="e">
        <f>H329+H239+#REF!+H164+H83</f>
        <v>#REF!</v>
      </c>
      <c r="I339" s="246" t="e">
        <f>I329+I239+#REF!+I164+I83</f>
        <v>#REF!</v>
      </c>
      <c r="J339" s="246" t="e">
        <f>J329+J239+#REF!+J164+J83</f>
        <v>#REF!</v>
      </c>
      <c r="K339" s="246" t="e">
        <f>K329+K239+#REF!+K164+K83</f>
        <v>#REF!</v>
      </c>
      <c r="L339" s="246" t="e">
        <f>L329+L239+#REF!+L164+L83</f>
        <v>#REF!</v>
      </c>
      <c r="M339" s="246" t="e">
        <f>M329+M239+#REF!+M164+M83</f>
        <v>#REF!</v>
      </c>
      <c r="N339" s="246" t="e">
        <f>N329+N239+#REF!+N164+N83</f>
        <v>#REF!</v>
      </c>
      <c r="O339" s="246" t="e">
        <f>O329+O239+#REF!+O164+O83</f>
        <v>#REF!</v>
      </c>
      <c r="P339" s="246" t="e">
        <f>P329+P239+#REF!+P164+P83</f>
        <v>#REF!</v>
      </c>
      <c r="Q339" s="253"/>
    </row>
    <row r="340" spans="1:17" ht="25" customHeight="1" x14ac:dyDescent="0.25">
      <c r="A340" s="256"/>
      <c r="B340" s="245" t="s">
        <v>543</v>
      </c>
      <c r="C340" s="246"/>
      <c r="D340" s="246"/>
      <c r="E340" s="246"/>
      <c r="F340" s="246"/>
      <c r="G340" s="246"/>
      <c r="H340" s="246"/>
      <c r="I340" s="246"/>
      <c r="J340" s="246"/>
      <c r="K340" s="311"/>
      <c r="L340" s="311"/>
      <c r="M340" s="311"/>
      <c r="N340" s="311"/>
      <c r="O340" s="311"/>
      <c r="P340" s="311"/>
      <c r="Q340" s="253"/>
    </row>
    <row r="341" spans="1:17" ht="25" customHeight="1" x14ac:dyDescent="0.25">
      <c r="A341" s="238"/>
      <c r="B341" s="264" t="s">
        <v>484</v>
      </c>
      <c r="C341" s="260" t="e">
        <f>C330+C240+#REF!+C165+C85</f>
        <v>#REF!</v>
      </c>
      <c r="D341" s="260" t="e">
        <f>D330+D240+#REF!+D165+D85</f>
        <v>#REF!</v>
      </c>
      <c r="E341" s="260" t="e">
        <f>E330+E240+#REF!+E165+E85</f>
        <v>#REF!</v>
      </c>
      <c r="F341" s="260" t="e">
        <f>F330+F240+#REF!+F165+F85</f>
        <v>#REF!</v>
      </c>
      <c r="G341" s="260" t="e">
        <f>G330+G240+#REF!+G165+G85</f>
        <v>#REF!</v>
      </c>
      <c r="H341" s="260" t="e">
        <f>H330+H240+#REF!+H165+H85</f>
        <v>#REF!</v>
      </c>
      <c r="I341" s="260" t="e">
        <f>I330+I240+#REF!+I165+I85</f>
        <v>#REF!</v>
      </c>
      <c r="J341" s="260" t="e">
        <f>J330+J240+#REF!+J165+J85</f>
        <v>#REF!</v>
      </c>
      <c r="K341" s="260" t="e">
        <f>K330+K240+#REF!+K165+K85</f>
        <v>#REF!</v>
      </c>
      <c r="L341" s="312" t="e">
        <f>L330+L240+#REF!+L165+L85</f>
        <v>#REF!</v>
      </c>
      <c r="M341" s="313" t="e">
        <f>M330+M240+#REF!+M165+M85</f>
        <v>#REF!</v>
      </c>
      <c r="N341" s="313" t="e">
        <f>N330+N240+#REF!+N165+N85</f>
        <v>#REF!</v>
      </c>
      <c r="O341" s="312" t="e">
        <f>O330+O240+#REF!+O165+O85</f>
        <v>#REF!</v>
      </c>
      <c r="P341" s="312" t="e">
        <f>P330+P240+#REF!+P165+P85</f>
        <v>#REF!</v>
      </c>
      <c r="Q341" s="253"/>
    </row>
    <row r="342" spans="1:17" x14ac:dyDescent="0.3">
      <c r="C342" s="174"/>
      <c r="D342" s="1450" t="s">
        <v>570</v>
      </c>
      <c r="E342" s="1450"/>
      <c r="F342" s="1450"/>
      <c r="G342" s="1450"/>
      <c r="H342" s="1450"/>
      <c r="I342" s="1450"/>
      <c r="J342" s="241" t="e">
        <f>J341+K341</f>
        <v>#REF!</v>
      </c>
      <c r="K342" s="10"/>
      <c r="L342" s="10"/>
      <c r="M342" s="10"/>
      <c r="N342" s="1451" t="s">
        <v>589</v>
      </c>
      <c r="O342" s="1451"/>
      <c r="P342" s="1451"/>
      <c r="Q342" s="1451"/>
    </row>
    <row r="343" spans="1:17" ht="12.75" customHeight="1" x14ac:dyDescent="0.3">
      <c r="A343" s="14"/>
      <c r="B343" s="14"/>
      <c r="C343" s="174"/>
      <c r="D343" s="174"/>
      <c r="E343" s="174"/>
      <c r="F343" s="174"/>
      <c r="G343" s="174"/>
      <c r="H343" s="174"/>
      <c r="I343" s="174"/>
      <c r="J343" s="174"/>
      <c r="K343" s="10"/>
      <c r="L343" s="10"/>
      <c r="M343" s="10"/>
      <c r="N343" s="1442" t="s">
        <v>548</v>
      </c>
      <c r="O343" s="1442"/>
      <c r="P343" s="1442"/>
      <c r="Q343" s="1442"/>
    </row>
    <row r="344" spans="1:17" x14ac:dyDescent="0.3">
      <c r="A344" s="14"/>
      <c r="B344" s="1452" t="s">
        <v>150</v>
      </c>
      <c r="C344" s="1452"/>
      <c r="D344" s="1452"/>
      <c r="E344" s="1452"/>
      <c r="F344" s="1452"/>
      <c r="G344" s="1452"/>
      <c r="H344" s="1452"/>
      <c r="I344" s="1452"/>
      <c r="J344" s="1452"/>
      <c r="K344" s="1452"/>
      <c r="L344" s="10"/>
      <c r="M344" s="10"/>
      <c r="N344" s="10"/>
      <c r="O344" s="10"/>
      <c r="P344" s="10"/>
      <c r="Q344" s="153"/>
    </row>
    <row r="345" spans="1:17" ht="26.25" customHeight="1" x14ac:dyDescent="0.3">
      <c r="A345" s="14"/>
      <c r="B345" s="1463" t="s">
        <v>237</v>
      </c>
      <c r="C345" s="1463"/>
      <c r="D345" s="1463"/>
      <c r="E345" s="1463"/>
      <c r="F345" s="1463"/>
      <c r="G345" s="1463"/>
      <c r="H345" s="1463"/>
      <c r="I345" s="1463"/>
      <c r="J345" s="1463"/>
      <c r="K345" s="1463"/>
      <c r="L345" s="10"/>
      <c r="M345" s="10"/>
      <c r="N345" s="10"/>
      <c r="O345" s="10"/>
      <c r="P345" s="10"/>
      <c r="Q345" s="153"/>
    </row>
    <row r="346" spans="1:17" ht="30" customHeight="1" x14ac:dyDescent="0.3">
      <c r="A346" s="14"/>
      <c r="B346" s="1448" t="s">
        <v>74</v>
      </c>
      <c r="C346" s="1448"/>
      <c r="D346" s="1448"/>
      <c r="E346" s="1448"/>
      <c r="F346" s="1448"/>
      <c r="G346" s="1448"/>
      <c r="H346" s="1448"/>
      <c r="I346" s="1448"/>
      <c r="J346" s="1448"/>
      <c r="K346" s="1448"/>
      <c r="L346" s="10"/>
      <c r="M346" s="10"/>
      <c r="N346" s="1435" t="s">
        <v>549</v>
      </c>
      <c r="O346" s="1435"/>
      <c r="P346" s="1435"/>
      <c r="Q346" s="1435"/>
    </row>
  </sheetData>
  <mergeCells count="30">
    <mergeCell ref="A5:A6"/>
    <mergeCell ref="B5:B6"/>
    <mergeCell ref="C5:C6"/>
    <mergeCell ref="D5:D6"/>
    <mergeCell ref="E5:E6"/>
    <mergeCell ref="A1:C1"/>
    <mergeCell ref="I1:N1"/>
    <mergeCell ref="A2:C2"/>
    <mergeCell ref="I2:N2"/>
    <mergeCell ref="A3:Q3"/>
    <mergeCell ref="Q128:Q134"/>
    <mergeCell ref="F5:F6"/>
    <mergeCell ref="G5:G6"/>
    <mergeCell ref="H5:H6"/>
    <mergeCell ref="I5:K5"/>
    <mergeCell ref="L5:L6"/>
    <mergeCell ref="M5:M6"/>
    <mergeCell ref="N5:N6"/>
    <mergeCell ref="O5:O6"/>
    <mergeCell ref="P5:P6"/>
    <mergeCell ref="Q5:Q6"/>
    <mergeCell ref="Q50:Q52"/>
    <mergeCell ref="B346:K346"/>
    <mergeCell ref="N346:Q346"/>
    <mergeCell ref="M300:Q300"/>
    <mergeCell ref="D342:I342"/>
    <mergeCell ref="N342:Q342"/>
    <mergeCell ref="N343:Q343"/>
    <mergeCell ref="B344:K344"/>
    <mergeCell ref="B345:K345"/>
  </mergeCells>
  <pageMargins left="0.2" right="0.2" top="0.5" bottom="0.42" header="0.62" footer="0.6"/>
  <pageSetup paperSize="9" scale="8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C71" sqref="C71"/>
    </sheetView>
  </sheetViews>
  <sheetFormatPr defaultColWidth="9.1796875" defaultRowHeight="13" x14ac:dyDescent="0.3"/>
  <cols>
    <col min="1" max="1" width="5.453125" style="327" customWidth="1"/>
    <col min="2" max="2" width="41.1796875" style="327" customWidth="1"/>
    <col min="3" max="3" width="7" style="319" customWidth="1"/>
    <col min="4" max="4" width="7" style="319" hidden="1" customWidth="1"/>
    <col min="5" max="5" width="6" style="319" customWidth="1"/>
    <col min="6" max="6" width="7.453125" style="175" customWidth="1"/>
    <col min="7" max="7" width="6.81640625" style="319" customWidth="1"/>
    <col min="8" max="8" width="11.1796875" style="319" customWidth="1"/>
    <col min="9" max="10" width="8.36328125" style="319" customWidth="1"/>
    <col min="11" max="11" width="6.453125" style="328" customWidth="1"/>
    <col min="12" max="12" width="7.6328125" style="328" customWidth="1"/>
    <col min="13" max="13" width="9.453125" style="328" customWidth="1"/>
    <col min="14" max="14" width="11" style="328" customWidth="1"/>
    <col min="15" max="15" width="6.6328125" style="328" customWidth="1"/>
    <col min="16" max="16" width="9.6328125" style="328" customWidth="1"/>
    <col min="17" max="17" width="12.6328125" style="197" customWidth="1"/>
    <col min="18" max="16384" width="9.1796875" style="197"/>
  </cols>
  <sheetData>
    <row r="1" spans="1:17" ht="14.25" customHeight="1" x14ac:dyDescent="0.3">
      <c r="A1" s="1459" t="s">
        <v>3</v>
      </c>
      <c r="B1" s="1459"/>
      <c r="C1" s="1459"/>
      <c r="D1" s="14"/>
      <c r="E1" s="14"/>
      <c r="F1" s="14"/>
      <c r="G1" s="14"/>
      <c r="H1" s="174"/>
      <c r="I1" s="1435"/>
      <c r="J1" s="1435"/>
      <c r="K1" s="1435"/>
      <c r="L1" s="1435"/>
      <c r="M1" s="1435"/>
      <c r="N1" s="1435"/>
      <c r="O1" s="15"/>
      <c r="P1" s="15"/>
      <c r="Q1" s="320" t="s">
        <v>30</v>
      </c>
    </row>
    <row r="2" spans="1:17" x14ac:dyDescent="0.3">
      <c r="A2" s="1439" t="s">
        <v>530</v>
      </c>
      <c r="B2" s="1439"/>
      <c r="C2" s="1439"/>
      <c r="D2" s="153"/>
      <c r="E2" s="153"/>
      <c r="F2" s="14"/>
      <c r="G2" s="153"/>
      <c r="H2" s="174"/>
      <c r="I2" s="1435"/>
      <c r="J2" s="1435"/>
      <c r="K2" s="1435"/>
      <c r="L2" s="1435"/>
      <c r="M2" s="1435"/>
      <c r="N2" s="1435"/>
      <c r="O2" s="15"/>
      <c r="P2" s="15"/>
      <c r="Q2" s="15"/>
    </row>
    <row r="3" spans="1:17" ht="30" customHeight="1" x14ac:dyDescent="0.25">
      <c r="A3" s="1437" t="s">
        <v>590</v>
      </c>
      <c r="B3" s="1437"/>
      <c r="C3" s="1437"/>
      <c r="D3" s="1437"/>
      <c r="E3" s="1437"/>
      <c r="F3" s="1437"/>
      <c r="G3" s="1437"/>
      <c r="H3" s="1437"/>
      <c r="I3" s="1437"/>
      <c r="J3" s="1437"/>
      <c r="K3" s="1437"/>
      <c r="L3" s="1437"/>
      <c r="M3" s="1437"/>
      <c r="N3" s="1437"/>
      <c r="O3" s="1437"/>
      <c r="P3" s="1437"/>
      <c r="Q3" s="1437"/>
    </row>
    <row r="4" spans="1:17" x14ac:dyDescent="0.3">
      <c r="A4" s="51"/>
      <c r="B4" s="51"/>
      <c r="C4" s="61"/>
      <c r="D4" s="61"/>
      <c r="E4" s="61"/>
      <c r="F4" s="61"/>
      <c r="G4" s="61"/>
      <c r="H4" s="61"/>
      <c r="I4" s="61"/>
      <c r="J4" s="61"/>
      <c r="K4" s="51"/>
      <c r="L4" s="51"/>
      <c r="M4" s="51"/>
      <c r="N4" s="51" t="s">
        <v>20</v>
      </c>
      <c r="O4" s="51"/>
      <c r="P4" s="51"/>
      <c r="Q4" s="61"/>
    </row>
    <row r="5" spans="1:17" ht="133.5" customHeight="1" x14ac:dyDescent="0.25">
      <c r="A5" s="1469" t="s">
        <v>0</v>
      </c>
      <c r="B5" s="1464" t="s">
        <v>171</v>
      </c>
      <c r="C5" s="1464" t="s">
        <v>204</v>
      </c>
      <c r="D5" s="1464" t="s">
        <v>205</v>
      </c>
      <c r="E5" s="1464" t="s">
        <v>152</v>
      </c>
      <c r="F5" s="1464" t="s">
        <v>159</v>
      </c>
      <c r="G5" s="1464" t="s">
        <v>208</v>
      </c>
      <c r="H5" s="1464" t="s">
        <v>207</v>
      </c>
      <c r="I5" s="1466" t="s">
        <v>209</v>
      </c>
      <c r="J5" s="1467"/>
      <c r="K5" s="1468"/>
      <c r="L5" s="1464" t="s">
        <v>210</v>
      </c>
      <c r="M5" s="1464" t="s">
        <v>211</v>
      </c>
      <c r="N5" s="1464" t="s">
        <v>39</v>
      </c>
      <c r="O5" s="1464" t="s">
        <v>86</v>
      </c>
      <c r="P5" s="1464" t="s">
        <v>87</v>
      </c>
      <c r="Q5" s="1464" t="s">
        <v>2</v>
      </c>
    </row>
    <row r="6" spans="1:17" ht="50" customHeight="1" x14ac:dyDescent="0.25">
      <c r="A6" s="1470"/>
      <c r="B6" s="1465"/>
      <c r="C6" s="1465"/>
      <c r="D6" s="1465"/>
      <c r="E6" s="1465"/>
      <c r="F6" s="1465"/>
      <c r="G6" s="1465"/>
      <c r="H6" s="1465"/>
      <c r="I6" s="196" t="s">
        <v>160</v>
      </c>
      <c r="J6" s="196" t="s">
        <v>101</v>
      </c>
      <c r="K6" s="196" t="s">
        <v>158</v>
      </c>
      <c r="L6" s="1465"/>
      <c r="M6" s="1465"/>
      <c r="N6" s="1465"/>
      <c r="O6" s="1465"/>
      <c r="P6" s="1465"/>
      <c r="Q6" s="1465"/>
    </row>
    <row r="7" spans="1:17" s="321" customFormat="1" ht="30" customHeight="1" x14ac:dyDescent="0.25">
      <c r="A7" s="199" t="s">
        <v>115</v>
      </c>
      <c r="B7" s="200" t="s">
        <v>116</v>
      </c>
      <c r="C7" s="200" t="s">
        <v>117</v>
      </c>
      <c r="D7" s="201" t="s">
        <v>118</v>
      </c>
      <c r="E7" s="201" t="s">
        <v>118</v>
      </c>
      <c r="F7" s="201" t="s">
        <v>119</v>
      </c>
      <c r="G7" s="201" t="s">
        <v>120</v>
      </c>
      <c r="H7" s="201" t="s">
        <v>596</v>
      </c>
      <c r="I7" s="201" t="s">
        <v>123</v>
      </c>
      <c r="J7" s="201" t="s">
        <v>125</v>
      </c>
      <c r="K7" s="201" t="s">
        <v>134</v>
      </c>
      <c r="L7" s="201" t="s">
        <v>126</v>
      </c>
      <c r="M7" s="201" t="s">
        <v>127</v>
      </c>
      <c r="N7" s="201" t="s">
        <v>128</v>
      </c>
      <c r="O7" s="202" t="s">
        <v>129</v>
      </c>
      <c r="P7" s="202" t="s">
        <v>130</v>
      </c>
      <c r="Q7" s="201" t="s">
        <v>206</v>
      </c>
    </row>
    <row r="8" spans="1:17" ht="25" customHeight="1" x14ac:dyDescent="0.25">
      <c r="A8" s="209" t="s">
        <v>6</v>
      </c>
      <c r="B8" s="209" t="s">
        <v>294</v>
      </c>
      <c r="C8" s="210"/>
      <c r="D8" s="210"/>
      <c r="E8" s="210"/>
      <c r="F8" s="314"/>
      <c r="G8" s="210"/>
      <c r="H8" s="210"/>
      <c r="I8" s="210"/>
      <c r="J8" s="210"/>
      <c r="K8" s="209"/>
      <c r="L8" s="209"/>
      <c r="M8" s="209"/>
      <c r="N8" s="209"/>
      <c r="O8" s="209"/>
      <c r="P8" s="209"/>
      <c r="Q8" s="209"/>
    </row>
    <row r="9" spans="1:17" ht="25" customHeight="1" x14ac:dyDescent="0.25">
      <c r="A9" s="242" t="s">
        <v>7</v>
      </c>
      <c r="B9" s="242" t="s">
        <v>591</v>
      </c>
      <c r="C9" s="243"/>
      <c r="D9" s="243"/>
      <c r="E9" s="243"/>
      <c r="F9" s="315"/>
      <c r="G9" s="243"/>
      <c r="H9" s="243"/>
      <c r="I9" s="243"/>
      <c r="J9" s="243"/>
      <c r="K9" s="242"/>
      <c r="L9" s="242"/>
      <c r="M9" s="242"/>
      <c r="N9" s="242"/>
      <c r="O9" s="242"/>
      <c r="P9" s="242"/>
      <c r="Q9" s="242"/>
    </row>
    <row r="10" spans="1:17" ht="25" customHeight="1" x14ac:dyDescent="0.25">
      <c r="A10" s="242">
        <v>1</v>
      </c>
      <c r="B10" s="242" t="s">
        <v>4</v>
      </c>
      <c r="C10" s="243"/>
      <c r="D10" s="243"/>
      <c r="E10" s="243"/>
      <c r="F10" s="315"/>
      <c r="G10" s="243"/>
      <c r="H10" s="243"/>
      <c r="I10" s="243"/>
      <c r="J10" s="243"/>
      <c r="K10" s="242"/>
      <c r="L10" s="242"/>
      <c r="M10" s="242"/>
      <c r="N10" s="242"/>
      <c r="O10" s="242"/>
      <c r="P10" s="242"/>
      <c r="Q10" s="242"/>
    </row>
    <row r="11" spans="1:17" s="3" customFormat="1" ht="25" customHeight="1" x14ac:dyDescent="0.25">
      <c r="A11" s="244" t="s">
        <v>147</v>
      </c>
      <c r="B11" s="245" t="s">
        <v>161</v>
      </c>
      <c r="C11" s="246"/>
      <c r="D11" s="246"/>
      <c r="E11" s="246"/>
      <c r="F11" s="249"/>
      <c r="G11" s="246"/>
      <c r="H11" s="246"/>
      <c r="I11" s="247"/>
      <c r="J11" s="247"/>
      <c r="K11" s="247"/>
      <c r="L11" s="247"/>
      <c r="M11" s="247"/>
      <c r="N11" s="247"/>
      <c r="O11" s="247"/>
      <c r="P11" s="247"/>
      <c r="Q11" s="248"/>
    </row>
    <row r="12" spans="1:17" s="3" customFormat="1" ht="25" customHeight="1" x14ac:dyDescent="0.25">
      <c r="A12" s="349" t="s">
        <v>226</v>
      </c>
      <c r="B12" s="372" t="s">
        <v>250</v>
      </c>
      <c r="C12" s="352">
        <v>2</v>
      </c>
      <c r="D12" s="351">
        <v>1</v>
      </c>
      <c r="E12" s="352">
        <v>1</v>
      </c>
      <c r="F12" s="254">
        <f>I12+J12+K12</f>
        <v>33</v>
      </c>
      <c r="G12" s="249">
        <v>40</v>
      </c>
      <c r="H12" s="249">
        <f>C12*D12*E12*G12</f>
        <v>80</v>
      </c>
      <c r="I12" s="251">
        <f>IF(G12&lt;70, C12*E12*16.5*1, C12*E12*16.5*1.3)</f>
        <v>33</v>
      </c>
      <c r="J12" s="247"/>
      <c r="K12" s="247"/>
      <c r="L12" s="247"/>
      <c r="M12" s="247"/>
      <c r="N12" s="247"/>
      <c r="O12" s="247"/>
      <c r="P12" s="247"/>
      <c r="Q12" s="248"/>
    </row>
    <row r="13" spans="1:17" s="3" customFormat="1" ht="25" customHeight="1" x14ac:dyDescent="0.25">
      <c r="A13" s="349" t="s">
        <v>227</v>
      </c>
      <c r="B13" s="372" t="s">
        <v>635</v>
      </c>
      <c r="C13" s="352">
        <v>1</v>
      </c>
      <c r="D13" s="352">
        <v>1.4</v>
      </c>
      <c r="E13" s="352">
        <v>14</v>
      </c>
      <c r="F13" s="254">
        <f>I13+J13+K13</f>
        <v>231</v>
      </c>
      <c r="G13" s="249">
        <v>20</v>
      </c>
      <c r="H13" s="249">
        <f t="shared" ref="H13:H44" si="0">C13*D13*E13*G13</f>
        <v>391.99999999999994</v>
      </c>
      <c r="I13" s="251">
        <f t="shared" ref="I13:I45" si="1">IF(G13&lt;70, C13*E13*16.5*1, C13*E13*16.5*1.3)</f>
        <v>231</v>
      </c>
      <c r="J13" s="247"/>
      <c r="K13" s="247"/>
      <c r="L13" s="247"/>
      <c r="M13" s="247"/>
      <c r="N13" s="247"/>
      <c r="O13" s="247"/>
      <c r="P13" s="247"/>
      <c r="Q13" s="248"/>
    </row>
    <row r="14" spans="1:17" s="3" customFormat="1" ht="25" customHeight="1" x14ac:dyDescent="0.25">
      <c r="A14" s="349" t="s">
        <v>228</v>
      </c>
      <c r="B14" s="372" t="s">
        <v>251</v>
      </c>
      <c r="C14" s="352">
        <v>2</v>
      </c>
      <c r="D14" s="352">
        <v>1</v>
      </c>
      <c r="E14" s="352">
        <v>1</v>
      </c>
      <c r="F14" s="254">
        <f t="shared" ref="F14:F46" si="2">I14+J14+K14</f>
        <v>42.9</v>
      </c>
      <c r="G14" s="249">
        <v>80</v>
      </c>
      <c r="H14" s="249">
        <f t="shared" si="0"/>
        <v>160</v>
      </c>
      <c r="I14" s="251">
        <f t="shared" si="1"/>
        <v>42.9</v>
      </c>
      <c r="J14" s="247"/>
      <c r="K14" s="247"/>
      <c r="L14" s="247"/>
      <c r="M14" s="247"/>
      <c r="N14" s="247"/>
      <c r="O14" s="247"/>
      <c r="P14" s="247"/>
      <c r="Q14" s="248"/>
    </row>
    <row r="15" spans="1:17" s="3" customFormat="1" ht="25" customHeight="1" x14ac:dyDescent="0.25">
      <c r="A15" s="349" t="s">
        <v>229</v>
      </c>
      <c r="B15" s="372" t="s">
        <v>636</v>
      </c>
      <c r="C15" s="352">
        <v>2</v>
      </c>
      <c r="D15" s="352">
        <v>1</v>
      </c>
      <c r="E15" s="352">
        <v>3</v>
      </c>
      <c r="F15" s="254">
        <f t="shared" si="2"/>
        <v>128.70000000000002</v>
      </c>
      <c r="G15" s="249">
        <v>70</v>
      </c>
      <c r="H15" s="249">
        <f t="shared" si="0"/>
        <v>420</v>
      </c>
      <c r="I15" s="251">
        <f t="shared" si="1"/>
        <v>128.70000000000002</v>
      </c>
      <c r="J15" s="247"/>
      <c r="K15" s="247"/>
      <c r="L15" s="247"/>
      <c r="M15" s="247"/>
      <c r="N15" s="247"/>
      <c r="O15" s="247"/>
      <c r="P15" s="247"/>
      <c r="Q15" s="248"/>
    </row>
    <row r="16" spans="1:17" s="3" customFormat="1" ht="25" customHeight="1" x14ac:dyDescent="0.3">
      <c r="A16" s="349" t="s">
        <v>230</v>
      </c>
      <c r="B16" s="373" t="s">
        <v>637</v>
      </c>
      <c r="C16" s="352">
        <v>2</v>
      </c>
      <c r="D16" s="352">
        <v>1</v>
      </c>
      <c r="E16" s="352">
        <v>3</v>
      </c>
      <c r="F16" s="254">
        <f t="shared" si="2"/>
        <v>128.70000000000002</v>
      </c>
      <c r="G16" s="249">
        <v>70</v>
      </c>
      <c r="H16" s="249">
        <f t="shared" si="0"/>
        <v>420</v>
      </c>
      <c r="I16" s="251">
        <f t="shared" si="1"/>
        <v>128.70000000000002</v>
      </c>
      <c r="J16" s="247"/>
      <c r="K16" s="247"/>
      <c r="L16" s="247"/>
      <c r="M16" s="247"/>
      <c r="N16" s="247"/>
      <c r="O16" s="247"/>
      <c r="P16" s="247"/>
      <c r="Q16" s="248"/>
    </row>
    <row r="17" spans="1:17" s="3" customFormat="1" ht="25" customHeight="1" x14ac:dyDescent="0.25">
      <c r="A17" s="349" t="s">
        <v>231</v>
      </c>
      <c r="B17" s="372" t="s">
        <v>259</v>
      </c>
      <c r="C17" s="352">
        <v>5</v>
      </c>
      <c r="D17" s="352">
        <v>1</v>
      </c>
      <c r="E17" s="352">
        <v>4</v>
      </c>
      <c r="F17" s="254">
        <f t="shared" si="2"/>
        <v>429</v>
      </c>
      <c r="G17" s="249">
        <v>70</v>
      </c>
      <c r="H17" s="249">
        <f t="shared" si="0"/>
        <v>1400</v>
      </c>
      <c r="I17" s="251">
        <f t="shared" si="1"/>
        <v>429</v>
      </c>
      <c r="J17" s="247"/>
      <c r="K17" s="247"/>
      <c r="L17" s="247"/>
      <c r="M17" s="247"/>
      <c r="N17" s="247"/>
      <c r="O17" s="247"/>
      <c r="P17" s="247"/>
      <c r="Q17" s="248"/>
    </row>
    <row r="18" spans="1:17" s="3" customFormat="1" ht="25" customHeight="1" x14ac:dyDescent="0.25">
      <c r="A18" s="349" t="s">
        <v>282</v>
      </c>
      <c r="B18" s="372" t="s">
        <v>249</v>
      </c>
      <c r="C18" s="351">
        <v>2</v>
      </c>
      <c r="D18" s="351">
        <v>1</v>
      </c>
      <c r="E18" s="351">
        <v>1</v>
      </c>
      <c r="F18" s="254">
        <f t="shared" si="2"/>
        <v>33</v>
      </c>
      <c r="G18" s="251">
        <v>40</v>
      </c>
      <c r="H18" s="249">
        <f t="shared" si="0"/>
        <v>80</v>
      </c>
      <c r="I18" s="251">
        <f t="shared" si="1"/>
        <v>33</v>
      </c>
      <c r="J18" s="247"/>
      <c r="K18" s="247"/>
      <c r="L18" s="247"/>
      <c r="M18" s="247"/>
      <c r="N18" s="247"/>
      <c r="O18" s="247"/>
      <c r="P18" s="247"/>
      <c r="Q18" s="248"/>
    </row>
    <row r="19" spans="1:17" s="3" customFormat="1" ht="25" customHeight="1" x14ac:dyDescent="0.3">
      <c r="A19" s="349" t="s">
        <v>283</v>
      </c>
      <c r="B19" s="373" t="s">
        <v>638</v>
      </c>
      <c r="C19" s="352">
        <v>2</v>
      </c>
      <c r="D19" s="352">
        <v>1</v>
      </c>
      <c r="E19" s="352">
        <v>2</v>
      </c>
      <c r="F19" s="254">
        <f t="shared" si="2"/>
        <v>85.8</v>
      </c>
      <c r="G19" s="249">
        <v>80</v>
      </c>
      <c r="H19" s="249">
        <f t="shared" si="0"/>
        <v>320</v>
      </c>
      <c r="I19" s="251">
        <f t="shared" si="1"/>
        <v>85.8</v>
      </c>
      <c r="J19" s="247"/>
      <c r="K19" s="247"/>
      <c r="L19" s="247"/>
      <c r="M19" s="247"/>
      <c r="N19" s="247"/>
      <c r="O19" s="247"/>
      <c r="P19" s="247"/>
      <c r="Q19" s="248"/>
    </row>
    <row r="20" spans="1:17" s="3" customFormat="1" ht="25" customHeight="1" x14ac:dyDescent="0.25">
      <c r="A20" s="349" t="s">
        <v>284</v>
      </c>
      <c r="B20" s="372" t="s">
        <v>639</v>
      </c>
      <c r="C20" s="352">
        <v>1</v>
      </c>
      <c r="D20" s="352">
        <v>1.4</v>
      </c>
      <c r="E20" s="352">
        <v>6</v>
      </c>
      <c r="F20" s="254">
        <f t="shared" si="2"/>
        <v>99</v>
      </c>
      <c r="G20" s="249">
        <v>20</v>
      </c>
      <c r="H20" s="249">
        <f t="shared" si="0"/>
        <v>167.99999999999997</v>
      </c>
      <c r="I20" s="251">
        <f t="shared" si="1"/>
        <v>99</v>
      </c>
      <c r="J20" s="247"/>
      <c r="K20" s="247"/>
      <c r="L20" s="247"/>
      <c r="M20" s="247"/>
      <c r="N20" s="247"/>
      <c r="O20" s="247"/>
      <c r="P20" s="247"/>
      <c r="Q20" s="248"/>
    </row>
    <row r="21" spans="1:17" s="3" customFormat="1" ht="25" customHeight="1" x14ac:dyDescent="0.25">
      <c r="A21" s="349" t="s">
        <v>285</v>
      </c>
      <c r="B21" s="372" t="s">
        <v>640</v>
      </c>
      <c r="C21" s="352">
        <v>3</v>
      </c>
      <c r="D21" s="352">
        <v>1</v>
      </c>
      <c r="E21" s="352">
        <v>2</v>
      </c>
      <c r="F21" s="254">
        <f t="shared" si="2"/>
        <v>128.70000000000002</v>
      </c>
      <c r="G21" s="249">
        <v>80</v>
      </c>
      <c r="H21" s="249">
        <f t="shared" si="0"/>
        <v>480</v>
      </c>
      <c r="I21" s="251">
        <f t="shared" si="1"/>
        <v>128.70000000000002</v>
      </c>
      <c r="J21" s="252"/>
      <c r="K21" s="252"/>
      <c r="L21" s="252"/>
      <c r="M21" s="252"/>
      <c r="N21" s="252"/>
      <c r="O21" s="252"/>
      <c r="P21" s="252"/>
      <c r="Q21" s="253"/>
    </row>
    <row r="22" spans="1:17" s="3" customFormat="1" ht="25" customHeight="1" x14ac:dyDescent="0.25">
      <c r="A22" s="349" t="s">
        <v>286</v>
      </c>
      <c r="B22" s="372" t="s">
        <v>252</v>
      </c>
      <c r="C22" s="352">
        <v>2</v>
      </c>
      <c r="D22" s="352">
        <v>1</v>
      </c>
      <c r="E22" s="352">
        <v>1</v>
      </c>
      <c r="F22" s="254">
        <f t="shared" si="2"/>
        <v>33</v>
      </c>
      <c r="G22" s="249">
        <v>40</v>
      </c>
      <c r="H22" s="249">
        <f t="shared" si="0"/>
        <v>80</v>
      </c>
      <c r="I22" s="251">
        <f t="shared" si="1"/>
        <v>33</v>
      </c>
      <c r="J22" s="252"/>
      <c r="K22" s="252"/>
      <c r="L22" s="252"/>
      <c r="M22" s="252"/>
      <c r="N22" s="252"/>
      <c r="O22" s="252"/>
      <c r="P22" s="252"/>
      <c r="Q22" s="253"/>
    </row>
    <row r="23" spans="1:17" s="3" customFormat="1" ht="25" customHeight="1" x14ac:dyDescent="0.25">
      <c r="A23" s="349" t="s">
        <v>289</v>
      </c>
      <c r="B23" s="372" t="s">
        <v>253</v>
      </c>
      <c r="C23" s="352">
        <v>2</v>
      </c>
      <c r="D23" s="352">
        <v>1</v>
      </c>
      <c r="E23" s="352">
        <v>1</v>
      </c>
      <c r="F23" s="254">
        <f t="shared" si="2"/>
        <v>33</v>
      </c>
      <c r="G23" s="249">
        <v>40</v>
      </c>
      <c r="H23" s="249">
        <f t="shared" si="0"/>
        <v>80</v>
      </c>
      <c r="I23" s="251">
        <f t="shared" si="1"/>
        <v>33</v>
      </c>
      <c r="J23" s="252"/>
      <c r="K23" s="252"/>
      <c r="L23" s="252"/>
      <c r="M23" s="252"/>
      <c r="N23" s="252"/>
      <c r="O23" s="252"/>
      <c r="P23" s="252"/>
      <c r="Q23" s="253"/>
    </row>
    <row r="24" spans="1:17" s="3" customFormat="1" ht="25" customHeight="1" x14ac:dyDescent="0.25">
      <c r="A24" s="349" t="s">
        <v>290</v>
      </c>
      <c r="B24" s="372" t="s">
        <v>254</v>
      </c>
      <c r="C24" s="352">
        <v>4</v>
      </c>
      <c r="D24" s="352">
        <v>1.4</v>
      </c>
      <c r="E24" s="352">
        <v>6</v>
      </c>
      <c r="F24" s="254">
        <f t="shared" si="2"/>
        <v>240</v>
      </c>
      <c r="G24" s="249">
        <v>20</v>
      </c>
      <c r="H24" s="249">
        <f t="shared" si="0"/>
        <v>671.99999999999989</v>
      </c>
      <c r="I24" s="251">
        <f>E24*G24*2</f>
        <v>240</v>
      </c>
      <c r="J24" s="252"/>
      <c r="K24" s="252"/>
      <c r="L24" s="252"/>
      <c r="M24" s="252"/>
      <c r="N24" s="252"/>
      <c r="O24" s="252"/>
      <c r="P24" s="252"/>
      <c r="Q24" s="253"/>
    </row>
    <row r="25" spans="1:17" s="3" customFormat="1" ht="25" customHeight="1" x14ac:dyDescent="0.25">
      <c r="A25" s="349" t="s">
        <v>291</v>
      </c>
      <c r="B25" s="372" t="s">
        <v>255</v>
      </c>
      <c r="C25" s="352">
        <v>3</v>
      </c>
      <c r="D25" s="352">
        <v>1.3</v>
      </c>
      <c r="E25" s="352">
        <v>7</v>
      </c>
      <c r="F25" s="254">
        <f t="shared" si="2"/>
        <v>346.5</v>
      </c>
      <c r="G25" s="249">
        <v>20</v>
      </c>
      <c r="H25" s="249">
        <f t="shared" si="0"/>
        <v>546.00000000000011</v>
      </c>
      <c r="I25" s="251">
        <f t="shared" si="1"/>
        <v>346.5</v>
      </c>
      <c r="J25" s="252"/>
      <c r="K25" s="252"/>
      <c r="L25" s="252"/>
      <c r="M25" s="252"/>
      <c r="N25" s="252"/>
      <c r="O25" s="252"/>
      <c r="P25" s="252"/>
      <c r="Q25" s="253"/>
    </row>
    <row r="26" spans="1:17" s="3" customFormat="1" ht="25" customHeight="1" x14ac:dyDescent="0.25">
      <c r="A26" s="349" t="s">
        <v>292</v>
      </c>
      <c r="B26" s="372" t="s">
        <v>256</v>
      </c>
      <c r="C26" s="352">
        <v>3</v>
      </c>
      <c r="D26" s="352">
        <v>1</v>
      </c>
      <c r="E26" s="352">
        <v>2</v>
      </c>
      <c r="F26" s="254">
        <f t="shared" si="2"/>
        <v>128.70000000000002</v>
      </c>
      <c r="G26" s="249">
        <v>70</v>
      </c>
      <c r="H26" s="249">
        <f t="shared" si="0"/>
        <v>420</v>
      </c>
      <c r="I26" s="251">
        <f t="shared" si="1"/>
        <v>128.70000000000002</v>
      </c>
      <c r="J26" s="252"/>
      <c r="K26" s="252"/>
      <c r="L26" s="252"/>
      <c r="M26" s="252"/>
      <c r="N26" s="252"/>
      <c r="O26" s="252"/>
      <c r="P26" s="252"/>
      <c r="Q26" s="253"/>
    </row>
    <row r="27" spans="1:17" s="3" customFormat="1" ht="25" customHeight="1" x14ac:dyDescent="0.3">
      <c r="A27" s="349" t="s">
        <v>394</v>
      </c>
      <c r="B27" s="374" t="s">
        <v>641</v>
      </c>
      <c r="C27" s="352">
        <v>3</v>
      </c>
      <c r="D27" s="352">
        <v>1</v>
      </c>
      <c r="E27" s="352">
        <v>4</v>
      </c>
      <c r="F27" s="254">
        <f t="shared" si="2"/>
        <v>257.40000000000003</v>
      </c>
      <c r="G27" s="249">
        <v>70</v>
      </c>
      <c r="H27" s="249">
        <f t="shared" si="0"/>
        <v>840</v>
      </c>
      <c r="I27" s="251">
        <f t="shared" si="1"/>
        <v>257.40000000000003</v>
      </c>
      <c r="J27" s="252"/>
      <c r="K27" s="252"/>
      <c r="L27" s="252"/>
      <c r="M27" s="252"/>
      <c r="N27" s="252"/>
      <c r="O27" s="252"/>
      <c r="P27" s="252"/>
      <c r="Q27" s="253"/>
    </row>
    <row r="28" spans="1:17" s="3" customFormat="1" ht="25" customHeight="1" x14ac:dyDescent="0.25">
      <c r="A28" s="349" t="s">
        <v>395</v>
      </c>
      <c r="B28" s="372" t="s">
        <v>642</v>
      </c>
      <c r="C28" s="352">
        <v>5</v>
      </c>
      <c r="D28" s="352">
        <v>1.4</v>
      </c>
      <c r="E28" s="352">
        <v>6</v>
      </c>
      <c r="F28" s="254">
        <f t="shared" si="2"/>
        <v>495</v>
      </c>
      <c r="G28" s="249">
        <v>45</v>
      </c>
      <c r="H28" s="249">
        <f t="shared" si="0"/>
        <v>1890</v>
      </c>
      <c r="I28" s="251">
        <f t="shared" si="1"/>
        <v>495</v>
      </c>
      <c r="J28" s="252"/>
      <c r="K28" s="252"/>
      <c r="L28" s="252"/>
      <c r="M28" s="252"/>
      <c r="N28" s="252"/>
      <c r="O28" s="252"/>
      <c r="P28" s="252"/>
      <c r="Q28" s="253"/>
    </row>
    <row r="29" spans="1:17" s="3" customFormat="1" ht="25" customHeight="1" x14ac:dyDescent="0.25">
      <c r="A29" s="349" t="s">
        <v>396</v>
      </c>
      <c r="B29" s="372" t="s">
        <v>260</v>
      </c>
      <c r="C29" s="352">
        <v>2</v>
      </c>
      <c r="D29" s="352">
        <v>1</v>
      </c>
      <c r="E29" s="352">
        <v>4</v>
      </c>
      <c r="F29" s="254">
        <f t="shared" si="2"/>
        <v>132</v>
      </c>
      <c r="G29" s="249">
        <v>40</v>
      </c>
      <c r="H29" s="249">
        <f t="shared" si="0"/>
        <v>320</v>
      </c>
      <c r="I29" s="251">
        <f t="shared" si="1"/>
        <v>132</v>
      </c>
      <c r="J29" s="252"/>
      <c r="K29" s="252"/>
      <c r="L29" s="252"/>
      <c r="M29" s="252"/>
      <c r="N29" s="252"/>
      <c r="O29" s="252"/>
      <c r="P29" s="252"/>
      <c r="Q29" s="253"/>
    </row>
    <row r="30" spans="1:17" s="3" customFormat="1" ht="25" customHeight="1" x14ac:dyDescent="0.25">
      <c r="A30" s="349" t="s">
        <v>397</v>
      </c>
      <c r="B30" s="372" t="s">
        <v>643</v>
      </c>
      <c r="C30" s="352">
        <v>2</v>
      </c>
      <c r="D30" s="352">
        <v>1</v>
      </c>
      <c r="E30" s="352">
        <v>2</v>
      </c>
      <c r="F30" s="254">
        <f t="shared" si="2"/>
        <v>66</v>
      </c>
      <c r="G30" s="249">
        <v>65</v>
      </c>
      <c r="H30" s="249">
        <f t="shared" si="0"/>
        <v>260</v>
      </c>
      <c r="I30" s="251">
        <f t="shared" si="1"/>
        <v>66</v>
      </c>
      <c r="J30" s="252"/>
      <c r="K30" s="252"/>
      <c r="L30" s="252"/>
      <c r="M30" s="252"/>
      <c r="N30" s="252"/>
      <c r="O30" s="252"/>
      <c r="P30" s="252"/>
      <c r="Q30" s="253"/>
    </row>
    <row r="31" spans="1:17" s="3" customFormat="1" ht="25" customHeight="1" x14ac:dyDescent="0.25">
      <c r="A31" s="349" t="s">
        <v>398</v>
      </c>
      <c r="B31" s="372" t="s">
        <v>644</v>
      </c>
      <c r="C31" s="352">
        <v>4</v>
      </c>
      <c r="D31" s="352">
        <v>1</v>
      </c>
      <c r="E31" s="352">
        <v>2</v>
      </c>
      <c r="F31" s="254">
        <f t="shared" si="2"/>
        <v>171.6</v>
      </c>
      <c r="G31" s="249">
        <v>70</v>
      </c>
      <c r="H31" s="249">
        <f t="shared" si="0"/>
        <v>560</v>
      </c>
      <c r="I31" s="251">
        <f t="shared" si="1"/>
        <v>171.6</v>
      </c>
      <c r="J31" s="252"/>
      <c r="K31" s="252"/>
      <c r="L31" s="252"/>
      <c r="M31" s="252"/>
      <c r="N31" s="252"/>
      <c r="O31" s="252"/>
      <c r="P31" s="252"/>
      <c r="Q31" s="253"/>
    </row>
    <row r="32" spans="1:17" s="3" customFormat="1" ht="25" customHeight="1" x14ac:dyDescent="0.25">
      <c r="A32" s="349" t="s">
        <v>399</v>
      </c>
      <c r="B32" s="372" t="s">
        <v>645</v>
      </c>
      <c r="C32" s="352">
        <v>2</v>
      </c>
      <c r="D32" s="352">
        <v>1.08</v>
      </c>
      <c r="E32" s="352">
        <v>4</v>
      </c>
      <c r="F32" s="254">
        <f t="shared" si="2"/>
        <v>132</v>
      </c>
      <c r="G32" s="249">
        <v>50</v>
      </c>
      <c r="H32" s="249">
        <f t="shared" si="0"/>
        <v>432</v>
      </c>
      <c r="I32" s="251">
        <f t="shared" si="1"/>
        <v>132</v>
      </c>
      <c r="J32" s="252"/>
      <c r="K32" s="252"/>
      <c r="L32" s="252"/>
      <c r="M32" s="252"/>
      <c r="N32" s="252"/>
      <c r="O32" s="252"/>
      <c r="P32" s="252"/>
      <c r="Q32" s="253"/>
    </row>
    <row r="33" spans="1:17" s="3" customFormat="1" ht="25" customHeight="1" x14ac:dyDescent="0.25">
      <c r="A33" s="349" t="s">
        <v>400</v>
      </c>
      <c r="B33" s="375" t="s">
        <v>262</v>
      </c>
      <c r="C33" s="376">
        <v>4</v>
      </c>
      <c r="D33" s="352">
        <v>1.08</v>
      </c>
      <c r="E33" s="377">
        <v>2</v>
      </c>
      <c r="F33" s="254">
        <f t="shared" si="2"/>
        <v>171.6</v>
      </c>
      <c r="G33" s="255">
        <v>70</v>
      </c>
      <c r="H33" s="249">
        <f t="shared" si="0"/>
        <v>604.80000000000007</v>
      </c>
      <c r="I33" s="251">
        <f t="shared" si="1"/>
        <v>171.6</v>
      </c>
      <c r="J33" s="252"/>
      <c r="K33" s="252"/>
      <c r="L33" s="252"/>
      <c r="M33" s="252"/>
      <c r="N33" s="252"/>
      <c r="O33" s="252"/>
      <c r="P33" s="252"/>
      <c r="Q33" s="253"/>
    </row>
    <row r="34" spans="1:17" s="3" customFormat="1" ht="25" customHeight="1" x14ac:dyDescent="0.25">
      <c r="A34" s="349" t="s">
        <v>401</v>
      </c>
      <c r="B34" s="378" t="s">
        <v>646</v>
      </c>
      <c r="C34" s="352">
        <v>3</v>
      </c>
      <c r="D34" s="352">
        <v>1</v>
      </c>
      <c r="E34" s="352">
        <v>2</v>
      </c>
      <c r="F34" s="254">
        <f t="shared" si="2"/>
        <v>128.70000000000002</v>
      </c>
      <c r="G34" s="249">
        <v>80</v>
      </c>
      <c r="H34" s="249">
        <f t="shared" si="0"/>
        <v>480</v>
      </c>
      <c r="I34" s="251">
        <f t="shared" si="1"/>
        <v>128.70000000000002</v>
      </c>
      <c r="J34" s="252"/>
      <c r="K34" s="252"/>
      <c r="L34" s="252"/>
      <c r="M34" s="252"/>
      <c r="N34" s="252"/>
      <c r="O34" s="252"/>
      <c r="P34" s="252"/>
      <c r="Q34" s="253"/>
    </row>
    <row r="35" spans="1:17" s="3" customFormat="1" ht="25" customHeight="1" x14ac:dyDescent="0.25">
      <c r="A35" s="349" t="s">
        <v>402</v>
      </c>
      <c r="B35" s="372" t="s">
        <v>647</v>
      </c>
      <c r="C35" s="352">
        <v>3</v>
      </c>
      <c r="D35" s="352">
        <v>1</v>
      </c>
      <c r="E35" s="352">
        <v>2</v>
      </c>
      <c r="F35" s="254">
        <f t="shared" si="2"/>
        <v>128.70000000000002</v>
      </c>
      <c r="G35" s="249">
        <v>70</v>
      </c>
      <c r="H35" s="249">
        <f t="shared" si="0"/>
        <v>420</v>
      </c>
      <c r="I35" s="251">
        <f t="shared" si="1"/>
        <v>128.70000000000002</v>
      </c>
      <c r="J35" s="252"/>
      <c r="K35" s="252"/>
      <c r="L35" s="252"/>
      <c r="M35" s="252"/>
      <c r="N35" s="252"/>
      <c r="O35" s="252"/>
      <c r="P35" s="252"/>
      <c r="Q35" s="253"/>
    </row>
    <row r="36" spans="1:17" s="3" customFormat="1" ht="25" customHeight="1" x14ac:dyDescent="0.25">
      <c r="A36" s="349" t="s">
        <v>403</v>
      </c>
      <c r="B36" s="372" t="s">
        <v>264</v>
      </c>
      <c r="C36" s="352">
        <v>3</v>
      </c>
      <c r="D36" s="352">
        <v>1</v>
      </c>
      <c r="E36" s="352">
        <v>1</v>
      </c>
      <c r="F36" s="254">
        <f t="shared" si="2"/>
        <v>49.5</v>
      </c>
      <c r="G36" s="249">
        <v>21</v>
      </c>
      <c r="H36" s="249">
        <f t="shared" si="0"/>
        <v>63</v>
      </c>
      <c r="I36" s="251">
        <f t="shared" si="1"/>
        <v>49.5</v>
      </c>
      <c r="J36" s="252"/>
      <c r="K36" s="252"/>
      <c r="L36" s="252"/>
      <c r="M36" s="252"/>
      <c r="N36" s="252"/>
      <c r="O36" s="252"/>
      <c r="P36" s="252"/>
      <c r="Q36" s="253"/>
    </row>
    <row r="37" spans="1:17" s="3" customFormat="1" ht="25" customHeight="1" x14ac:dyDescent="0.25">
      <c r="A37" s="349" t="s">
        <v>404</v>
      </c>
      <c r="B37" s="372" t="s">
        <v>648</v>
      </c>
      <c r="C37" s="352">
        <v>4</v>
      </c>
      <c r="D37" s="352">
        <v>1</v>
      </c>
      <c r="E37" s="352">
        <v>5</v>
      </c>
      <c r="F37" s="254">
        <f t="shared" si="2"/>
        <v>429</v>
      </c>
      <c r="G37" s="249">
        <v>70</v>
      </c>
      <c r="H37" s="249">
        <f t="shared" si="0"/>
        <v>1400</v>
      </c>
      <c r="I37" s="251">
        <f t="shared" si="1"/>
        <v>429</v>
      </c>
      <c r="J37" s="252"/>
      <c r="K37" s="252"/>
      <c r="L37" s="252"/>
      <c r="M37" s="252"/>
      <c r="N37" s="252"/>
      <c r="O37" s="252"/>
      <c r="P37" s="252"/>
      <c r="Q37" s="253"/>
    </row>
    <row r="38" spans="1:17" s="3" customFormat="1" ht="25" customHeight="1" x14ac:dyDescent="0.25">
      <c r="A38" s="349" t="s">
        <v>405</v>
      </c>
      <c r="B38" s="372" t="s">
        <v>642</v>
      </c>
      <c r="C38" s="352">
        <v>2</v>
      </c>
      <c r="D38" s="352">
        <v>1.4</v>
      </c>
      <c r="E38" s="352">
        <v>6</v>
      </c>
      <c r="F38" s="254">
        <f t="shared" si="2"/>
        <v>90</v>
      </c>
      <c r="G38" s="249">
        <v>20</v>
      </c>
      <c r="H38" s="249">
        <f t="shared" si="0"/>
        <v>335.99999999999994</v>
      </c>
      <c r="I38" s="251">
        <f>E38*15</f>
        <v>90</v>
      </c>
      <c r="J38" s="252"/>
      <c r="K38" s="252"/>
      <c r="L38" s="252"/>
      <c r="M38" s="252"/>
      <c r="N38" s="252"/>
      <c r="O38" s="252"/>
      <c r="P38" s="252"/>
      <c r="Q38" s="253"/>
    </row>
    <row r="39" spans="1:17" s="3" customFormat="1" ht="25" customHeight="1" x14ac:dyDescent="0.25">
      <c r="A39" s="349" t="s">
        <v>406</v>
      </c>
      <c r="B39" s="372" t="s">
        <v>265</v>
      </c>
      <c r="C39" s="352">
        <v>3</v>
      </c>
      <c r="D39" s="352">
        <v>1</v>
      </c>
      <c r="E39" s="352">
        <v>6</v>
      </c>
      <c r="F39" s="254">
        <f t="shared" si="2"/>
        <v>297</v>
      </c>
      <c r="G39" s="249">
        <v>50</v>
      </c>
      <c r="H39" s="249">
        <f t="shared" si="0"/>
        <v>900</v>
      </c>
      <c r="I39" s="251">
        <f t="shared" si="1"/>
        <v>297</v>
      </c>
      <c r="J39" s="252"/>
      <c r="K39" s="252"/>
      <c r="L39" s="252"/>
      <c r="M39" s="252"/>
      <c r="N39" s="252"/>
      <c r="O39" s="252"/>
      <c r="P39" s="252"/>
      <c r="Q39" s="253"/>
    </row>
    <row r="40" spans="1:17" s="3" customFormat="1" ht="25" customHeight="1" x14ac:dyDescent="0.25">
      <c r="A40" s="349" t="s">
        <v>407</v>
      </c>
      <c r="B40" s="372" t="s">
        <v>266</v>
      </c>
      <c r="C40" s="352">
        <v>3</v>
      </c>
      <c r="D40" s="352">
        <v>1</v>
      </c>
      <c r="E40" s="352">
        <v>3</v>
      </c>
      <c r="F40" s="254">
        <f t="shared" si="2"/>
        <v>193.05</v>
      </c>
      <c r="G40" s="249">
        <v>70</v>
      </c>
      <c r="H40" s="249">
        <f t="shared" si="0"/>
        <v>630</v>
      </c>
      <c r="I40" s="251">
        <f t="shared" si="1"/>
        <v>193.05</v>
      </c>
      <c r="J40" s="252"/>
      <c r="K40" s="252"/>
      <c r="L40" s="252"/>
      <c r="M40" s="252"/>
      <c r="N40" s="252"/>
      <c r="O40" s="252"/>
      <c r="P40" s="252"/>
      <c r="Q40" s="253"/>
    </row>
    <row r="41" spans="1:17" s="3" customFormat="1" ht="25" customHeight="1" x14ac:dyDescent="0.25">
      <c r="A41" s="349" t="s">
        <v>408</v>
      </c>
      <c r="B41" s="372" t="s">
        <v>267</v>
      </c>
      <c r="C41" s="352">
        <v>2</v>
      </c>
      <c r="D41" s="352">
        <v>1</v>
      </c>
      <c r="E41" s="352">
        <v>1</v>
      </c>
      <c r="F41" s="254">
        <f t="shared" si="2"/>
        <v>33</v>
      </c>
      <c r="G41" s="249">
        <v>50</v>
      </c>
      <c r="H41" s="249">
        <f t="shared" si="0"/>
        <v>100</v>
      </c>
      <c r="I41" s="251">
        <f t="shared" si="1"/>
        <v>33</v>
      </c>
      <c r="J41" s="252"/>
      <c r="K41" s="252"/>
      <c r="L41" s="252"/>
      <c r="M41" s="252"/>
      <c r="N41" s="252"/>
      <c r="O41" s="252"/>
      <c r="P41" s="252"/>
      <c r="Q41" s="253"/>
    </row>
    <row r="42" spans="1:17" s="3" customFormat="1" ht="25" customHeight="1" x14ac:dyDescent="0.25">
      <c r="A42" s="349" t="s">
        <v>409</v>
      </c>
      <c r="B42" s="372" t="s">
        <v>268</v>
      </c>
      <c r="C42" s="352">
        <v>2</v>
      </c>
      <c r="D42" s="352">
        <v>1</v>
      </c>
      <c r="E42" s="352">
        <v>1</v>
      </c>
      <c r="F42" s="254">
        <f t="shared" si="2"/>
        <v>33</v>
      </c>
      <c r="G42" s="249">
        <v>50</v>
      </c>
      <c r="H42" s="249">
        <f t="shared" si="0"/>
        <v>100</v>
      </c>
      <c r="I42" s="251">
        <f t="shared" si="1"/>
        <v>33</v>
      </c>
      <c r="J42" s="252"/>
      <c r="K42" s="252"/>
      <c r="L42" s="252"/>
      <c r="M42" s="252"/>
      <c r="N42" s="252"/>
      <c r="O42" s="252"/>
      <c r="P42" s="252"/>
      <c r="Q42" s="253"/>
    </row>
    <row r="43" spans="1:17" s="3" customFormat="1" ht="25" customHeight="1" x14ac:dyDescent="0.25">
      <c r="A43" s="349" t="s">
        <v>410</v>
      </c>
      <c r="B43" s="375" t="s">
        <v>649</v>
      </c>
      <c r="C43" s="352">
        <v>2</v>
      </c>
      <c r="D43" s="352">
        <v>1</v>
      </c>
      <c r="E43" s="352">
        <v>5</v>
      </c>
      <c r="F43" s="254">
        <f t="shared" si="2"/>
        <v>165</v>
      </c>
      <c r="G43" s="249">
        <v>50</v>
      </c>
      <c r="H43" s="249">
        <f t="shared" si="0"/>
        <v>500</v>
      </c>
      <c r="I43" s="251">
        <f t="shared" si="1"/>
        <v>165</v>
      </c>
      <c r="J43" s="252"/>
      <c r="K43" s="252"/>
      <c r="L43" s="252"/>
      <c r="M43" s="252"/>
      <c r="N43" s="252"/>
      <c r="O43" s="252"/>
      <c r="P43" s="252"/>
      <c r="Q43" s="253"/>
    </row>
    <row r="44" spans="1:17" s="3" customFormat="1" ht="25" customHeight="1" x14ac:dyDescent="0.25">
      <c r="A44" s="349" t="s">
        <v>650</v>
      </c>
      <c r="B44" s="379" t="s">
        <v>651</v>
      </c>
      <c r="C44" s="380">
        <v>3</v>
      </c>
      <c r="D44" s="352">
        <v>1</v>
      </c>
      <c r="E44" s="352">
        <v>4</v>
      </c>
      <c r="F44" s="254">
        <f t="shared" si="2"/>
        <v>198</v>
      </c>
      <c r="G44" s="255">
        <v>40</v>
      </c>
      <c r="H44" s="249">
        <f t="shared" si="0"/>
        <v>480</v>
      </c>
      <c r="I44" s="251">
        <f t="shared" si="1"/>
        <v>198</v>
      </c>
      <c r="J44" s="252"/>
      <c r="K44" s="252"/>
      <c r="L44" s="252"/>
      <c r="M44" s="252"/>
      <c r="N44" s="252"/>
      <c r="O44" s="252"/>
      <c r="P44" s="252"/>
      <c r="Q44" s="253"/>
    </row>
    <row r="45" spans="1:17" s="3" customFormat="1" ht="25" customHeight="1" x14ac:dyDescent="0.25">
      <c r="A45" s="349" t="s">
        <v>652</v>
      </c>
      <c r="B45" s="381" t="s">
        <v>653</v>
      </c>
      <c r="C45" s="352">
        <v>5</v>
      </c>
      <c r="D45" s="352">
        <v>1</v>
      </c>
      <c r="E45" s="352">
        <v>4</v>
      </c>
      <c r="F45" s="254">
        <f t="shared" si="2"/>
        <v>330</v>
      </c>
      <c r="G45" s="249">
        <v>0</v>
      </c>
      <c r="H45" s="249">
        <v>0</v>
      </c>
      <c r="I45" s="251">
        <f t="shared" si="1"/>
        <v>330</v>
      </c>
      <c r="J45" s="252"/>
      <c r="K45" s="252"/>
      <c r="L45" s="252"/>
      <c r="M45" s="252"/>
      <c r="N45" s="252"/>
      <c r="O45" s="252"/>
      <c r="P45" s="252"/>
      <c r="Q45" s="253"/>
    </row>
    <row r="46" spans="1:17" s="3" customFormat="1" ht="25" customHeight="1" x14ac:dyDescent="0.25">
      <c r="A46" s="349" t="s">
        <v>654</v>
      </c>
      <c r="B46" s="381" t="s">
        <v>261</v>
      </c>
      <c r="C46" s="380">
        <v>4</v>
      </c>
      <c r="D46" s="352">
        <v>1</v>
      </c>
      <c r="E46" s="352">
        <v>4</v>
      </c>
      <c r="F46" s="254">
        <f t="shared" si="2"/>
        <v>160</v>
      </c>
      <c r="G46" s="257">
        <v>20</v>
      </c>
      <c r="H46" s="249">
        <f>C46*D46*E46*G46</f>
        <v>320</v>
      </c>
      <c r="I46" s="251">
        <f>E46*G46*2</f>
        <v>160</v>
      </c>
      <c r="J46" s="252"/>
      <c r="K46" s="252"/>
      <c r="L46" s="252"/>
      <c r="M46" s="252"/>
      <c r="N46" s="252"/>
      <c r="O46" s="252"/>
      <c r="P46" s="252"/>
      <c r="Q46" s="253"/>
    </row>
    <row r="47" spans="1:17" s="3" customFormat="1" ht="25" customHeight="1" x14ac:dyDescent="0.3">
      <c r="A47" s="349" t="s">
        <v>655</v>
      </c>
      <c r="B47" s="382" t="s">
        <v>258</v>
      </c>
      <c r="C47" s="380">
        <v>2</v>
      </c>
      <c r="D47" s="352">
        <v>1</v>
      </c>
      <c r="E47" s="352">
        <v>2</v>
      </c>
      <c r="F47" s="249"/>
      <c r="G47" s="249"/>
      <c r="H47" s="249"/>
      <c r="I47" s="252"/>
      <c r="J47" s="252"/>
      <c r="K47" s="252"/>
      <c r="L47" s="252"/>
      <c r="M47" s="252"/>
      <c r="N47" s="252"/>
      <c r="O47" s="252"/>
      <c r="P47" s="252"/>
      <c r="Q47" s="253"/>
    </row>
    <row r="48" spans="1:17" s="3" customFormat="1" ht="25" customHeight="1" x14ac:dyDescent="0.3">
      <c r="A48" s="349" t="s">
        <v>656</v>
      </c>
      <c r="B48" s="382" t="s">
        <v>257</v>
      </c>
      <c r="C48" s="380">
        <v>2</v>
      </c>
      <c r="D48" s="352">
        <v>1</v>
      </c>
      <c r="E48" s="352">
        <v>2</v>
      </c>
      <c r="F48" s="249">
        <f>SUM(F12:F47)</f>
        <v>5781.55</v>
      </c>
      <c r="G48" s="246">
        <f>SUM(G12:G47)</f>
        <v>1761</v>
      </c>
      <c r="H48" s="246">
        <f>SUM(H12:H47)</f>
        <v>16353.8</v>
      </c>
      <c r="I48" s="246">
        <f>SUM(I12:I47)</f>
        <v>5781.55</v>
      </c>
      <c r="J48" s="252">
        <v>0</v>
      </c>
      <c r="K48" s="252">
        <v>0</v>
      </c>
      <c r="L48" s="252"/>
      <c r="M48" s="252"/>
      <c r="N48" s="252"/>
      <c r="O48" s="252"/>
      <c r="P48" s="252"/>
      <c r="Q48" s="253"/>
    </row>
    <row r="49" spans="1:17" s="3" customFormat="1" ht="25" customHeight="1" x14ac:dyDescent="0.25">
      <c r="A49" s="349" t="s">
        <v>657</v>
      </c>
      <c r="B49" s="383" t="s">
        <v>658</v>
      </c>
      <c r="C49" s="380">
        <v>1</v>
      </c>
      <c r="D49" s="352">
        <v>1.4</v>
      </c>
      <c r="E49" s="352">
        <v>14</v>
      </c>
      <c r="F49" s="249"/>
      <c r="G49" s="249"/>
      <c r="H49" s="249"/>
      <c r="I49" s="249"/>
      <c r="J49" s="252"/>
      <c r="K49" s="252"/>
      <c r="L49" s="252"/>
      <c r="M49" s="252"/>
      <c r="N49" s="252"/>
      <c r="O49" s="252"/>
      <c r="P49" s="252"/>
      <c r="Q49" s="253"/>
    </row>
    <row r="50" spans="1:17" s="3" customFormat="1" ht="25" customHeight="1" x14ac:dyDescent="0.25">
      <c r="A50" s="349" t="s">
        <v>659</v>
      </c>
      <c r="B50" s="384" t="s">
        <v>413</v>
      </c>
      <c r="C50" s="377">
        <v>1</v>
      </c>
      <c r="D50" s="377">
        <v>1.4</v>
      </c>
      <c r="E50" s="377">
        <v>2</v>
      </c>
      <c r="F50" s="249"/>
      <c r="G50" s="249"/>
      <c r="H50" s="249"/>
      <c r="I50" s="249"/>
      <c r="J50" s="252">
        <v>10</v>
      </c>
      <c r="K50" s="252"/>
      <c r="L50" s="252"/>
      <c r="M50" s="252"/>
      <c r="N50" s="252"/>
      <c r="O50" s="252"/>
      <c r="P50" s="252"/>
      <c r="Q50" s="1447" t="s">
        <v>528</v>
      </c>
    </row>
    <row r="51" spans="1:17" s="3" customFormat="1" ht="25" customHeight="1" x14ac:dyDescent="0.25">
      <c r="A51" s="359" t="s">
        <v>148</v>
      </c>
      <c r="B51" s="360" t="s">
        <v>151</v>
      </c>
      <c r="C51" s="352">
        <v>0</v>
      </c>
      <c r="D51" s="352">
        <v>0</v>
      </c>
      <c r="E51" s="352">
        <v>0</v>
      </c>
      <c r="F51" s="249"/>
      <c r="G51" s="249"/>
      <c r="H51" s="249"/>
      <c r="I51" s="249"/>
      <c r="J51" s="252">
        <v>15</v>
      </c>
      <c r="K51" s="252"/>
      <c r="L51" s="252"/>
      <c r="M51" s="252"/>
      <c r="N51" s="252"/>
      <c r="O51" s="252"/>
      <c r="P51" s="252"/>
      <c r="Q51" s="1447"/>
    </row>
    <row r="52" spans="1:17" s="3" customFormat="1" ht="25" customHeight="1" x14ac:dyDescent="0.25">
      <c r="A52" s="354" t="s">
        <v>232</v>
      </c>
      <c r="B52" s="349" t="s">
        <v>156</v>
      </c>
      <c r="C52" s="352">
        <v>4</v>
      </c>
      <c r="D52" s="352">
        <v>1.4</v>
      </c>
      <c r="E52" s="352">
        <v>4</v>
      </c>
      <c r="F52" s="249"/>
      <c r="G52" s="249"/>
      <c r="H52" s="249"/>
      <c r="I52" s="249"/>
      <c r="J52" s="252">
        <v>5</v>
      </c>
      <c r="K52" s="252"/>
      <c r="L52" s="252"/>
      <c r="M52" s="252"/>
      <c r="N52" s="252"/>
      <c r="O52" s="252"/>
      <c r="P52" s="252"/>
      <c r="Q52" s="1447"/>
    </row>
    <row r="53" spans="1:17" s="3" customFormat="1" ht="25" customHeight="1" x14ac:dyDescent="0.25">
      <c r="A53" s="354" t="s">
        <v>233</v>
      </c>
      <c r="B53" s="349" t="s">
        <v>157</v>
      </c>
      <c r="C53" s="352"/>
      <c r="D53" s="352"/>
      <c r="E53" s="352"/>
      <c r="F53" s="249"/>
      <c r="G53" s="249"/>
      <c r="H53" s="249"/>
      <c r="I53" s="252"/>
      <c r="J53" s="252"/>
      <c r="K53" s="252"/>
      <c r="L53" s="252"/>
      <c r="M53" s="252"/>
      <c r="N53" s="252"/>
      <c r="O53" s="252"/>
      <c r="P53" s="252"/>
      <c r="Q53" s="253"/>
    </row>
    <row r="54" spans="1:17" s="3" customFormat="1" ht="25" customHeight="1" x14ac:dyDescent="0.25">
      <c r="A54" s="354"/>
      <c r="B54" s="361" t="s">
        <v>353</v>
      </c>
      <c r="C54" s="364">
        <f>SUM(C12:C53)</f>
        <v>107</v>
      </c>
      <c r="D54" s="364">
        <f>SUM(D12:D53)</f>
        <v>43.659999999999989</v>
      </c>
      <c r="E54" s="364">
        <f>SUM(E12:E53)</f>
        <v>146</v>
      </c>
      <c r="F54" s="249"/>
      <c r="G54" s="249"/>
      <c r="H54" s="249"/>
      <c r="I54" s="252"/>
      <c r="J54" s="252"/>
      <c r="K54" s="252"/>
      <c r="L54" s="252"/>
      <c r="M54" s="252"/>
      <c r="N54" s="252"/>
      <c r="O54" s="252"/>
      <c r="P54" s="252"/>
      <c r="Q54" s="253"/>
    </row>
    <row r="55" spans="1:17" s="3" customFormat="1" ht="25" customHeight="1" x14ac:dyDescent="0.25">
      <c r="A55" s="359"/>
      <c r="B55" s="361" t="s">
        <v>524</v>
      </c>
      <c r="C55" s="352"/>
      <c r="D55" s="352"/>
      <c r="E55" s="352"/>
      <c r="F55" s="254">
        <f t="shared" ref="F55:F62" si="3">I55+J55+K55</f>
        <v>0</v>
      </c>
      <c r="G55" s="249">
        <v>10</v>
      </c>
      <c r="H55" s="249">
        <f t="shared" ref="H55:H60" si="4">C55*D55*E55*G55</f>
        <v>0</v>
      </c>
      <c r="I55" s="251">
        <f t="shared" ref="I55:I60" si="5">IF(G55&lt;70, C55*E55*16.5*1.5, C55*E55*16.5*1.5)</f>
        <v>0</v>
      </c>
      <c r="J55" s="252"/>
      <c r="K55" s="252"/>
      <c r="L55" s="252"/>
      <c r="M55" s="252"/>
      <c r="N55" s="252"/>
      <c r="O55" s="252"/>
      <c r="P55" s="252"/>
      <c r="Q55" s="253"/>
    </row>
    <row r="56" spans="1:17" s="3" customFormat="1" ht="25" customHeight="1" x14ac:dyDescent="0.25">
      <c r="A56" s="354" t="s">
        <v>532</v>
      </c>
      <c r="B56" s="349" t="s">
        <v>525</v>
      </c>
      <c r="C56" s="352">
        <v>5</v>
      </c>
      <c r="D56" s="352"/>
      <c r="E56" s="352">
        <v>2</v>
      </c>
      <c r="F56" s="254">
        <f t="shared" si="3"/>
        <v>247.5</v>
      </c>
      <c r="G56" s="249">
        <v>10</v>
      </c>
      <c r="H56" s="249">
        <f t="shared" si="4"/>
        <v>0</v>
      </c>
      <c r="I56" s="251">
        <f t="shared" si="5"/>
        <v>247.5</v>
      </c>
      <c r="J56" s="252"/>
      <c r="K56" s="252"/>
      <c r="L56" s="252"/>
      <c r="M56" s="252"/>
      <c r="N56" s="252"/>
      <c r="O56" s="252"/>
      <c r="P56" s="252"/>
      <c r="Q56" s="253"/>
    </row>
    <row r="57" spans="1:17" s="3" customFormat="1" ht="25" customHeight="1" x14ac:dyDescent="0.25">
      <c r="A57" s="354" t="s">
        <v>533</v>
      </c>
      <c r="B57" s="349" t="s">
        <v>526</v>
      </c>
      <c r="C57" s="352">
        <v>5</v>
      </c>
      <c r="D57" s="352"/>
      <c r="E57" s="352">
        <v>3</v>
      </c>
      <c r="F57" s="254">
        <f t="shared" si="3"/>
        <v>371.25</v>
      </c>
      <c r="G57" s="249">
        <v>10</v>
      </c>
      <c r="H57" s="249">
        <f t="shared" si="4"/>
        <v>0</v>
      </c>
      <c r="I57" s="251">
        <f t="shared" si="5"/>
        <v>371.25</v>
      </c>
      <c r="J57" s="252"/>
      <c r="K57" s="252"/>
      <c r="L57" s="252"/>
      <c r="M57" s="252"/>
      <c r="N57" s="252"/>
      <c r="O57" s="252"/>
      <c r="P57" s="252"/>
      <c r="Q57" s="253"/>
    </row>
    <row r="58" spans="1:17" s="3" customFormat="1" ht="25" customHeight="1" x14ac:dyDescent="0.25">
      <c r="A58" s="354" t="s">
        <v>534</v>
      </c>
      <c r="B58" s="372" t="s">
        <v>527</v>
      </c>
      <c r="C58" s="352">
        <v>4</v>
      </c>
      <c r="D58" s="352"/>
      <c r="E58" s="352">
        <v>1</v>
      </c>
      <c r="F58" s="254">
        <f t="shared" si="3"/>
        <v>99</v>
      </c>
      <c r="G58" s="249">
        <v>10</v>
      </c>
      <c r="H58" s="249">
        <f t="shared" si="4"/>
        <v>0</v>
      </c>
      <c r="I58" s="251">
        <f t="shared" si="5"/>
        <v>99</v>
      </c>
      <c r="J58" s="252"/>
      <c r="K58" s="252"/>
      <c r="L58" s="252"/>
      <c r="M58" s="252"/>
      <c r="N58" s="252"/>
      <c r="O58" s="252"/>
      <c r="P58" s="252"/>
      <c r="Q58" s="253"/>
    </row>
    <row r="59" spans="1:17" s="3" customFormat="1" ht="25" customHeight="1" x14ac:dyDescent="0.25">
      <c r="A59" s="385">
        <v>2</v>
      </c>
      <c r="B59" s="385" t="s">
        <v>164</v>
      </c>
      <c r="C59" s="352"/>
      <c r="D59" s="352"/>
      <c r="E59" s="352"/>
      <c r="F59" s="254">
        <f t="shared" si="3"/>
        <v>0</v>
      </c>
      <c r="G59" s="249">
        <v>10</v>
      </c>
      <c r="H59" s="249">
        <f t="shared" si="4"/>
        <v>0</v>
      </c>
      <c r="I59" s="251">
        <f t="shared" si="5"/>
        <v>0</v>
      </c>
      <c r="J59" s="252"/>
      <c r="K59" s="252"/>
      <c r="L59" s="252"/>
      <c r="M59" s="252"/>
      <c r="N59" s="252"/>
      <c r="O59" s="252"/>
      <c r="P59" s="252"/>
      <c r="Q59" s="253"/>
    </row>
    <row r="60" spans="1:17" s="3" customFormat="1" ht="25" customHeight="1" x14ac:dyDescent="0.25">
      <c r="A60" s="356" t="s">
        <v>147</v>
      </c>
      <c r="B60" s="357" t="s">
        <v>165</v>
      </c>
      <c r="C60" s="352"/>
      <c r="D60" s="352"/>
      <c r="E60" s="352"/>
      <c r="F60" s="254">
        <f t="shared" si="3"/>
        <v>0</v>
      </c>
      <c r="G60" s="249">
        <v>15</v>
      </c>
      <c r="H60" s="249">
        <f t="shared" si="4"/>
        <v>0</v>
      </c>
      <c r="I60" s="251">
        <f t="shared" si="5"/>
        <v>0</v>
      </c>
      <c r="J60" s="252"/>
      <c r="K60" s="252"/>
      <c r="L60" s="252"/>
      <c r="M60" s="252"/>
      <c r="N60" s="252"/>
      <c r="O60" s="252"/>
      <c r="P60" s="252"/>
      <c r="Q60" s="253"/>
    </row>
    <row r="61" spans="1:17" s="3" customFormat="1" ht="25" customHeight="1" x14ac:dyDescent="0.25">
      <c r="A61" s="349" t="s">
        <v>226</v>
      </c>
      <c r="B61" s="350" t="s">
        <v>269</v>
      </c>
      <c r="C61" s="352">
        <v>3</v>
      </c>
      <c r="D61" s="352">
        <v>1</v>
      </c>
      <c r="E61" s="352">
        <v>1</v>
      </c>
      <c r="F61" s="254">
        <f t="shared" si="3"/>
        <v>49.5</v>
      </c>
      <c r="G61" s="259"/>
      <c r="H61" s="259"/>
      <c r="I61" s="251">
        <f>IF(G61&lt;70, C61*E61*16.5*1, C61*E61*16.5*1.3)</f>
        <v>49.5</v>
      </c>
      <c r="J61" s="252"/>
      <c r="K61" s="252"/>
      <c r="L61" s="252"/>
      <c r="M61" s="252"/>
      <c r="N61" s="252"/>
      <c r="O61" s="252"/>
      <c r="P61" s="252"/>
      <c r="Q61" s="253"/>
    </row>
    <row r="62" spans="1:17" s="3" customFormat="1" ht="25" customHeight="1" x14ac:dyDescent="0.25">
      <c r="A62" s="349" t="s">
        <v>227</v>
      </c>
      <c r="B62" s="350" t="s">
        <v>270</v>
      </c>
      <c r="C62" s="352">
        <v>3</v>
      </c>
      <c r="D62" s="352">
        <v>1</v>
      </c>
      <c r="E62" s="352">
        <v>1</v>
      </c>
      <c r="F62" s="254">
        <f t="shared" si="3"/>
        <v>385</v>
      </c>
      <c r="G62" s="259">
        <v>11</v>
      </c>
      <c r="H62" s="249">
        <f>C62*G62*D62</f>
        <v>33</v>
      </c>
      <c r="I62" s="251">
        <f>11*35</f>
        <v>385</v>
      </c>
      <c r="J62" s="252"/>
      <c r="K62" s="252"/>
      <c r="L62" s="252"/>
      <c r="M62" s="252"/>
      <c r="N62" s="252"/>
      <c r="O62" s="252"/>
      <c r="P62" s="252"/>
      <c r="Q62" s="253"/>
    </row>
    <row r="63" spans="1:17" s="3" customFormat="1" ht="25" customHeight="1" x14ac:dyDescent="0.25">
      <c r="A63" s="349" t="s">
        <v>228</v>
      </c>
      <c r="B63" s="350" t="s">
        <v>271</v>
      </c>
      <c r="C63" s="352">
        <v>3</v>
      </c>
      <c r="D63" s="352">
        <v>1</v>
      </c>
      <c r="E63" s="352">
        <v>1</v>
      </c>
      <c r="F63" s="249">
        <f>SUM(F55:F62)</f>
        <v>1152.25</v>
      </c>
      <c r="G63" s="246">
        <f>SUM(G55:G62)</f>
        <v>76</v>
      </c>
      <c r="H63" s="246">
        <f>SUM(H55:H62)</f>
        <v>33</v>
      </c>
      <c r="I63" s="246">
        <f>SUM(I55:I62)</f>
        <v>1152.25</v>
      </c>
      <c r="J63" s="252"/>
      <c r="K63" s="252"/>
      <c r="L63" s="252"/>
      <c r="M63" s="252"/>
      <c r="N63" s="252"/>
      <c r="O63" s="252"/>
      <c r="P63" s="252"/>
      <c r="Q63" s="253"/>
    </row>
    <row r="64" spans="1:17" s="3" customFormat="1" ht="25" customHeight="1" x14ac:dyDescent="0.25">
      <c r="A64" s="349" t="s">
        <v>229</v>
      </c>
      <c r="B64" s="350" t="s">
        <v>272</v>
      </c>
      <c r="C64" s="352">
        <v>3</v>
      </c>
      <c r="D64" s="352">
        <v>1</v>
      </c>
      <c r="E64" s="352">
        <v>1</v>
      </c>
      <c r="F64" s="249">
        <v>0</v>
      </c>
      <c r="G64" s="249">
        <v>0</v>
      </c>
      <c r="H64" s="249">
        <v>0</v>
      </c>
      <c r="I64" s="249">
        <v>0</v>
      </c>
      <c r="J64" s="252"/>
      <c r="K64" s="252"/>
      <c r="L64" s="252"/>
      <c r="M64" s="252"/>
      <c r="N64" s="252"/>
      <c r="O64" s="252"/>
      <c r="P64" s="252"/>
      <c r="Q64" s="253"/>
    </row>
    <row r="65" spans="1:17" s="3" customFormat="1" ht="25" customHeight="1" x14ac:dyDescent="0.25">
      <c r="A65" s="349" t="s">
        <v>230</v>
      </c>
      <c r="B65" s="353" t="s">
        <v>273</v>
      </c>
      <c r="C65" s="352">
        <v>3</v>
      </c>
      <c r="D65" s="352">
        <v>1</v>
      </c>
      <c r="E65" s="352">
        <v>1</v>
      </c>
      <c r="F65" s="249"/>
      <c r="G65" s="249"/>
      <c r="H65" s="249"/>
      <c r="I65" s="252"/>
      <c r="J65" s="252"/>
      <c r="K65" s="252"/>
      <c r="L65" s="252"/>
      <c r="M65" s="252"/>
      <c r="N65" s="252"/>
      <c r="O65" s="252"/>
      <c r="P65" s="252"/>
      <c r="Q65" s="253"/>
    </row>
    <row r="66" spans="1:17" s="3" customFormat="1" ht="25" customHeight="1" x14ac:dyDescent="0.25">
      <c r="A66" s="349" t="s">
        <v>231</v>
      </c>
      <c r="B66" s="350" t="s">
        <v>531</v>
      </c>
      <c r="C66" s="352">
        <v>3</v>
      </c>
      <c r="D66" s="352">
        <v>1</v>
      </c>
      <c r="E66" s="352">
        <v>1</v>
      </c>
      <c r="F66" s="249"/>
      <c r="G66" s="249"/>
      <c r="H66" s="249"/>
      <c r="I66" s="252"/>
      <c r="J66" s="252"/>
      <c r="K66" s="252"/>
      <c r="L66" s="252"/>
      <c r="M66" s="252"/>
      <c r="N66" s="252"/>
      <c r="O66" s="252"/>
      <c r="P66" s="252"/>
      <c r="Q66" s="253"/>
    </row>
    <row r="67" spans="1:17" s="3" customFormat="1" ht="25" customHeight="1" x14ac:dyDescent="0.25">
      <c r="A67" s="359" t="s">
        <v>148</v>
      </c>
      <c r="B67" s="360" t="s">
        <v>470</v>
      </c>
      <c r="C67" s="352"/>
      <c r="D67" s="352"/>
      <c r="E67" s="352"/>
      <c r="F67" s="249"/>
      <c r="G67" s="249"/>
      <c r="H67" s="249"/>
      <c r="I67" s="252"/>
      <c r="J67" s="252"/>
      <c r="K67" s="252"/>
      <c r="L67" s="252"/>
      <c r="M67" s="252"/>
      <c r="N67" s="252"/>
      <c r="O67" s="252"/>
      <c r="P67" s="252"/>
      <c r="Q67" s="253"/>
    </row>
    <row r="68" spans="1:17" s="3" customFormat="1" ht="25" customHeight="1" x14ac:dyDescent="0.25">
      <c r="A68" s="359"/>
      <c r="B68" s="349" t="s">
        <v>660</v>
      </c>
      <c r="C68" s="352">
        <v>15</v>
      </c>
      <c r="D68" s="352">
        <v>1</v>
      </c>
      <c r="E68" s="352">
        <v>1</v>
      </c>
      <c r="F68" s="254">
        <f t="shared" ref="F68:F82" si="6">I68+J68+K68</f>
        <v>247.5</v>
      </c>
      <c r="G68" s="249">
        <v>40</v>
      </c>
      <c r="H68" s="249">
        <f t="shared" ref="H68:H82" si="7">C68*D68*E68*G68</f>
        <v>600</v>
      </c>
      <c r="I68" s="251">
        <f t="shared" ref="I68:I82" si="8">IF(G68&lt;70, C68*E68*16.5*1, C68*E68*16.5*1.3)</f>
        <v>247.5</v>
      </c>
      <c r="J68" s="252"/>
      <c r="K68" s="252"/>
      <c r="L68" s="252"/>
      <c r="M68" s="252"/>
      <c r="N68" s="252"/>
      <c r="O68" s="252"/>
      <c r="P68" s="252"/>
      <c r="Q68" s="253"/>
    </row>
    <row r="69" spans="1:17" s="3" customFormat="1" ht="25" customHeight="1" x14ac:dyDescent="0.25">
      <c r="A69" s="349"/>
      <c r="B69" s="361" t="s">
        <v>353</v>
      </c>
      <c r="C69" s="364">
        <f>SUM(C61:C68)</f>
        <v>33</v>
      </c>
      <c r="D69" s="364">
        <f>SUM(D61:D68)</f>
        <v>7</v>
      </c>
      <c r="E69" s="364">
        <f>SUM(E61:E68)</f>
        <v>7</v>
      </c>
      <c r="F69" s="254">
        <f t="shared" si="6"/>
        <v>3811.5</v>
      </c>
      <c r="G69" s="249">
        <v>40</v>
      </c>
      <c r="H69" s="249">
        <f t="shared" si="7"/>
        <v>64680</v>
      </c>
      <c r="I69" s="251">
        <f t="shared" si="8"/>
        <v>3811.5</v>
      </c>
      <c r="J69" s="252"/>
      <c r="K69" s="252"/>
      <c r="L69" s="252"/>
      <c r="M69" s="252"/>
      <c r="N69" s="252"/>
      <c r="O69" s="252"/>
      <c r="P69" s="252"/>
      <c r="Q69" s="253"/>
    </row>
    <row r="70" spans="1:17" s="3" customFormat="1" ht="25" customHeight="1" x14ac:dyDescent="0.25">
      <c r="A70" s="385">
        <v>3</v>
      </c>
      <c r="B70" s="385" t="s">
        <v>166</v>
      </c>
      <c r="C70" s="352">
        <v>0</v>
      </c>
      <c r="D70" s="352">
        <v>0</v>
      </c>
      <c r="E70" s="352">
        <v>0</v>
      </c>
      <c r="F70" s="254">
        <f t="shared" si="6"/>
        <v>0</v>
      </c>
      <c r="G70" s="249">
        <v>40</v>
      </c>
      <c r="H70" s="249">
        <f t="shared" si="7"/>
        <v>0</v>
      </c>
      <c r="I70" s="251">
        <f t="shared" si="8"/>
        <v>0</v>
      </c>
      <c r="J70" s="252"/>
      <c r="K70" s="252"/>
      <c r="L70" s="252"/>
      <c r="M70" s="252"/>
      <c r="N70" s="252"/>
      <c r="O70" s="252"/>
      <c r="P70" s="252"/>
      <c r="Q70" s="253"/>
    </row>
    <row r="71" spans="1:17" s="3" customFormat="1" ht="25" customHeight="1" x14ac:dyDescent="0.25">
      <c r="A71" s="385" t="s">
        <v>8</v>
      </c>
      <c r="B71" s="385" t="s">
        <v>224</v>
      </c>
      <c r="C71" s="352"/>
      <c r="D71" s="352"/>
      <c r="E71" s="352"/>
      <c r="F71" s="254">
        <f t="shared" si="6"/>
        <v>0</v>
      </c>
      <c r="G71" s="249">
        <v>40</v>
      </c>
      <c r="H71" s="249">
        <f t="shared" si="7"/>
        <v>0</v>
      </c>
      <c r="I71" s="251">
        <f t="shared" si="8"/>
        <v>0</v>
      </c>
      <c r="J71" s="252"/>
      <c r="K71" s="252"/>
      <c r="L71" s="252"/>
      <c r="M71" s="252"/>
      <c r="N71" s="252"/>
      <c r="O71" s="252"/>
      <c r="P71" s="252"/>
      <c r="Q71" s="253"/>
    </row>
    <row r="72" spans="1:17" s="3" customFormat="1" ht="25" customHeight="1" x14ac:dyDescent="0.25">
      <c r="A72" s="385">
        <v>1</v>
      </c>
      <c r="B72" s="357" t="s">
        <v>225</v>
      </c>
      <c r="C72" s="352"/>
      <c r="D72" s="352"/>
      <c r="E72" s="352"/>
      <c r="F72" s="254">
        <f t="shared" si="6"/>
        <v>0</v>
      </c>
      <c r="G72" s="249">
        <v>40</v>
      </c>
      <c r="H72" s="249">
        <f t="shared" si="7"/>
        <v>0</v>
      </c>
      <c r="I72" s="251">
        <f t="shared" si="8"/>
        <v>0</v>
      </c>
      <c r="J72" s="252"/>
      <c r="K72" s="252"/>
      <c r="L72" s="252"/>
      <c r="M72" s="252"/>
      <c r="N72" s="252"/>
      <c r="O72" s="252"/>
      <c r="P72" s="252"/>
      <c r="Q72" s="253"/>
    </row>
    <row r="73" spans="1:17" s="3" customFormat="1" ht="25" customHeight="1" x14ac:dyDescent="0.25">
      <c r="A73" s="385" t="s">
        <v>147</v>
      </c>
      <c r="B73" s="357" t="s">
        <v>163</v>
      </c>
      <c r="C73" s="352"/>
      <c r="D73" s="352"/>
      <c r="E73" s="352"/>
      <c r="F73" s="254">
        <f t="shared" si="6"/>
        <v>0</v>
      </c>
      <c r="G73" s="249">
        <v>40</v>
      </c>
      <c r="H73" s="249">
        <f t="shared" si="7"/>
        <v>0</v>
      </c>
      <c r="I73" s="251">
        <f t="shared" si="8"/>
        <v>0</v>
      </c>
      <c r="J73" s="252"/>
      <c r="K73" s="252"/>
      <c r="L73" s="252"/>
      <c r="M73" s="252"/>
      <c r="N73" s="252"/>
      <c r="O73" s="252"/>
      <c r="P73" s="252"/>
      <c r="Q73" s="253"/>
    </row>
    <row r="74" spans="1:17" s="3" customFormat="1" ht="25" customHeight="1" x14ac:dyDescent="0.25">
      <c r="A74" s="354" t="s">
        <v>226</v>
      </c>
      <c r="B74" s="353" t="s">
        <v>266</v>
      </c>
      <c r="C74" s="352">
        <v>3</v>
      </c>
      <c r="D74" s="352">
        <v>1</v>
      </c>
      <c r="E74" s="352">
        <v>3</v>
      </c>
      <c r="F74" s="254">
        <f t="shared" si="6"/>
        <v>148.5</v>
      </c>
      <c r="G74" s="249">
        <v>40</v>
      </c>
      <c r="H74" s="249">
        <f t="shared" si="7"/>
        <v>360</v>
      </c>
      <c r="I74" s="251">
        <f t="shared" si="8"/>
        <v>148.5</v>
      </c>
      <c r="J74" s="252"/>
      <c r="K74" s="252"/>
      <c r="L74" s="252"/>
      <c r="M74" s="252"/>
      <c r="N74" s="252"/>
      <c r="O74" s="252"/>
      <c r="P74" s="252"/>
      <c r="Q74" s="253"/>
    </row>
    <row r="75" spans="1:17" s="3" customFormat="1" ht="25" customHeight="1" x14ac:dyDescent="0.25">
      <c r="A75" s="354" t="s">
        <v>227</v>
      </c>
      <c r="B75" s="353" t="s">
        <v>274</v>
      </c>
      <c r="C75" s="352">
        <v>5</v>
      </c>
      <c r="D75" s="352">
        <v>1</v>
      </c>
      <c r="E75" s="352">
        <v>3</v>
      </c>
      <c r="F75" s="254">
        <f t="shared" si="6"/>
        <v>247.5</v>
      </c>
      <c r="G75" s="249">
        <v>40</v>
      </c>
      <c r="H75" s="249">
        <f t="shared" si="7"/>
        <v>600</v>
      </c>
      <c r="I75" s="251">
        <f t="shared" si="8"/>
        <v>247.5</v>
      </c>
      <c r="J75" s="252"/>
      <c r="K75" s="252"/>
      <c r="L75" s="252"/>
      <c r="M75" s="252"/>
      <c r="N75" s="252"/>
      <c r="O75" s="252"/>
      <c r="P75" s="252"/>
      <c r="Q75" s="253"/>
    </row>
    <row r="76" spans="1:17" s="3" customFormat="1" ht="25" customHeight="1" x14ac:dyDescent="0.25">
      <c r="A76" s="354" t="s">
        <v>228</v>
      </c>
      <c r="B76" s="353" t="s">
        <v>275</v>
      </c>
      <c r="C76" s="352">
        <v>3</v>
      </c>
      <c r="D76" s="352">
        <v>1</v>
      </c>
      <c r="E76" s="352">
        <v>3</v>
      </c>
      <c r="F76" s="254">
        <f t="shared" si="6"/>
        <v>148.5</v>
      </c>
      <c r="G76" s="249">
        <v>40</v>
      </c>
      <c r="H76" s="249">
        <f t="shared" si="7"/>
        <v>360</v>
      </c>
      <c r="I76" s="251">
        <f t="shared" si="8"/>
        <v>148.5</v>
      </c>
      <c r="J76" s="252"/>
      <c r="K76" s="252"/>
      <c r="L76" s="252"/>
      <c r="M76" s="252"/>
      <c r="N76" s="252"/>
      <c r="O76" s="252"/>
      <c r="P76" s="252"/>
      <c r="Q76" s="253"/>
    </row>
    <row r="77" spans="1:17" s="3" customFormat="1" ht="25" customHeight="1" x14ac:dyDescent="0.25">
      <c r="A77" s="354" t="s">
        <v>229</v>
      </c>
      <c r="B77" s="353" t="s">
        <v>276</v>
      </c>
      <c r="C77" s="352">
        <v>2</v>
      </c>
      <c r="D77" s="352">
        <v>1</v>
      </c>
      <c r="E77" s="352">
        <v>3</v>
      </c>
      <c r="F77" s="254">
        <f t="shared" si="6"/>
        <v>99</v>
      </c>
      <c r="G77" s="249">
        <v>40</v>
      </c>
      <c r="H77" s="249">
        <f t="shared" si="7"/>
        <v>240</v>
      </c>
      <c r="I77" s="251">
        <f t="shared" si="8"/>
        <v>99</v>
      </c>
      <c r="J77" s="252"/>
      <c r="K77" s="252"/>
      <c r="L77" s="252"/>
      <c r="M77" s="252"/>
      <c r="N77" s="252"/>
      <c r="O77" s="252"/>
      <c r="P77" s="252"/>
      <c r="Q77" s="253"/>
    </row>
    <row r="78" spans="1:17" s="3" customFormat="1" ht="25" customHeight="1" x14ac:dyDescent="0.25">
      <c r="A78" s="354" t="s">
        <v>230</v>
      </c>
      <c r="B78" s="353" t="s">
        <v>277</v>
      </c>
      <c r="C78" s="352">
        <v>2</v>
      </c>
      <c r="D78" s="352">
        <v>1</v>
      </c>
      <c r="E78" s="352">
        <v>3</v>
      </c>
      <c r="F78" s="254">
        <f t="shared" si="6"/>
        <v>99</v>
      </c>
      <c r="G78" s="249">
        <v>40</v>
      </c>
      <c r="H78" s="249">
        <f t="shared" si="7"/>
        <v>240</v>
      </c>
      <c r="I78" s="251">
        <f t="shared" si="8"/>
        <v>99</v>
      </c>
      <c r="J78" s="252"/>
      <c r="K78" s="252"/>
      <c r="L78" s="252"/>
      <c r="M78" s="252"/>
      <c r="N78" s="252"/>
      <c r="O78" s="252"/>
      <c r="P78" s="252"/>
      <c r="Q78" s="253"/>
    </row>
    <row r="79" spans="1:17" s="3" customFormat="1" ht="25" customHeight="1" x14ac:dyDescent="0.25">
      <c r="A79" s="354" t="s">
        <v>231</v>
      </c>
      <c r="B79" s="353" t="s">
        <v>278</v>
      </c>
      <c r="C79" s="352">
        <v>5</v>
      </c>
      <c r="D79" s="352">
        <v>1</v>
      </c>
      <c r="E79" s="352">
        <v>3</v>
      </c>
      <c r="F79" s="254">
        <f t="shared" si="6"/>
        <v>247.5</v>
      </c>
      <c r="G79" s="249">
        <v>40</v>
      </c>
      <c r="H79" s="249">
        <f t="shared" si="7"/>
        <v>600</v>
      </c>
      <c r="I79" s="251">
        <f t="shared" si="8"/>
        <v>247.5</v>
      </c>
      <c r="J79" s="252"/>
      <c r="K79" s="252"/>
      <c r="L79" s="252"/>
      <c r="M79" s="252"/>
      <c r="N79" s="252"/>
      <c r="O79" s="252"/>
      <c r="P79" s="252"/>
      <c r="Q79" s="253"/>
    </row>
    <row r="80" spans="1:17" s="3" customFormat="1" ht="25" customHeight="1" x14ac:dyDescent="0.25">
      <c r="A80" s="354" t="s">
        <v>282</v>
      </c>
      <c r="B80" s="353" t="s">
        <v>279</v>
      </c>
      <c r="C80" s="352">
        <v>2</v>
      </c>
      <c r="D80" s="352">
        <v>1</v>
      </c>
      <c r="E80" s="352">
        <v>3</v>
      </c>
      <c r="F80" s="254">
        <f t="shared" si="6"/>
        <v>99</v>
      </c>
      <c r="G80" s="249">
        <v>40</v>
      </c>
      <c r="H80" s="249">
        <f t="shared" si="7"/>
        <v>240</v>
      </c>
      <c r="I80" s="251">
        <f t="shared" si="8"/>
        <v>99</v>
      </c>
      <c r="J80" s="252"/>
      <c r="K80" s="252"/>
      <c r="L80" s="252"/>
      <c r="M80" s="252"/>
      <c r="N80" s="252"/>
      <c r="O80" s="252"/>
      <c r="P80" s="252"/>
      <c r="Q80" s="253"/>
    </row>
    <row r="81" spans="1:17" s="3" customFormat="1" ht="25" customHeight="1" x14ac:dyDescent="0.25">
      <c r="A81" s="354" t="s">
        <v>283</v>
      </c>
      <c r="B81" s="350" t="s">
        <v>256</v>
      </c>
      <c r="C81" s="352">
        <v>3</v>
      </c>
      <c r="D81" s="352">
        <v>1</v>
      </c>
      <c r="E81" s="352">
        <v>5</v>
      </c>
      <c r="F81" s="254">
        <f t="shared" si="6"/>
        <v>247.5</v>
      </c>
      <c r="G81" s="249">
        <v>40</v>
      </c>
      <c r="H81" s="249">
        <f t="shared" si="7"/>
        <v>600</v>
      </c>
      <c r="I81" s="251">
        <f t="shared" si="8"/>
        <v>247.5</v>
      </c>
      <c r="J81" s="252"/>
      <c r="K81" s="252"/>
      <c r="L81" s="252"/>
      <c r="M81" s="252"/>
      <c r="N81" s="252"/>
      <c r="O81" s="252"/>
      <c r="P81" s="252"/>
      <c r="Q81" s="253"/>
    </row>
    <row r="82" spans="1:17" s="3" customFormat="1" ht="25" customHeight="1" x14ac:dyDescent="0.25">
      <c r="A82" s="354" t="s">
        <v>284</v>
      </c>
      <c r="B82" s="350" t="s">
        <v>262</v>
      </c>
      <c r="C82" s="352">
        <v>5</v>
      </c>
      <c r="D82" s="352">
        <v>1</v>
      </c>
      <c r="E82" s="352">
        <v>5</v>
      </c>
      <c r="F82" s="254">
        <f t="shared" si="6"/>
        <v>412.5</v>
      </c>
      <c r="G82" s="249">
        <v>40</v>
      </c>
      <c r="H82" s="249">
        <f t="shared" si="7"/>
        <v>1000</v>
      </c>
      <c r="I82" s="251">
        <f t="shared" si="8"/>
        <v>412.5</v>
      </c>
      <c r="J82" s="252"/>
      <c r="K82" s="252"/>
      <c r="L82" s="252"/>
      <c r="M82" s="252"/>
      <c r="N82" s="252"/>
      <c r="O82" s="252"/>
      <c r="P82" s="252"/>
      <c r="Q82" s="253"/>
    </row>
    <row r="83" spans="1:17" s="3" customFormat="1" ht="25" customHeight="1" x14ac:dyDescent="0.25">
      <c r="A83" s="354" t="s">
        <v>285</v>
      </c>
      <c r="B83" s="350" t="s">
        <v>280</v>
      </c>
      <c r="C83" s="352">
        <v>2</v>
      </c>
      <c r="D83" s="352">
        <v>1</v>
      </c>
      <c r="E83" s="352">
        <v>5</v>
      </c>
      <c r="F83" s="249">
        <f>SUM(F68:F82)</f>
        <v>5808</v>
      </c>
      <c r="G83" s="246">
        <f>SUM(G68:G82)</f>
        <v>600</v>
      </c>
      <c r="H83" s="246">
        <f>SUM(H68:H82)</f>
        <v>69520</v>
      </c>
      <c r="I83" s="246">
        <f>SUM(I68:I82)</f>
        <v>5808</v>
      </c>
      <c r="J83" s="252"/>
      <c r="K83" s="252"/>
      <c r="L83" s="252"/>
      <c r="M83" s="252"/>
      <c r="N83" s="252"/>
      <c r="O83" s="252"/>
      <c r="P83" s="252"/>
      <c r="Q83" s="253"/>
    </row>
    <row r="84" spans="1:17" s="3" customFormat="1" ht="25" customHeight="1" x14ac:dyDescent="0.25">
      <c r="A84" s="354" t="s">
        <v>286</v>
      </c>
      <c r="B84" s="353" t="s">
        <v>281</v>
      </c>
      <c r="C84" s="352">
        <v>5</v>
      </c>
      <c r="D84" s="352">
        <v>1</v>
      </c>
      <c r="E84" s="352">
        <v>5</v>
      </c>
      <c r="F84" s="249">
        <v>0</v>
      </c>
      <c r="G84" s="249">
        <v>0</v>
      </c>
      <c r="H84" s="249">
        <v>0</v>
      </c>
      <c r="I84" s="249">
        <v>0</v>
      </c>
      <c r="J84" s="252"/>
      <c r="K84" s="252"/>
      <c r="L84" s="252"/>
      <c r="M84" s="252"/>
      <c r="N84" s="252"/>
      <c r="O84" s="252"/>
      <c r="P84" s="252"/>
      <c r="Q84" s="253"/>
    </row>
    <row r="85" spans="1:17" s="3" customFormat="1" ht="25" customHeight="1" x14ac:dyDescent="0.25">
      <c r="A85" s="354" t="s">
        <v>289</v>
      </c>
      <c r="B85" s="350" t="s">
        <v>287</v>
      </c>
      <c r="C85" s="352">
        <v>3</v>
      </c>
      <c r="D85" s="352">
        <v>1</v>
      </c>
      <c r="E85" s="352">
        <v>3</v>
      </c>
      <c r="F85" s="316">
        <f>F48+F63+F83</f>
        <v>12741.8</v>
      </c>
      <c r="G85" s="260">
        <f>G48+G63+G83</f>
        <v>2437</v>
      </c>
      <c r="H85" s="260">
        <f>H48+H63+H83</f>
        <v>85906.8</v>
      </c>
      <c r="I85" s="260">
        <f>I48+I63+I83</f>
        <v>12741.8</v>
      </c>
      <c r="J85" s="261">
        <v>0</v>
      </c>
      <c r="K85" s="261">
        <v>0</v>
      </c>
      <c r="L85" s="262">
        <f>'Bieu3 GDTH'!F24</f>
        <v>2632</v>
      </c>
      <c r="M85" s="263">
        <f>'Bieu3 GDTH'!N24</f>
        <v>2402.5</v>
      </c>
      <c r="N85" s="263">
        <f>I85-M85</f>
        <v>10339.299999999999</v>
      </c>
      <c r="O85" s="264">
        <f>'Bieu3 GDTH'!O24</f>
        <v>1422.25</v>
      </c>
      <c r="P85" s="264">
        <f>'Bieu3 GDTH'!P24</f>
        <v>780</v>
      </c>
      <c r="Q85" s="265"/>
    </row>
    <row r="86" spans="1:17" s="3" customFormat="1" ht="25" customHeight="1" x14ac:dyDescent="0.25">
      <c r="A86" s="354" t="s">
        <v>290</v>
      </c>
      <c r="B86" s="350" t="s">
        <v>265</v>
      </c>
      <c r="C86" s="352">
        <v>3</v>
      </c>
      <c r="D86" s="352">
        <v>1</v>
      </c>
      <c r="E86" s="352">
        <v>3</v>
      </c>
      <c r="F86" s="366"/>
      <c r="G86" s="365"/>
      <c r="H86" s="365"/>
      <c r="I86" s="365"/>
      <c r="J86" s="367"/>
      <c r="K86" s="367"/>
      <c r="L86" s="368"/>
      <c r="M86" s="369"/>
      <c r="N86" s="369"/>
      <c r="O86" s="370"/>
      <c r="P86" s="370"/>
      <c r="Q86" s="371"/>
    </row>
    <row r="87" spans="1:17" s="3" customFormat="1" ht="25" customHeight="1" x14ac:dyDescent="0.25">
      <c r="A87" s="354" t="s">
        <v>291</v>
      </c>
      <c r="B87" s="350" t="s">
        <v>288</v>
      </c>
      <c r="C87" s="352">
        <v>5</v>
      </c>
      <c r="D87" s="352">
        <v>1</v>
      </c>
      <c r="E87" s="352">
        <v>3</v>
      </c>
      <c r="F87" s="366"/>
      <c r="G87" s="365"/>
      <c r="H87" s="365"/>
      <c r="I87" s="365"/>
      <c r="J87" s="367"/>
      <c r="K87" s="367"/>
      <c r="L87" s="368"/>
      <c r="M87" s="369"/>
      <c r="N87" s="369"/>
      <c r="O87" s="370"/>
      <c r="P87" s="370"/>
      <c r="Q87" s="371"/>
    </row>
    <row r="88" spans="1:17" s="3" customFormat="1" ht="25" customHeight="1" x14ac:dyDescent="0.25">
      <c r="A88" s="354" t="s">
        <v>292</v>
      </c>
      <c r="B88" s="350" t="s">
        <v>263</v>
      </c>
      <c r="C88" s="352">
        <v>3</v>
      </c>
      <c r="D88" s="352">
        <v>1</v>
      </c>
      <c r="E88" s="352">
        <v>3</v>
      </c>
      <c r="F88" s="366"/>
      <c r="G88" s="365"/>
      <c r="H88" s="365"/>
      <c r="I88" s="365"/>
      <c r="J88" s="367"/>
      <c r="K88" s="367"/>
      <c r="L88" s="368"/>
      <c r="M88" s="369"/>
      <c r="N88" s="369"/>
      <c r="O88" s="370"/>
      <c r="P88" s="370"/>
      <c r="Q88" s="371"/>
    </row>
    <row r="89" spans="1:17" s="3" customFormat="1" ht="25" customHeight="1" x14ac:dyDescent="0.25">
      <c r="A89" s="386"/>
      <c r="B89" s="361" t="s">
        <v>353</v>
      </c>
      <c r="C89" s="364">
        <f>SUM(C74:C88)</f>
        <v>51</v>
      </c>
      <c r="D89" s="364">
        <f>SUM(D74:D88)</f>
        <v>15</v>
      </c>
      <c r="E89" s="364">
        <f>SUM(E74:E88)</f>
        <v>53</v>
      </c>
      <c r="F89" s="366"/>
      <c r="G89" s="365"/>
      <c r="H89" s="365"/>
      <c r="I89" s="365"/>
      <c r="J89" s="367"/>
      <c r="K89" s="367"/>
      <c r="L89" s="368"/>
      <c r="M89" s="369"/>
      <c r="N89" s="369"/>
      <c r="O89" s="370"/>
      <c r="P89" s="370"/>
      <c r="Q89" s="371"/>
    </row>
    <row r="90" spans="1:17" s="3" customFormat="1" ht="25" customHeight="1" x14ac:dyDescent="0.25">
      <c r="A90" s="385">
        <v>2</v>
      </c>
      <c r="B90" s="385" t="s">
        <v>85</v>
      </c>
      <c r="C90" s="352">
        <v>0</v>
      </c>
      <c r="D90" s="352">
        <v>0</v>
      </c>
      <c r="E90" s="352">
        <v>0</v>
      </c>
      <c r="F90" s="366"/>
      <c r="G90" s="365"/>
      <c r="H90" s="365"/>
      <c r="I90" s="365"/>
      <c r="J90" s="367"/>
      <c r="K90" s="367"/>
      <c r="L90" s="368"/>
      <c r="M90" s="369"/>
      <c r="N90" s="369"/>
      <c r="O90" s="370"/>
      <c r="P90" s="370"/>
      <c r="Q90" s="371"/>
    </row>
    <row r="91" spans="1:17" s="3" customFormat="1" ht="25" customHeight="1" x14ac:dyDescent="0.25">
      <c r="A91" s="387"/>
      <c r="B91" s="387" t="s">
        <v>374</v>
      </c>
      <c r="C91" s="388">
        <f>C54+C69+C89</f>
        <v>191</v>
      </c>
      <c r="D91" s="388">
        <f>D54+D69+D89</f>
        <v>65.66</v>
      </c>
      <c r="E91" s="388">
        <f>E54+E69+E89</f>
        <v>206</v>
      </c>
      <c r="F91" s="366"/>
      <c r="G91" s="365"/>
      <c r="H91" s="365"/>
      <c r="I91" s="365"/>
      <c r="J91" s="367"/>
      <c r="K91" s="367"/>
      <c r="L91" s="368"/>
      <c r="M91" s="369"/>
      <c r="N91" s="369"/>
      <c r="O91" s="370"/>
      <c r="P91" s="370"/>
      <c r="Q91" s="371"/>
    </row>
    <row r="92" spans="1:17" s="3" customFormat="1" ht="25" customHeight="1" x14ac:dyDescent="0.25">
      <c r="A92" s="242" t="s">
        <v>19</v>
      </c>
      <c r="B92" s="242" t="s">
        <v>375</v>
      </c>
      <c r="C92" s="249"/>
      <c r="D92" s="249"/>
      <c r="E92" s="249"/>
      <c r="F92" s="249"/>
      <c r="G92" s="249"/>
      <c r="H92" s="249"/>
      <c r="I92" s="252"/>
      <c r="J92" s="252"/>
      <c r="K92" s="252"/>
      <c r="L92" s="252"/>
      <c r="M92" s="252"/>
      <c r="N92" s="252"/>
      <c r="O92" s="252"/>
      <c r="P92" s="252"/>
      <c r="Q92" s="253"/>
    </row>
    <row r="93" spans="1:17" s="3" customFormat="1" ht="25" customHeight="1" x14ac:dyDescent="0.25">
      <c r="A93" s="266" t="s">
        <v>377</v>
      </c>
      <c r="B93" s="266" t="s">
        <v>378</v>
      </c>
      <c r="C93" s="249"/>
      <c r="D93" s="249"/>
      <c r="E93" s="249"/>
      <c r="F93" s="249"/>
      <c r="G93" s="249"/>
      <c r="H93" s="249"/>
      <c r="I93" s="252"/>
      <c r="J93" s="252"/>
      <c r="K93" s="252"/>
      <c r="L93" s="252"/>
      <c r="M93" s="252"/>
      <c r="N93" s="252"/>
      <c r="O93" s="252"/>
      <c r="P93" s="252"/>
      <c r="Q93" s="253"/>
    </row>
    <row r="94" spans="1:17" s="3" customFormat="1" ht="25" customHeight="1" x14ac:dyDescent="0.25">
      <c r="A94" s="266">
        <v>1</v>
      </c>
      <c r="B94" s="266" t="s">
        <v>379</v>
      </c>
      <c r="C94" s="249"/>
      <c r="D94" s="249"/>
      <c r="E94" s="249"/>
      <c r="F94" s="249"/>
      <c r="G94" s="249"/>
      <c r="H94" s="249"/>
      <c r="I94" s="252"/>
      <c r="J94" s="252"/>
      <c r="K94" s="252"/>
      <c r="L94" s="252"/>
      <c r="M94" s="252"/>
      <c r="N94" s="252"/>
      <c r="O94" s="252"/>
      <c r="P94" s="252"/>
      <c r="Q94" s="253"/>
    </row>
    <row r="95" spans="1:17" s="3" customFormat="1" ht="25" customHeight="1" x14ac:dyDescent="0.25">
      <c r="A95" s="267" t="s">
        <v>147</v>
      </c>
      <c r="B95" s="268" t="s">
        <v>161</v>
      </c>
      <c r="C95" s="249"/>
      <c r="D95" s="249"/>
      <c r="E95" s="249"/>
      <c r="F95" s="249"/>
      <c r="G95" s="249"/>
      <c r="H95" s="249"/>
      <c r="I95" s="252"/>
      <c r="J95" s="252"/>
      <c r="K95" s="252"/>
      <c r="L95" s="252"/>
      <c r="M95" s="252"/>
      <c r="N95" s="252"/>
      <c r="O95" s="252"/>
      <c r="P95" s="252"/>
      <c r="Q95" s="253"/>
    </row>
    <row r="96" spans="1:17" s="3" customFormat="1" ht="25" customHeight="1" x14ac:dyDescent="0.25">
      <c r="A96" s="349" t="s">
        <v>226</v>
      </c>
      <c r="B96" s="350" t="s">
        <v>597</v>
      </c>
      <c r="C96" s="351">
        <v>3</v>
      </c>
      <c r="D96" s="351">
        <v>1</v>
      </c>
      <c r="E96" s="351">
        <v>3</v>
      </c>
      <c r="F96" s="254">
        <f t="shared" ref="F96:F119" si="9">I96+J96+K96</f>
        <v>148.5</v>
      </c>
      <c r="G96" s="269">
        <v>60</v>
      </c>
      <c r="H96" s="249">
        <f t="shared" ref="H96:H118" si="10">C96*D96*E96*G96</f>
        <v>540</v>
      </c>
      <c r="I96" s="251">
        <f t="shared" ref="I96:I110" si="11">IF(G96&lt;70, C96*E96*16.5*1, C96*E96*16.5*1.3)</f>
        <v>148.5</v>
      </c>
      <c r="J96" s="270"/>
      <c r="K96" s="270"/>
      <c r="L96" s="252"/>
      <c r="M96" s="252"/>
      <c r="N96" s="252"/>
      <c r="O96" s="252"/>
      <c r="P96" s="252"/>
      <c r="Q96" s="253"/>
    </row>
    <row r="97" spans="1:17" s="3" customFormat="1" ht="25" customHeight="1" x14ac:dyDescent="0.25">
      <c r="A97" s="349" t="s">
        <v>227</v>
      </c>
      <c r="B97" s="350" t="s">
        <v>598</v>
      </c>
      <c r="C97" s="351">
        <v>4</v>
      </c>
      <c r="D97" s="351">
        <v>1.3</v>
      </c>
      <c r="E97" s="351">
        <v>3</v>
      </c>
      <c r="F97" s="254">
        <f t="shared" si="9"/>
        <v>257.40000000000003</v>
      </c>
      <c r="G97" s="269">
        <v>70</v>
      </c>
      <c r="H97" s="249">
        <f t="shared" si="10"/>
        <v>1092</v>
      </c>
      <c r="I97" s="251">
        <f t="shared" si="11"/>
        <v>257.40000000000003</v>
      </c>
      <c r="J97" s="270"/>
      <c r="K97" s="270"/>
      <c r="L97" s="252"/>
      <c r="M97" s="252"/>
      <c r="N97" s="252"/>
      <c r="O97" s="252"/>
      <c r="P97" s="252"/>
      <c r="Q97" s="253"/>
    </row>
    <row r="98" spans="1:17" s="3" customFormat="1" ht="25" customHeight="1" x14ac:dyDescent="0.25">
      <c r="A98" s="349" t="s">
        <v>228</v>
      </c>
      <c r="B98" s="350" t="s">
        <v>599</v>
      </c>
      <c r="C98" s="351">
        <v>1</v>
      </c>
      <c r="D98" s="351">
        <v>1.3</v>
      </c>
      <c r="E98" s="351">
        <v>8</v>
      </c>
      <c r="F98" s="254">
        <f t="shared" si="9"/>
        <v>132</v>
      </c>
      <c r="G98" s="269">
        <v>20</v>
      </c>
      <c r="H98" s="249">
        <f t="shared" si="10"/>
        <v>208</v>
      </c>
      <c r="I98" s="251">
        <f t="shared" si="11"/>
        <v>132</v>
      </c>
      <c r="J98" s="270"/>
      <c r="K98" s="270"/>
      <c r="L98" s="252"/>
      <c r="M98" s="252"/>
      <c r="N98" s="252"/>
      <c r="O98" s="252"/>
      <c r="P98" s="252"/>
      <c r="Q98" s="253"/>
    </row>
    <row r="99" spans="1:17" s="3" customFormat="1" ht="25" customHeight="1" x14ac:dyDescent="0.25">
      <c r="A99" s="349" t="s">
        <v>228</v>
      </c>
      <c r="B99" s="350" t="s">
        <v>600</v>
      </c>
      <c r="C99" s="351">
        <v>1</v>
      </c>
      <c r="D99" s="351">
        <v>1.3</v>
      </c>
      <c r="E99" s="351">
        <v>8</v>
      </c>
      <c r="F99" s="254">
        <f t="shared" si="9"/>
        <v>132</v>
      </c>
      <c r="G99" s="269">
        <v>20</v>
      </c>
      <c r="H99" s="249">
        <f t="shared" si="10"/>
        <v>208</v>
      </c>
      <c r="I99" s="251">
        <f t="shared" si="11"/>
        <v>132</v>
      </c>
      <c r="J99" s="270"/>
      <c r="K99" s="270"/>
      <c r="L99" s="252"/>
      <c r="M99" s="252"/>
      <c r="N99" s="252"/>
      <c r="O99" s="252"/>
      <c r="P99" s="252"/>
      <c r="Q99" s="253"/>
    </row>
    <row r="100" spans="1:17" s="3" customFormat="1" ht="25" customHeight="1" x14ac:dyDescent="0.25">
      <c r="A100" s="349" t="s">
        <v>229</v>
      </c>
      <c r="B100" s="350" t="s">
        <v>601</v>
      </c>
      <c r="C100" s="351">
        <v>1</v>
      </c>
      <c r="D100" s="351">
        <v>1.3</v>
      </c>
      <c r="E100" s="351">
        <v>7</v>
      </c>
      <c r="F100" s="254">
        <f t="shared" si="9"/>
        <v>115.5</v>
      </c>
      <c r="G100" s="269">
        <v>60</v>
      </c>
      <c r="H100" s="249">
        <f t="shared" si="10"/>
        <v>546</v>
      </c>
      <c r="I100" s="251">
        <f t="shared" si="11"/>
        <v>115.5</v>
      </c>
      <c r="J100" s="270"/>
      <c r="K100" s="270"/>
      <c r="L100" s="252"/>
      <c r="M100" s="252"/>
      <c r="N100" s="252"/>
      <c r="O100" s="252"/>
      <c r="P100" s="252"/>
      <c r="Q100" s="253"/>
    </row>
    <row r="101" spans="1:17" s="3" customFormat="1" ht="25" customHeight="1" x14ac:dyDescent="0.25">
      <c r="A101" s="349" t="s">
        <v>230</v>
      </c>
      <c r="B101" s="350" t="s">
        <v>385</v>
      </c>
      <c r="C101" s="351">
        <v>4</v>
      </c>
      <c r="D101" s="351">
        <v>1</v>
      </c>
      <c r="E101" s="351">
        <v>3</v>
      </c>
      <c r="F101" s="254">
        <f t="shared" si="9"/>
        <v>198</v>
      </c>
      <c r="G101" s="269">
        <v>25</v>
      </c>
      <c r="H101" s="249">
        <f t="shared" si="10"/>
        <v>300</v>
      </c>
      <c r="I101" s="251">
        <f t="shared" si="11"/>
        <v>198</v>
      </c>
      <c r="J101" s="270"/>
      <c r="K101" s="270"/>
      <c r="L101" s="252"/>
      <c r="M101" s="252"/>
      <c r="N101" s="252"/>
      <c r="O101" s="252"/>
      <c r="P101" s="252"/>
      <c r="Q101" s="253"/>
    </row>
    <row r="102" spans="1:17" s="3" customFormat="1" ht="25" customHeight="1" x14ac:dyDescent="0.25">
      <c r="A102" s="349" t="s">
        <v>282</v>
      </c>
      <c r="B102" s="350" t="s">
        <v>602</v>
      </c>
      <c r="C102" s="351">
        <v>2</v>
      </c>
      <c r="D102" s="351">
        <v>1</v>
      </c>
      <c r="E102" s="351">
        <v>3</v>
      </c>
      <c r="F102" s="254">
        <f t="shared" si="9"/>
        <v>128.70000000000002</v>
      </c>
      <c r="G102" s="269">
        <v>70</v>
      </c>
      <c r="H102" s="249">
        <f t="shared" si="10"/>
        <v>420</v>
      </c>
      <c r="I102" s="251">
        <f t="shared" si="11"/>
        <v>128.70000000000002</v>
      </c>
      <c r="J102" s="270"/>
      <c r="K102" s="270"/>
      <c r="L102" s="252"/>
      <c r="M102" s="252"/>
      <c r="N102" s="252"/>
      <c r="O102" s="252"/>
      <c r="P102" s="252"/>
      <c r="Q102" s="253"/>
    </row>
    <row r="103" spans="1:17" s="3" customFormat="1" ht="25" customHeight="1" x14ac:dyDescent="0.25">
      <c r="A103" s="349" t="s">
        <v>283</v>
      </c>
      <c r="B103" s="350" t="s">
        <v>603</v>
      </c>
      <c r="C103" s="351">
        <v>3</v>
      </c>
      <c r="D103" s="351">
        <v>1</v>
      </c>
      <c r="E103" s="351">
        <v>2</v>
      </c>
      <c r="F103" s="254">
        <f t="shared" si="9"/>
        <v>99</v>
      </c>
      <c r="G103" s="269">
        <v>60</v>
      </c>
      <c r="H103" s="249">
        <f t="shared" si="10"/>
        <v>360</v>
      </c>
      <c r="I103" s="251">
        <f t="shared" si="11"/>
        <v>99</v>
      </c>
      <c r="J103" s="270"/>
      <c r="K103" s="270"/>
      <c r="L103" s="252"/>
      <c r="M103" s="252"/>
      <c r="N103" s="252"/>
      <c r="O103" s="252"/>
      <c r="P103" s="252"/>
      <c r="Q103" s="253"/>
    </row>
    <row r="104" spans="1:17" s="3" customFormat="1" ht="25" customHeight="1" x14ac:dyDescent="0.25">
      <c r="A104" s="349" t="s">
        <v>284</v>
      </c>
      <c r="B104" s="350" t="s">
        <v>604</v>
      </c>
      <c r="C104" s="351">
        <v>3</v>
      </c>
      <c r="D104" s="351">
        <v>1.1000000000000001</v>
      </c>
      <c r="E104" s="351">
        <v>3</v>
      </c>
      <c r="F104" s="254">
        <f t="shared" si="9"/>
        <v>193.05</v>
      </c>
      <c r="G104" s="269">
        <v>70</v>
      </c>
      <c r="H104" s="249">
        <f t="shared" si="10"/>
        <v>693</v>
      </c>
      <c r="I104" s="251">
        <f t="shared" si="11"/>
        <v>193.05</v>
      </c>
      <c r="J104" s="270"/>
      <c r="K104" s="270"/>
      <c r="L104" s="252"/>
      <c r="M104" s="252"/>
      <c r="N104" s="252"/>
      <c r="O104" s="252"/>
      <c r="P104" s="252"/>
      <c r="Q104" s="253"/>
    </row>
    <row r="105" spans="1:17" s="3" customFormat="1" ht="25" customHeight="1" x14ac:dyDescent="0.25">
      <c r="A105" s="349" t="s">
        <v>285</v>
      </c>
      <c r="B105" s="350" t="s">
        <v>605</v>
      </c>
      <c r="C105" s="352">
        <v>3</v>
      </c>
      <c r="D105" s="352">
        <v>1</v>
      </c>
      <c r="E105" s="352">
        <v>2</v>
      </c>
      <c r="F105" s="254">
        <f t="shared" si="9"/>
        <v>128.70000000000002</v>
      </c>
      <c r="G105" s="271">
        <v>70</v>
      </c>
      <c r="H105" s="249">
        <f t="shared" si="10"/>
        <v>420</v>
      </c>
      <c r="I105" s="251">
        <f t="shared" si="11"/>
        <v>128.70000000000002</v>
      </c>
      <c r="J105" s="270"/>
      <c r="K105" s="270"/>
      <c r="L105" s="252"/>
      <c r="M105" s="252"/>
      <c r="N105" s="252"/>
      <c r="O105" s="252"/>
      <c r="P105" s="252"/>
      <c r="Q105" s="253"/>
    </row>
    <row r="106" spans="1:17" s="3" customFormat="1" ht="25" customHeight="1" x14ac:dyDescent="0.25">
      <c r="A106" s="349" t="s">
        <v>286</v>
      </c>
      <c r="B106" s="350" t="s">
        <v>606</v>
      </c>
      <c r="C106" s="352">
        <v>4</v>
      </c>
      <c r="D106" s="352">
        <v>1</v>
      </c>
      <c r="E106" s="352">
        <v>3</v>
      </c>
      <c r="F106" s="254">
        <f t="shared" si="9"/>
        <v>257.40000000000003</v>
      </c>
      <c r="G106" s="271">
        <v>70</v>
      </c>
      <c r="H106" s="249">
        <f t="shared" si="10"/>
        <v>840</v>
      </c>
      <c r="I106" s="251">
        <f t="shared" si="11"/>
        <v>257.40000000000003</v>
      </c>
      <c r="J106" s="270"/>
      <c r="K106" s="270"/>
      <c r="L106" s="252"/>
      <c r="M106" s="252"/>
      <c r="N106" s="252"/>
      <c r="O106" s="252"/>
      <c r="P106" s="252"/>
      <c r="Q106" s="253"/>
    </row>
    <row r="107" spans="1:17" s="3" customFormat="1" ht="25" customHeight="1" x14ac:dyDescent="0.25">
      <c r="A107" s="349" t="s">
        <v>289</v>
      </c>
      <c r="B107" s="350" t="s">
        <v>607</v>
      </c>
      <c r="C107" s="352">
        <v>2</v>
      </c>
      <c r="D107" s="352">
        <v>1.3</v>
      </c>
      <c r="E107" s="352">
        <v>6</v>
      </c>
      <c r="F107" s="254">
        <f t="shared" si="9"/>
        <v>198</v>
      </c>
      <c r="G107" s="271">
        <v>25</v>
      </c>
      <c r="H107" s="249">
        <f t="shared" si="10"/>
        <v>390.00000000000006</v>
      </c>
      <c r="I107" s="251">
        <f t="shared" si="11"/>
        <v>198</v>
      </c>
      <c r="J107" s="270"/>
      <c r="K107" s="270"/>
      <c r="L107" s="252"/>
      <c r="M107" s="252"/>
      <c r="N107" s="252"/>
      <c r="O107" s="252"/>
      <c r="P107" s="252"/>
      <c r="Q107" s="253"/>
    </row>
    <row r="108" spans="1:17" s="3" customFormat="1" ht="25" customHeight="1" x14ac:dyDescent="0.25">
      <c r="A108" s="349" t="s">
        <v>290</v>
      </c>
      <c r="B108" s="350" t="s">
        <v>608</v>
      </c>
      <c r="C108" s="352">
        <v>3</v>
      </c>
      <c r="D108" s="352">
        <v>1</v>
      </c>
      <c r="E108" s="352">
        <v>2</v>
      </c>
      <c r="F108" s="254">
        <f t="shared" si="9"/>
        <v>128.70000000000002</v>
      </c>
      <c r="G108" s="271">
        <v>70</v>
      </c>
      <c r="H108" s="249">
        <f t="shared" si="10"/>
        <v>420</v>
      </c>
      <c r="I108" s="251">
        <f t="shared" si="11"/>
        <v>128.70000000000002</v>
      </c>
      <c r="J108" s="270"/>
      <c r="K108" s="270"/>
      <c r="L108" s="252"/>
      <c r="M108" s="252"/>
      <c r="N108" s="252"/>
      <c r="O108" s="252"/>
      <c r="P108" s="252"/>
      <c r="Q108" s="253"/>
    </row>
    <row r="109" spans="1:17" s="3" customFormat="1" ht="25" customHeight="1" x14ac:dyDescent="0.25">
      <c r="A109" s="349" t="s">
        <v>291</v>
      </c>
      <c r="B109" s="350" t="s">
        <v>499</v>
      </c>
      <c r="C109" s="352">
        <v>2</v>
      </c>
      <c r="D109" s="352">
        <v>1</v>
      </c>
      <c r="E109" s="352">
        <v>1</v>
      </c>
      <c r="F109" s="254">
        <f t="shared" si="9"/>
        <v>33</v>
      </c>
      <c r="G109" s="271">
        <v>40</v>
      </c>
      <c r="H109" s="249">
        <f t="shared" si="10"/>
        <v>80</v>
      </c>
      <c r="I109" s="251">
        <f t="shared" si="11"/>
        <v>33</v>
      </c>
      <c r="J109" s="270"/>
      <c r="K109" s="270"/>
      <c r="L109" s="252"/>
      <c r="M109" s="252"/>
      <c r="N109" s="252"/>
      <c r="O109" s="252"/>
      <c r="P109" s="252"/>
      <c r="Q109" s="253"/>
    </row>
    <row r="110" spans="1:17" s="3" customFormat="1" ht="25" customHeight="1" x14ac:dyDescent="0.25">
      <c r="A110" s="349" t="s">
        <v>292</v>
      </c>
      <c r="B110" s="353" t="s">
        <v>609</v>
      </c>
      <c r="C110" s="352">
        <v>4</v>
      </c>
      <c r="D110" s="352">
        <v>1</v>
      </c>
      <c r="E110" s="352">
        <v>3</v>
      </c>
      <c r="F110" s="254">
        <f t="shared" si="9"/>
        <v>257.40000000000003</v>
      </c>
      <c r="G110" s="271">
        <v>70</v>
      </c>
      <c r="H110" s="249">
        <f t="shared" si="10"/>
        <v>840</v>
      </c>
      <c r="I110" s="251">
        <f t="shared" si="11"/>
        <v>257.40000000000003</v>
      </c>
      <c r="J110" s="246">
        <v>0</v>
      </c>
      <c r="K110" s="246">
        <v>0</v>
      </c>
      <c r="L110" s="252"/>
      <c r="M110" s="252"/>
      <c r="N110" s="252"/>
      <c r="O110" s="252"/>
      <c r="P110" s="252"/>
      <c r="Q110" s="253"/>
    </row>
    <row r="111" spans="1:17" s="3" customFormat="1" ht="25" customHeight="1" x14ac:dyDescent="0.25">
      <c r="A111" s="349" t="s">
        <v>395</v>
      </c>
      <c r="B111" s="353" t="s">
        <v>610</v>
      </c>
      <c r="C111" s="352">
        <v>3</v>
      </c>
      <c r="D111" s="352">
        <v>1.2</v>
      </c>
      <c r="E111" s="352">
        <v>2</v>
      </c>
      <c r="F111" s="254">
        <f t="shared" si="9"/>
        <v>30</v>
      </c>
      <c r="G111" s="271">
        <v>25</v>
      </c>
      <c r="H111" s="249">
        <f t="shared" si="10"/>
        <v>179.99999999999997</v>
      </c>
      <c r="I111" s="251">
        <f>E111*15</f>
        <v>30</v>
      </c>
      <c r="J111" s="252"/>
      <c r="K111" s="252"/>
      <c r="L111" s="252"/>
      <c r="M111" s="252"/>
      <c r="N111" s="252"/>
      <c r="O111" s="252"/>
      <c r="P111" s="252"/>
      <c r="Q111" s="253"/>
    </row>
    <row r="112" spans="1:17" s="3" customFormat="1" ht="25" customHeight="1" x14ac:dyDescent="0.25">
      <c r="A112" s="349" t="s">
        <v>396</v>
      </c>
      <c r="B112" s="353" t="s">
        <v>611</v>
      </c>
      <c r="C112" s="352">
        <v>4</v>
      </c>
      <c r="D112" s="352">
        <v>1</v>
      </c>
      <c r="E112" s="352">
        <v>3</v>
      </c>
      <c r="F112" s="254">
        <f t="shared" si="9"/>
        <v>198</v>
      </c>
      <c r="G112" s="271">
        <v>25</v>
      </c>
      <c r="H112" s="249">
        <f t="shared" si="10"/>
        <v>300</v>
      </c>
      <c r="I112" s="250"/>
      <c r="J112" s="251">
        <f>IF(G112&lt;70, C112*E112*16.5*1, C112*E112*16.5*1.3)</f>
        <v>198</v>
      </c>
      <c r="K112" s="252"/>
      <c r="L112" s="252"/>
      <c r="M112" s="252"/>
      <c r="N112" s="252"/>
      <c r="O112" s="252"/>
      <c r="P112" s="252"/>
      <c r="Q112" s="253"/>
    </row>
    <row r="113" spans="1:17" s="3" customFormat="1" ht="25" customHeight="1" x14ac:dyDescent="0.25">
      <c r="A113" s="349" t="s">
        <v>397</v>
      </c>
      <c r="B113" s="353" t="s">
        <v>612</v>
      </c>
      <c r="C113" s="352">
        <v>4</v>
      </c>
      <c r="D113" s="352">
        <v>1</v>
      </c>
      <c r="E113" s="352">
        <v>3</v>
      </c>
      <c r="F113" s="254">
        <f t="shared" si="9"/>
        <v>257.40000000000003</v>
      </c>
      <c r="G113" s="271">
        <v>70</v>
      </c>
      <c r="H113" s="249">
        <f t="shared" si="10"/>
        <v>840</v>
      </c>
      <c r="I113" s="251">
        <f>IF(G113&lt;70, C113*E113*16.5*1, C113*E113*16.5*1.3)</f>
        <v>257.40000000000003</v>
      </c>
      <c r="J113" s="252"/>
      <c r="K113" s="252"/>
      <c r="L113" s="252"/>
      <c r="M113" s="252"/>
      <c r="N113" s="252"/>
      <c r="O113" s="252"/>
      <c r="P113" s="252"/>
      <c r="Q113" s="253"/>
    </row>
    <row r="114" spans="1:17" s="3" customFormat="1" ht="25" customHeight="1" x14ac:dyDescent="0.25">
      <c r="A114" s="349" t="s">
        <v>398</v>
      </c>
      <c r="B114" s="353" t="s">
        <v>376</v>
      </c>
      <c r="C114" s="352">
        <v>2</v>
      </c>
      <c r="D114" s="352">
        <v>1.3</v>
      </c>
      <c r="E114" s="352">
        <v>2</v>
      </c>
      <c r="F114" s="254">
        <f t="shared" si="9"/>
        <v>85.8</v>
      </c>
      <c r="G114" s="271">
        <v>70</v>
      </c>
      <c r="H114" s="249">
        <f t="shared" si="10"/>
        <v>364</v>
      </c>
      <c r="I114" s="251">
        <f t="shared" ref="I114:I119" si="12">IF(G114&lt;70, C114*E114*16.5*1, C114*E114*16.5*1.3)</f>
        <v>85.8</v>
      </c>
      <c r="J114" s="252"/>
      <c r="K114" s="252"/>
      <c r="L114" s="252"/>
      <c r="M114" s="252"/>
      <c r="N114" s="252"/>
      <c r="O114" s="252"/>
      <c r="P114" s="252"/>
      <c r="Q114" s="253"/>
    </row>
    <row r="115" spans="1:17" s="3" customFormat="1" ht="25" customHeight="1" x14ac:dyDescent="0.25">
      <c r="A115" s="349" t="s">
        <v>399</v>
      </c>
      <c r="B115" s="353" t="s">
        <v>613</v>
      </c>
      <c r="C115" s="352">
        <v>4</v>
      </c>
      <c r="D115" s="352">
        <v>1.3</v>
      </c>
      <c r="E115" s="352">
        <v>3</v>
      </c>
      <c r="F115" s="254">
        <f t="shared" si="9"/>
        <v>257.40000000000003</v>
      </c>
      <c r="G115" s="271">
        <v>70</v>
      </c>
      <c r="H115" s="249">
        <f t="shared" si="10"/>
        <v>1092</v>
      </c>
      <c r="I115" s="251">
        <f t="shared" si="12"/>
        <v>257.40000000000003</v>
      </c>
      <c r="J115" s="252"/>
      <c r="K115" s="252"/>
      <c r="L115" s="252"/>
      <c r="M115" s="252"/>
      <c r="N115" s="252"/>
      <c r="O115" s="252"/>
      <c r="P115" s="252"/>
      <c r="Q115" s="253"/>
    </row>
    <row r="116" spans="1:17" s="3" customFormat="1" ht="25" customHeight="1" x14ac:dyDescent="0.25">
      <c r="A116" s="349"/>
      <c r="B116" s="353" t="s">
        <v>614</v>
      </c>
      <c r="C116" s="352">
        <v>3</v>
      </c>
      <c r="D116" s="352">
        <v>1</v>
      </c>
      <c r="E116" s="352">
        <v>2</v>
      </c>
      <c r="F116" s="254">
        <f t="shared" si="9"/>
        <v>128.70000000000002</v>
      </c>
      <c r="G116" s="271">
        <v>70</v>
      </c>
      <c r="H116" s="249">
        <f t="shared" si="10"/>
        <v>420</v>
      </c>
      <c r="I116" s="251">
        <f t="shared" si="12"/>
        <v>128.70000000000002</v>
      </c>
      <c r="J116" s="270">
        <v>0</v>
      </c>
      <c r="K116" s="270">
        <v>0</v>
      </c>
      <c r="L116" s="252"/>
      <c r="M116" s="252"/>
      <c r="N116" s="252"/>
      <c r="O116" s="252"/>
      <c r="P116" s="252"/>
      <c r="Q116" s="253"/>
    </row>
    <row r="117" spans="1:17" s="3" customFormat="1" ht="25" customHeight="1" x14ac:dyDescent="0.25">
      <c r="A117" s="349" t="s">
        <v>400</v>
      </c>
      <c r="B117" s="353" t="s">
        <v>615</v>
      </c>
      <c r="C117" s="352">
        <v>2</v>
      </c>
      <c r="D117" s="352">
        <v>1.3</v>
      </c>
      <c r="E117" s="352">
        <v>2</v>
      </c>
      <c r="F117" s="254">
        <f t="shared" si="9"/>
        <v>85.8</v>
      </c>
      <c r="G117" s="271">
        <v>70</v>
      </c>
      <c r="H117" s="249">
        <f t="shared" si="10"/>
        <v>364</v>
      </c>
      <c r="I117" s="251">
        <f t="shared" si="12"/>
        <v>85.8</v>
      </c>
      <c r="J117" s="270">
        <v>0</v>
      </c>
      <c r="K117" s="270">
        <v>0</v>
      </c>
      <c r="L117" s="252"/>
      <c r="M117" s="252"/>
      <c r="N117" s="252"/>
      <c r="O117" s="252"/>
      <c r="P117" s="252"/>
      <c r="Q117" s="253"/>
    </row>
    <row r="118" spans="1:17" s="3" customFormat="1" ht="25" customHeight="1" x14ac:dyDescent="0.25">
      <c r="A118" s="349"/>
      <c r="B118" s="353" t="s">
        <v>616</v>
      </c>
      <c r="C118" s="352">
        <v>4</v>
      </c>
      <c r="D118" s="352">
        <v>1</v>
      </c>
      <c r="E118" s="352">
        <v>3</v>
      </c>
      <c r="F118" s="254">
        <f t="shared" si="9"/>
        <v>257.40000000000003</v>
      </c>
      <c r="G118" s="249">
        <v>70</v>
      </c>
      <c r="H118" s="249">
        <f t="shared" si="10"/>
        <v>840</v>
      </c>
      <c r="I118" s="251">
        <f t="shared" si="12"/>
        <v>257.40000000000003</v>
      </c>
      <c r="J118" s="270">
        <v>0</v>
      </c>
      <c r="K118" s="270">
        <v>0</v>
      </c>
      <c r="L118" s="252"/>
      <c r="M118" s="252"/>
      <c r="N118" s="252"/>
      <c r="O118" s="252"/>
      <c r="P118" s="252"/>
      <c r="Q118" s="253"/>
    </row>
    <row r="119" spans="1:17" s="3" customFormat="1" ht="25" customHeight="1" x14ac:dyDescent="0.25">
      <c r="A119" s="349" t="s">
        <v>401</v>
      </c>
      <c r="B119" s="353" t="s">
        <v>617</v>
      </c>
      <c r="C119" s="352">
        <v>4</v>
      </c>
      <c r="D119" s="352">
        <v>1.1200000000000001</v>
      </c>
      <c r="E119" s="352">
        <v>3</v>
      </c>
      <c r="F119" s="254">
        <f t="shared" si="9"/>
        <v>198</v>
      </c>
      <c r="G119" s="271">
        <v>24</v>
      </c>
      <c r="H119" s="249">
        <f>C119*D119*E119*G119</f>
        <v>322.56000000000006</v>
      </c>
      <c r="I119" s="251">
        <f t="shared" si="12"/>
        <v>198</v>
      </c>
      <c r="J119" s="270"/>
      <c r="K119" s="270"/>
      <c r="L119" s="252"/>
      <c r="M119" s="252"/>
      <c r="N119" s="252"/>
      <c r="O119" s="252"/>
      <c r="P119" s="252"/>
      <c r="Q119" s="253"/>
    </row>
    <row r="120" spans="1:17" s="3" customFormat="1" ht="25" customHeight="1" x14ac:dyDescent="0.25">
      <c r="A120" s="349"/>
      <c r="B120" s="353"/>
      <c r="C120" s="352">
        <f>SUM(C96:C119)</f>
        <v>70</v>
      </c>
      <c r="D120" s="352">
        <f>SUM(D96:D119)</f>
        <v>26.820000000000004</v>
      </c>
      <c r="E120" s="352">
        <f>SUM(E96:E119)</f>
        <v>80</v>
      </c>
      <c r="F120" s="259"/>
      <c r="G120" s="259"/>
      <c r="H120" s="259"/>
      <c r="I120" s="246"/>
      <c r="J120" s="246"/>
      <c r="K120" s="246"/>
      <c r="L120" s="252"/>
      <c r="M120" s="252"/>
      <c r="N120" s="252"/>
      <c r="O120" s="252"/>
      <c r="P120" s="252"/>
      <c r="Q120" s="253"/>
    </row>
    <row r="121" spans="1:17" s="3" customFormat="1" ht="25" customHeight="1" x14ac:dyDescent="0.25">
      <c r="A121" s="359" t="s">
        <v>148</v>
      </c>
      <c r="B121" s="360" t="s">
        <v>151</v>
      </c>
      <c r="C121" s="352"/>
      <c r="D121" s="352"/>
      <c r="E121" s="352"/>
      <c r="F121" s="259"/>
      <c r="G121" s="259"/>
      <c r="H121" s="259"/>
      <c r="I121" s="246"/>
      <c r="J121" s="246"/>
      <c r="K121" s="246"/>
      <c r="L121" s="252"/>
      <c r="M121" s="252"/>
      <c r="N121" s="252"/>
      <c r="O121" s="252"/>
      <c r="P121" s="252"/>
      <c r="Q121" s="253"/>
    </row>
    <row r="122" spans="1:17" s="3" customFormat="1" ht="25" customHeight="1" x14ac:dyDescent="0.25">
      <c r="A122" s="354" t="s">
        <v>232</v>
      </c>
      <c r="B122" s="349" t="s">
        <v>154</v>
      </c>
      <c r="C122" s="352"/>
      <c r="D122" s="352"/>
      <c r="E122" s="352"/>
      <c r="F122" s="259"/>
      <c r="G122" s="259"/>
      <c r="H122" s="259"/>
      <c r="I122" s="246"/>
      <c r="J122" s="246"/>
      <c r="K122" s="246"/>
      <c r="L122" s="252"/>
      <c r="M122" s="252"/>
      <c r="N122" s="252"/>
      <c r="O122" s="252"/>
      <c r="P122" s="252"/>
      <c r="Q122" s="253"/>
    </row>
    <row r="123" spans="1:17" s="3" customFormat="1" ht="25" customHeight="1" x14ac:dyDescent="0.25">
      <c r="A123" s="354" t="s">
        <v>233</v>
      </c>
      <c r="B123" s="349" t="s">
        <v>153</v>
      </c>
      <c r="C123" s="352"/>
      <c r="D123" s="352"/>
      <c r="E123" s="352"/>
      <c r="F123" s="259"/>
      <c r="G123" s="259"/>
      <c r="H123" s="259"/>
      <c r="I123" s="246"/>
      <c r="J123" s="246"/>
      <c r="K123" s="246"/>
      <c r="L123" s="252"/>
      <c r="M123" s="252"/>
      <c r="N123" s="252"/>
      <c r="O123" s="252"/>
      <c r="P123" s="252"/>
      <c r="Q123" s="253"/>
    </row>
    <row r="124" spans="1:17" s="3" customFormat="1" ht="25" customHeight="1" x14ac:dyDescent="0.25">
      <c r="A124" s="354" t="s">
        <v>234</v>
      </c>
      <c r="B124" s="349" t="s">
        <v>155</v>
      </c>
      <c r="C124" s="352"/>
      <c r="D124" s="352"/>
      <c r="E124" s="352"/>
      <c r="F124" s="324">
        <f>I124</f>
        <v>0</v>
      </c>
      <c r="G124" s="259">
        <v>25</v>
      </c>
      <c r="H124" s="249">
        <f>C124*D124*E124*G124</f>
        <v>0</v>
      </c>
      <c r="I124" s="254">
        <f>2*G124*E124</f>
        <v>0</v>
      </c>
      <c r="J124" s="246"/>
      <c r="K124" s="246"/>
      <c r="L124" s="252"/>
      <c r="M124" s="252"/>
      <c r="N124" s="252"/>
      <c r="O124" s="252"/>
      <c r="P124" s="252"/>
      <c r="Q124" s="253"/>
    </row>
    <row r="125" spans="1:17" s="3" customFormat="1" ht="25" customHeight="1" x14ac:dyDescent="0.25">
      <c r="A125" s="354" t="s">
        <v>235</v>
      </c>
      <c r="B125" s="349" t="s">
        <v>156</v>
      </c>
      <c r="C125" s="352">
        <v>4</v>
      </c>
      <c r="D125" s="352">
        <v>1.4</v>
      </c>
      <c r="E125" s="352">
        <v>6</v>
      </c>
      <c r="F125" s="259"/>
      <c r="G125" s="259"/>
      <c r="H125" s="259"/>
      <c r="I125" s="246"/>
      <c r="J125" s="246"/>
      <c r="K125" s="246"/>
      <c r="L125" s="252"/>
      <c r="M125" s="252"/>
      <c r="N125" s="252"/>
      <c r="O125" s="252"/>
      <c r="P125" s="252"/>
      <c r="Q125" s="253"/>
    </row>
    <row r="126" spans="1:17" s="3" customFormat="1" ht="25" customHeight="1" x14ac:dyDescent="0.25">
      <c r="A126" s="354" t="s">
        <v>236</v>
      </c>
      <c r="B126" s="349" t="s">
        <v>157</v>
      </c>
      <c r="C126" s="352"/>
      <c r="D126" s="352"/>
      <c r="E126" s="352"/>
      <c r="F126" s="249">
        <f t="shared" ref="F126:K126" si="13">SUM(F96:F125)</f>
        <v>3905.8500000000008</v>
      </c>
      <c r="G126" s="246">
        <f t="shared" si="13"/>
        <v>1319</v>
      </c>
      <c r="H126" s="246">
        <f t="shared" si="13"/>
        <v>12079.56</v>
      </c>
      <c r="I126" s="246">
        <f t="shared" si="13"/>
        <v>3707.8500000000008</v>
      </c>
      <c r="J126" s="246">
        <f t="shared" si="13"/>
        <v>198</v>
      </c>
      <c r="K126" s="246">
        <f t="shared" si="13"/>
        <v>0</v>
      </c>
      <c r="L126" s="252"/>
      <c r="M126" s="252"/>
      <c r="N126" s="252"/>
      <c r="O126" s="252"/>
      <c r="P126" s="252"/>
      <c r="Q126" s="253"/>
    </row>
    <row r="127" spans="1:17" s="3" customFormat="1" ht="25" customHeight="1" x14ac:dyDescent="0.25">
      <c r="A127" s="354"/>
      <c r="B127" s="362" t="s">
        <v>380</v>
      </c>
      <c r="C127" s="352">
        <v>4</v>
      </c>
      <c r="D127" s="352">
        <v>1.4</v>
      </c>
      <c r="E127" s="352">
        <v>6</v>
      </c>
      <c r="F127" s="249"/>
      <c r="G127" s="246"/>
      <c r="H127" s="246"/>
      <c r="I127" s="246"/>
      <c r="J127" s="246"/>
      <c r="K127" s="246"/>
      <c r="L127" s="252"/>
      <c r="M127" s="252"/>
      <c r="N127" s="252"/>
      <c r="O127" s="252"/>
      <c r="P127" s="252"/>
      <c r="Q127" s="253"/>
    </row>
    <row r="128" spans="1:17" s="3" customFormat="1" ht="25" customHeight="1" x14ac:dyDescent="0.25">
      <c r="A128" s="355">
        <v>2</v>
      </c>
      <c r="B128" s="355" t="s">
        <v>501</v>
      </c>
      <c r="C128" s="352"/>
      <c r="D128" s="352"/>
      <c r="E128" s="352"/>
      <c r="F128" s="269"/>
      <c r="G128" s="271">
        <v>70</v>
      </c>
      <c r="H128" s="249"/>
      <c r="I128" s="249"/>
      <c r="J128" s="270">
        <v>5</v>
      </c>
      <c r="K128" s="250"/>
      <c r="L128" s="252"/>
      <c r="M128" s="252"/>
      <c r="N128" s="252"/>
      <c r="O128" s="252"/>
      <c r="P128" s="252"/>
      <c r="Q128" s="1447" t="s">
        <v>528</v>
      </c>
    </row>
    <row r="129" spans="1:17" s="3" customFormat="1" ht="25" customHeight="1" x14ac:dyDescent="0.25">
      <c r="A129" s="356" t="s">
        <v>147</v>
      </c>
      <c r="B129" s="357" t="s">
        <v>165</v>
      </c>
      <c r="C129" s="352"/>
      <c r="D129" s="352"/>
      <c r="E129" s="352"/>
      <c r="F129" s="269"/>
      <c r="G129" s="271">
        <v>70</v>
      </c>
      <c r="H129" s="249"/>
      <c r="I129" s="249"/>
      <c r="J129" s="270">
        <v>5</v>
      </c>
      <c r="K129" s="250"/>
      <c r="L129" s="252"/>
      <c r="M129" s="252"/>
      <c r="N129" s="252"/>
      <c r="O129" s="252"/>
      <c r="P129" s="252"/>
      <c r="Q129" s="1447"/>
    </row>
    <row r="130" spans="1:17" s="3" customFormat="1" ht="25" customHeight="1" x14ac:dyDescent="0.25">
      <c r="A130" s="349" t="s">
        <v>226</v>
      </c>
      <c r="B130" s="358" t="s">
        <v>618</v>
      </c>
      <c r="C130" s="352">
        <v>3</v>
      </c>
      <c r="D130" s="352">
        <v>1</v>
      </c>
      <c r="E130" s="352">
        <v>1</v>
      </c>
      <c r="F130" s="254"/>
      <c r="G130" s="271">
        <v>70</v>
      </c>
      <c r="H130" s="250"/>
      <c r="I130" s="250"/>
      <c r="J130" s="270">
        <v>5</v>
      </c>
      <c r="K130" s="250"/>
      <c r="L130" s="250"/>
      <c r="M130" s="252"/>
      <c r="N130" s="252"/>
      <c r="O130" s="252"/>
      <c r="P130" s="252"/>
      <c r="Q130" s="1447"/>
    </row>
    <row r="131" spans="1:17" s="3" customFormat="1" ht="25" customHeight="1" x14ac:dyDescent="0.25">
      <c r="A131" s="349" t="s">
        <v>227</v>
      </c>
      <c r="B131" s="358" t="s">
        <v>619</v>
      </c>
      <c r="C131" s="352">
        <v>3</v>
      </c>
      <c r="D131" s="352">
        <v>1</v>
      </c>
      <c r="E131" s="352">
        <v>1</v>
      </c>
      <c r="F131" s="254"/>
      <c r="G131" s="271">
        <v>70</v>
      </c>
      <c r="H131" s="250"/>
      <c r="I131" s="250"/>
      <c r="J131" s="270">
        <v>5</v>
      </c>
      <c r="K131" s="250"/>
      <c r="L131" s="250"/>
      <c r="M131" s="252"/>
      <c r="N131" s="252"/>
      <c r="O131" s="252"/>
      <c r="P131" s="252"/>
      <c r="Q131" s="1447"/>
    </row>
    <row r="132" spans="1:17" s="3" customFormat="1" ht="25" customHeight="1" x14ac:dyDescent="0.25">
      <c r="A132" s="349" t="s">
        <v>228</v>
      </c>
      <c r="B132" s="358" t="s">
        <v>620</v>
      </c>
      <c r="C132" s="352">
        <v>3</v>
      </c>
      <c r="D132" s="352">
        <v>1</v>
      </c>
      <c r="E132" s="352">
        <v>1</v>
      </c>
      <c r="F132" s="254"/>
      <c r="G132" s="271">
        <v>70</v>
      </c>
      <c r="H132" s="250"/>
      <c r="I132" s="250"/>
      <c r="J132" s="270">
        <v>5</v>
      </c>
      <c r="K132" s="250"/>
      <c r="L132" s="250"/>
      <c r="M132" s="252"/>
      <c r="N132" s="252"/>
      <c r="O132" s="252"/>
      <c r="P132" s="252"/>
      <c r="Q132" s="1447"/>
    </row>
    <row r="133" spans="1:17" s="3" customFormat="1" ht="25" customHeight="1" x14ac:dyDescent="0.25">
      <c r="A133" s="349" t="s">
        <v>229</v>
      </c>
      <c r="B133" s="358" t="s">
        <v>621</v>
      </c>
      <c r="C133" s="352">
        <v>3</v>
      </c>
      <c r="D133" s="352">
        <v>1</v>
      </c>
      <c r="E133" s="352">
        <v>1</v>
      </c>
      <c r="F133" s="254"/>
      <c r="G133" s="271">
        <v>70</v>
      </c>
      <c r="H133" s="250"/>
      <c r="I133" s="250"/>
      <c r="J133" s="270">
        <v>5</v>
      </c>
      <c r="K133" s="250"/>
      <c r="L133" s="250"/>
      <c r="M133" s="252"/>
      <c r="N133" s="252"/>
      <c r="O133" s="252"/>
      <c r="P133" s="252"/>
      <c r="Q133" s="1447"/>
    </row>
    <row r="134" spans="1:17" s="3" customFormat="1" ht="25" customHeight="1" x14ac:dyDescent="0.25">
      <c r="A134" s="349" t="s">
        <v>230</v>
      </c>
      <c r="B134" s="349" t="s">
        <v>500</v>
      </c>
      <c r="C134" s="352">
        <v>3</v>
      </c>
      <c r="D134" s="352">
        <v>1</v>
      </c>
      <c r="E134" s="352">
        <v>1</v>
      </c>
      <c r="F134" s="254"/>
      <c r="G134" s="271">
        <v>70</v>
      </c>
      <c r="H134" s="250"/>
      <c r="I134" s="250"/>
      <c r="J134" s="270">
        <v>5</v>
      </c>
      <c r="K134" s="250"/>
      <c r="L134" s="250"/>
      <c r="M134" s="252"/>
      <c r="N134" s="252"/>
      <c r="O134" s="252"/>
      <c r="P134" s="252"/>
      <c r="Q134" s="1447"/>
    </row>
    <row r="135" spans="1:17" s="3" customFormat="1" ht="25" customHeight="1" x14ac:dyDescent="0.25">
      <c r="A135" s="349" t="s">
        <v>231</v>
      </c>
      <c r="B135" s="353" t="s">
        <v>622</v>
      </c>
      <c r="C135" s="352">
        <v>3</v>
      </c>
      <c r="D135" s="352">
        <v>1</v>
      </c>
      <c r="E135" s="352">
        <v>1</v>
      </c>
      <c r="F135" s="259"/>
      <c r="G135" s="259"/>
      <c r="H135" s="259"/>
      <c r="I135" s="246"/>
      <c r="J135" s="246"/>
      <c r="K135" s="246"/>
      <c r="L135" s="252"/>
      <c r="M135" s="252"/>
      <c r="N135" s="252"/>
      <c r="O135" s="252"/>
      <c r="P135" s="252"/>
      <c r="Q135" s="253"/>
    </row>
    <row r="136" spans="1:17" s="3" customFormat="1" ht="25" customHeight="1" x14ac:dyDescent="0.25">
      <c r="A136" s="354" t="s">
        <v>282</v>
      </c>
      <c r="B136" s="353" t="s">
        <v>623</v>
      </c>
      <c r="C136" s="352">
        <v>3</v>
      </c>
      <c r="D136" s="352">
        <v>1</v>
      </c>
      <c r="E136" s="352">
        <v>1</v>
      </c>
      <c r="F136" s="259"/>
      <c r="G136" s="259"/>
      <c r="H136" s="259"/>
      <c r="I136" s="246"/>
      <c r="J136" s="246"/>
      <c r="K136" s="246"/>
      <c r="L136" s="252"/>
      <c r="M136" s="252"/>
      <c r="N136" s="252"/>
      <c r="O136" s="252"/>
      <c r="P136" s="252"/>
      <c r="Q136" s="253"/>
    </row>
    <row r="137" spans="1:17" s="3" customFormat="1" ht="25" customHeight="1" x14ac:dyDescent="0.25">
      <c r="A137" s="354"/>
      <c r="B137" s="353"/>
      <c r="C137" s="352">
        <f>SUM(C130:C136)</f>
        <v>21</v>
      </c>
      <c r="D137" s="352">
        <f>SUM(D130:D136)</f>
        <v>7</v>
      </c>
      <c r="E137" s="352">
        <f>SUM(E130:E136)</f>
        <v>7</v>
      </c>
      <c r="F137" s="254">
        <f t="shared" ref="F137:F145" si="14">I137+J137+K137</f>
        <v>3638.25</v>
      </c>
      <c r="G137" s="271">
        <v>13</v>
      </c>
      <c r="H137" s="249">
        <f>C137*D137*E137*G137</f>
        <v>13377</v>
      </c>
      <c r="I137" s="251">
        <f>IF(G137&lt;70, C137*E137*16.5*1.5, C137*E137*16.5*1.5)</f>
        <v>3638.25</v>
      </c>
      <c r="J137" s="246"/>
      <c r="K137" s="246"/>
      <c r="L137" s="252"/>
      <c r="M137" s="252"/>
      <c r="N137" s="252"/>
      <c r="O137" s="252"/>
      <c r="P137" s="252"/>
      <c r="Q137" s="253"/>
    </row>
    <row r="138" spans="1:17" s="3" customFormat="1" ht="25" customHeight="1" x14ac:dyDescent="0.25">
      <c r="A138" s="359" t="s">
        <v>148</v>
      </c>
      <c r="B138" s="360" t="s">
        <v>470</v>
      </c>
      <c r="C138" s="352"/>
      <c r="D138" s="352"/>
      <c r="E138" s="352"/>
      <c r="F138" s="254">
        <f t="shared" si="14"/>
        <v>0</v>
      </c>
      <c r="G138" s="271">
        <v>13</v>
      </c>
      <c r="H138" s="249">
        <f t="shared" ref="H138:H143" si="15">C138*D138*E138*G138</f>
        <v>0</v>
      </c>
      <c r="I138" s="251">
        <f t="shared" ref="I138:I143" si="16">IF(G138&lt;70, C138*E138*16.5*1.5, C138*E138*16.5*1.5)</f>
        <v>0</v>
      </c>
      <c r="J138" s="246"/>
      <c r="K138" s="246"/>
      <c r="L138" s="252"/>
      <c r="M138" s="252"/>
      <c r="N138" s="252"/>
      <c r="O138" s="252"/>
      <c r="P138" s="252"/>
      <c r="Q138" s="253"/>
    </row>
    <row r="139" spans="1:17" s="3" customFormat="1" ht="25" customHeight="1" x14ac:dyDescent="0.25">
      <c r="A139" s="359"/>
      <c r="B139" s="349" t="s">
        <v>624</v>
      </c>
      <c r="C139" s="352">
        <v>15</v>
      </c>
      <c r="D139" s="352">
        <v>1</v>
      </c>
      <c r="E139" s="352">
        <v>1</v>
      </c>
      <c r="F139" s="254">
        <f t="shared" si="14"/>
        <v>371.25</v>
      </c>
      <c r="G139" s="271">
        <v>13</v>
      </c>
      <c r="H139" s="249">
        <f t="shared" si="15"/>
        <v>195</v>
      </c>
      <c r="I139" s="251">
        <f t="shared" si="16"/>
        <v>371.25</v>
      </c>
      <c r="J139" s="246"/>
      <c r="K139" s="246"/>
      <c r="L139" s="252"/>
      <c r="M139" s="252"/>
      <c r="N139" s="252"/>
      <c r="O139" s="252"/>
      <c r="P139" s="252"/>
      <c r="Q139" s="253"/>
    </row>
    <row r="140" spans="1:17" s="3" customFormat="1" ht="25" customHeight="1" x14ac:dyDescent="0.25">
      <c r="A140" s="354"/>
      <c r="B140" s="361" t="s">
        <v>380</v>
      </c>
      <c r="C140" s="352">
        <f>SUM(C130:C139)</f>
        <v>57</v>
      </c>
      <c r="D140" s="352">
        <f>SUM(D130:D139)</f>
        <v>15</v>
      </c>
      <c r="E140" s="352">
        <f>SUM(E130:E139)</f>
        <v>15</v>
      </c>
      <c r="F140" s="254">
        <f t="shared" si="14"/>
        <v>21161.25</v>
      </c>
      <c r="G140" s="271">
        <v>13</v>
      </c>
      <c r="H140" s="249">
        <f t="shared" si="15"/>
        <v>166725</v>
      </c>
      <c r="I140" s="251">
        <f t="shared" si="16"/>
        <v>21161.25</v>
      </c>
      <c r="J140" s="246"/>
      <c r="K140" s="246"/>
      <c r="L140" s="252"/>
      <c r="M140" s="252"/>
      <c r="N140" s="252"/>
      <c r="O140" s="252"/>
      <c r="P140" s="252"/>
      <c r="Q140" s="253"/>
    </row>
    <row r="141" spans="1:17" s="3" customFormat="1" ht="25" customHeight="1" x14ac:dyDescent="0.25">
      <c r="A141" s="355">
        <v>1</v>
      </c>
      <c r="B141" s="357" t="s">
        <v>225</v>
      </c>
      <c r="C141" s="352"/>
      <c r="D141" s="352"/>
      <c r="E141" s="352"/>
      <c r="F141" s="254">
        <f t="shared" si="14"/>
        <v>0</v>
      </c>
      <c r="G141" s="271">
        <v>13</v>
      </c>
      <c r="H141" s="249">
        <f>C141*D141*E141*G141</f>
        <v>0</v>
      </c>
      <c r="I141" s="251">
        <f t="shared" si="16"/>
        <v>0</v>
      </c>
      <c r="J141" s="246"/>
      <c r="K141" s="246"/>
      <c r="L141" s="252"/>
      <c r="M141" s="252"/>
      <c r="N141" s="252"/>
      <c r="O141" s="252"/>
      <c r="P141" s="252"/>
      <c r="Q141" s="253"/>
    </row>
    <row r="142" spans="1:17" s="3" customFormat="1" ht="25" customHeight="1" x14ac:dyDescent="0.25">
      <c r="A142" s="355" t="s">
        <v>381</v>
      </c>
      <c r="B142" s="357" t="s">
        <v>163</v>
      </c>
      <c r="C142" s="352"/>
      <c r="D142" s="352"/>
      <c r="E142" s="352"/>
      <c r="F142" s="254">
        <f t="shared" si="14"/>
        <v>0</v>
      </c>
      <c r="G142" s="271">
        <v>13</v>
      </c>
      <c r="H142" s="249">
        <f t="shared" si="15"/>
        <v>0</v>
      </c>
      <c r="I142" s="251">
        <f t="shared" si="16"/>
        <v>0</v>
      </c>
      <c r="J142" s="246"/>
      <c r="K142" s="246"/>
      <c r="L142" s="252"/>
      <c r="M142" s="252"/>
      <c r="N142" s="252"/>
      <c r="O142" s="252"/>
      <c r="P142" s="252"/>
      <c r="Q142" s="253"/>
    </row>
    <row r="143" spans="1:17" s="3" customFormat="1" ht="25" customHeight="1" x14ac:dyDescent="0.25">
      <c r="A143" s="354" t="s">
        <v>228</v>
      </c>
      <c r="B143" s="350" t="s">
        <v>625</v>
      </c>
      <c r="C143" s="352">
        <v>3</v>
      </c>
      <c r="D143" s="352">
        <v>1</v>
      </c>
      <c r="E143" s="352">
        <v>7</v>
      </c>
      <c r="F143" s="254">
        <f t="shared" si="14"/>
        <v>519.75</v>
      </c>
      <c r="G143" s="271">
        <v>13</v>
      </c>
      <c r="H143" s="249">
        <f t="shared" si="15"/>
        <v>273</v>
      </c>
      <c r="I143" s="251">
        <f t="shared" si="16"/>
        <v>519.75</v>
      </c>
      <c r="J143" s="246"/>
      <c r="K143" s="246"/>
      <c r="L143" s="252"/>
      <c r="M143" s="252"/>
      <c r="N143" s="252"/>
      <c r="O143" s="252"/>
      <c r="P143" s="252"/>
      <c r="Q143" s="253"/>
    </row>
    <row r="144" spans="1:17" s="3" customFormat="1" ht="25" customHeight="1" x14ac:dyDescent="0.25">
      <c r="A144" s="354" t="s">
        <v>229</v>
      </c>
      <c r="B144" s="350" t="s">
        <v>626</v>
      </c>
      <c r="C144" s="352">
        <v>3</v>
      </c>
      <c r="D144" s="352">
        <v>1</v>
      </c>
      <c r="E144" s="352">
        <v>7</v>
      </c>
      <c r="F144" s="259"/>
      <c r="G144" s="259"/>
      <c r="H144" s="259"/>
      <c r="I144" s="275"/>
      <c r="J144" s="275"/>
      <c r="K144" s="246"/>
      <c r="L144" s="252"/>
      <c r="M144" s="252"/>
      <c r="N144" s="252"/>
      <c r="O144" s="252"/>
      <c r="P144" s="252"/>
      <c r="Q144" s="253"/>
    </row>
    <row r="145" spans="1:17" s="3" customFormat="1" ht="25" customHeight="1" x14ac:dyDescent="0.25">
      <c r="A145" s="354" t="s">
        <v>230</v>
      </c>
      <c r="B145" s="350" t="s">
        <v>627</v>
      </c>
      <c r="C145" s="352">
        <v>2</v>
      </c>
      <c r="D145" s="352">
        <v>1</v>
      </c>
      <c r="E145" s="352">
        <v>10</v>
      </c>
      <c r="F145" s="254">
        <f t="shared" si="14"/>
        <v>14700</v>
      </c>
      <c r="G145" s="259">
        <v>42</v>
      </c>
      <c r="H145" s="249">
        <f>C145*D145*E145*G145</f>
        <v>840</v>
      </c>
      <c r="I145" s="251">
        <f>E145*G145*35</f>
        <v>14700</v>
      </c>
      <c r="J145" s="275"/>
      <c r="K145" s="246"/>
      <c r="L145" s="252"/>
      <c r="M145" s="252"/>
      <c r="N145" s="252"/>
      <c r="O145" s="252"/>
      <c r="P145" s="252"/>
      <c r="Q145" s="253"/>
    </row>
    <row r="146" spans="1:17" s="3" customFormat="1" ht="25" customHeight="1" x14ac:dyDescent="0.25">
      <c r="A146" s="354" t="s">
        <v>231</v>
      </c>
      <c r="B146" s="350" t="s">
        <v>628</v>
      </c>
      <c r="C146" s="352">
        <v>3</v>
      </c>
      <c r="D146" s="352">
        <v>1</v>
      </c>
      <c r="E146" s="352">
        <v>16</v>
      </c>
      <c r="F146" s="259">
        <f>SUM(F137:F145)</f>
        <v>40390.5</v>
      </c>
      <c r="G146" s="276">
        <f>SUM(G137:G145)</f>
        <v>133</v>
      </c>
      <c r="H146" s="276">
        <f>SUM(H137:H145)</f>
        <v>181410</v>
      </c>
      <c r="I146" s="276">
        <f>SUM(I137:I145)</f>
        <v>40390.5</v>
      </c>
      <c r="J146" s="246">
        <v>0</v>
      </c>
      <c r="K146" s="246">
        <v>0</v>
      </c>
      <c r="L146" s="252"/>
      <c r="M146" s="252"/>
      <c r="N146" s="252"/>
      <c r="O146" s="252"/>
      <c r="P146" s="252"/>
      <c r="Q146" s="253"/>
    </row>
    <row r="147" spans="1:17" s="3" customFormat="1" ht="25" customHeight="1" x14ac:dyDescent="0.25">
      <c r="A147" s="354" t="s">
        <v>282</v>
      </c>
      <c r="B147" s="350" t="s">
        <v>629</v>
      </c>
      <c r="C147" s="352">
        <v>2</v>
      </c>
      <c r="D147" s="352">
        <v>1</v>
      </c>
      <c r="E147" s="352">
        <v>10</v>
      </c>
      <c r="F147" s="259"/>
      <c r="G147" s="259"/>
      <c r="H147" s="259"/>
      <c r="I147" s="275"/>
      <c r="J147" s="252"/>
      <c r="K147" s="252"/>
      <c r="L147" s="252"/>
      <c r="M147" s="252"/>
      <c r="N147" s="252"/>
      <c r="O147" s="252"/>
      <c r="P147" s="252"/>
      <c r="Q147" s="253"/>
    </row>
    <row r="148" spans="1:17" s="3" customFormat="1" ht="25" customHeight="1" x14ac:dyDescent="0.25">
      <c r="A148" s="354" t="s">
        <v>284</v>
      </c>
      <c r="B148" s="353" t="s">
        <v>630</v>
      </c>
      <c r="C148" s="352">
        <v>3</v>
      </c>
      <c r="D148" s="352">
        <v>1</v>
      </c>
      <c r="E148" s="352">
        <v>10</v>
      </c>
      <c r="F148" s="259"/>
      <c r="G148" s="259"/>
      <c r="H148" s="259"/>
      <c r="I148" s="275"/>
      <c r="J148" s="252"/>
      <c r="K148" s="252"/>
      <c r="L148" s="252"/>
      <c r="M148" s="252"/>
      <c r="N148" s="252"/>
      <c r="O148" s="252"/>
      <c r="P148" s="252"/>
      <c r="Q148" s="253"/>
    </row>
    <row r="149" spans="1:17" s="3" customFormat="1" ht="25" customHeight="1" x14ac:dyDescent="0.25">
      <c r="A149" s="354" t="s">
        <v>286</v>
      </c>
      <c r="B149" s="349" t="s">
        <v>631</v>
      </c>
      <c r="C149" s="352">
        <v>3</v>
      </c>
      <c r="D149" s="352">
        <v>1</v>
      </c>
      <c r="E149" s="352">
        <v>10</v>
      </c>
      <c r="F149" s="254">
        <f t="shared" ref="F149:F163" si="17">I149+J149+K149</f>
        <v>643.5</v>
      </c>
      <c r="G149" s="271">
        <v>70</v>
      </c>
      <c r="H149" s="249">
        <f t="shared" ref="H149:H163" si="18">C149*D149*E149*G149</f>
        <v>2100</v>
      </c>
      <c r="I149" s="251">
        <f>IF(G149&lt;70, C149*E149*16.5*1, C149*E149*16.5*1.3)</f>
        <v>643.5</v>
      </c>
      <c r="J149" s="252"/>
      <c r="K149" s="252"/>
      <c r="L149" s="252"/>
      <c r="M149" s="252"/>
      <c r="N149" s="252"/>
      <c r="O149" s="252"/>
      <c r="P149" s="252"/>
      <c r="Q149" s="253"/>
    </row>
    <row r="150" spans="1:17" s="3" customFormat="1" ht="25" customHeight="1" x14ac:dyDescent="0.25">
      <c r="A150" s="354" t="s">
        <v>289</v>
      </c>
      <c r="B150" s="349" t="s">
        <v>388</v>
      </c>
      <c r="C150" s="352">
        <v>3</v>
      </c>
      <c r="D150" s="352">
        <v>1</v>
      </c>
      <c r="E150" s="352">
        <v>16</v>
      </c>
      <c r="F150" s="254">
        <f t="shared" si="17"/>
        <v>1029.6000000000001</v>
      </c>
      <c r="G150" s="271">
        <v>70</v>
      </c>
      <c r="H150" s="249">
        <f t="shared" si="18"/>
        <v>3360</v>
      </c>
      <c r="I150" s="251">
        <f t="shared" ref="I150:I163" si="19">IF(G150&lt;70, C150*E150*16.5*1, C150*E150*16.5*1.3)</f>
        <v>1029.6000000000001</v>
      </c>
      <c r="J150" s="252"/>
      <c r="K150" s="252"/>
      <c r="L150" s="252"/>
      <c r="M150" s="252"/>
      <c r="N150" s="252"/>
      <c r="O150" s="252"/>
      <c r="P150" s="252"/>
      <c r="Q150" s="253"/>
    </row>
    <row r="151" spans="1:17" s="3" customFormat="1" ht="25" customHeight="1" x14ac:dyDescent="0.25">
      <c r="A151" s="354" t="s">
        <v>290</v>
      </c>
      <c r="B151" s="349" t="s">
        <v>632</v>
      </c>
      <c r="C151" s="352">
        <v>4</v>
      </c>
      <c r="D151" s="352">
        <v>1</v>
      </c>
      <c r="E151" s="352">
        <v>10</v>
      </c>
      <c r="F151" s="254">
        <f t="shared" si="17"/>
        <v>858</v>
      </c>
      <c r="G151" s="271">
        <v>70</v>
      </c>
      <c r="H151" s="249">
        <f t="shared" si="18"/>
        <v>2800</v>
      </c>
      <c r="I151" s="251">
        <f t="shared" si="19"/>
        <v>858</v>
      </c>
      <c r="J151" s="252"/>
      <c r="K151" s="252"/>
      <c r="L151" s="252"/>
      <c r="M151" s="252"/>
      <c r="N151" s="252"/>
      <c r="O151" s="252"/>
      <c r="P151" s="252"/>
      <c r="Q151" s="253"/>
    </row>
    <row r="152" spans="1:17" s="3" customFormat="1" ht="25" customHeight="1" x14ac:dyDescent="0.25">
      <c r="A152" s="354" t="s">
        <v>291</v>
      </c>
      <c r="B152" s="349" t="s">
        <v>633</v>
      </c>
      <c r="C152" s="352">
        <v>4</v>
      </c>
      <c r="D152" s="352">
        <v>1</v>
      </c>
      <c r="E152" s="352">
        <v>8</v>
      </c>
      <c r="F152" s="254">
        <f t="shared" si="17"/>
        <v>686.4</v>
      </c>
      <c r="G152" s="271">
        <v>70</v>
      </c>
      <c r="H152" s="249">
        <f t="shared" si="18"/>
        <v>2240</v>
      </c>
      <c r="I152" s="251">
        <f t="shared" si="19"/>
        <v>686.4</v>
      </c>
      <c r="J152" s="252"/>
      <c r="K152" s="252"/>
      <c r="L152" s="252"/>
      <c r="M152" s="252"/>
      <c r="N152" s="252"/>
      <c r="O152" s="252"/>
      <c r="P152" s="252"/>
      <c r="Q152" s="253"/>
    </row>
    <row r="153" spans="1:17" s="3" customFormat="1" ht="25" customHeight="1" x14ac:dyDescent="0.25">
      <c r="A153" s="354" t="s">
        <v>292</v>
      </c>
      <c r="B153" s="349" t="s">
        <v>634</v>
      </c>
      <c r="C153" s="352">
        <v>4</v>
      </c>
      <c r="D153" s="352">
        <v>1</v>
      </c>
      <c r="E153" s="352">
        <v>8</v>
      </c>
      <c r="F153" s="254">
        <f t="shared" si="17"/>
        <v>686.4</v>
      </c>
      <c r="G153" s="271">
        <v>70</v>
      </c>
      <c r="H153" s="249">
        <f t="shared" si="18"/>
        <v>2240</v>
      </c>
      <c r="I153" s="251">
        <f t="shared" si="19"/>
        <v>686.4</v>
      </c>
      <c r="J153" s="270"/>
      <c r="K153" s="270"/>
      <c r="L153" s="270"/>
      <c r="M153" s="270"/>
      <c r="N153" s="270"/>
      <c r="O153" s="270"/>
      <c r="P153" s="270"/>
      <c r="Q153" s="254"/>
    </row>
    <row r="154" spans="1:17" s="3" customFormat="1" ht="25" customHeight="1" x14ac:dyDescent="0.25">
      <c r="A154" s="274" t="s">
        <v>231</v>
      </c>
      <c r="B154" s="277" t="s">
        <v>382</v>
      </c>
      <c r="C154" s="271">
        <v>4</v>
      </c>
      <c r="D154" s="271">
        <v>1</v>
      </c>
      <c r="E154" s="271">
        <v>16</v>
      </c>
      <c r="F154" s="254">
        <f t="shared" si="17"/>
        <v>1372.8</v>
      </c>
      <c r="G154" s="271">
        <v>70</v>
      </c>
      <c r="H154" s="249">
        <f t="shared" si="18"/>
        <v>4480</v>
      </c>
      <c r="I154" s="251">
        <f t="shared" si="19"/>
        <v>1372.8</v>
      </c>
      <c r="J154" s="270"/>
      <c r="K154" s="270"/>
      <c r="L154" s="270"/>
      <c r="M154" s="270"/>
      <c r="N154" s="270"/>
      <c r="O154" s="270"/>
      <c r="P154" s="270"/>
      <c r="Q154" s="254"/>
    </row>
    <row r="155" spans="1:17" s="3" customFormat="1" ht="25" customHeight="1" x14ac:dyDescent="0.25">
      <c r="A155" s="274" t="s">
        <v>282</v>
      </c>
      <c r="B155" s="277" t="s">
        <v>383</v>
      </c>
      <c r="C155" s="271">
        <v>2</v>
      </c>
      <c r="D155" s="271">
        <v>1</v>
      </c>
      <c r="E155" s="271">
        <v>16</v>
      </c>
      <c r="F155" s="254">
        <f t="shared" si="17"/>
        <v>686.4</v>
      </c>
      <c r="G155" s="271">
        <v>80</v>
      </c>
      <c r="H155" s="249">
        <f t="shared" si="18"/>
        <v>2560</v>
      </c>
      <c r="I155" s="251">
        <f t="shared" si="19"/>
        <v>686.4</v>
      </c>
      <c r="J155" s="270"/>
      <c r="K155" s="270"/>
      <c r="L155" s="270"/>
      <c r="M155" s="270"/>
      <c r="N155" s="270"/>
      <c r="O155" s="270"/>
      <c r="P155" s="270"/>
      <c r="Q155" s="254"/>
    </row>
    <row r="156" spans="1:17" s="3" customFormat="1" ht="25" customHeight="1" x14ac:dyDescent="0.25">
      <c r="A156" s="274" t="s">
        <v>283</v>
      </c>
      <c r="B156" s="277" t="s">
        <v>384</v>
      </c>
      <c r="C156" s="271">
        <v>4</v>
      </c>
      <c r="D156" s="271">
        <v>1</v>
      </c>
      <c r="E156" s="271">
        <v>16</v>
      </c>
      <c r="F156" s="254">
        <f t="shared" si="17"/>
        <v>1372.8</v>
      </c>
      <c r="G156" s="271">
        <v>70</v>
      </c>
      <c r="H156" s="249">
        <f t="shared" si="18"/>
        <v>4480</v>
      </c>
      <c r="I156" s="251">
        <f t="shared" si="19"/>
        <v>1372.8</v>
      </c>
      <c r="J156" s="270"/>
      <c r="K156" s="270"/>
      <c r="L156" s="270"/>
      <c r="M156" s="270"/>
      <c r="N156" s="270"/>
      <c r="O156" s="270"/>
      <c r="P156" s="270"/>
      <c r="Q156" s="254"/>
    </row>
    <row r="157" spans="1:17" s="3" customFormat="1" ht="25" customHeight="1" x14ac:dyDescent="0.25">
      <c r="A157" s="274" t="s">
        <v>284</v>
      </c>
      <c r="B157" s="273" t="s">
        <v>385</v>
      </c>
      <c r="C157" s="271">
        <v>3</v>
      </c>
      <c r="D157" s="271">
        <v>1</v>
      </c>
      <c r="E157" s="271">
        <v>16</v>
      </c>
      <c r="F157" s="254">
        <f t="shared" si="17"/>
        <v>1029.6000000000001</v>
      </c>
      <c r="G157" s="271">
        <v>70</v>
      </c>
      <c r="H157" s="249">
        <f t="shared" si="18"/>
        <v>3360</v>
      </c>
      <c r="I157" s="251">
        <f t="shared" si="19"/>
        <v>1029.6000000000001</v>
      </c>
      <c r="J157" s="270"/>
      <c r="K157" s="270"/>
      <c r="L157" s="270"/>
      <c r="M157" s="270"/>
      <c r="N157" s="270"/>
      <c r="O157" s="270"/>
      <c r="P157" s="270"/>
      <c r="Q157" s="254"/>
    </row>
    <row r="158" spans="1:17" s="3" customFormat="1" ht="25" customHeight="1" x14ac:dyDescent="0.25">
      <c r="A158" s="274" t="s">
        <v>285</v>
      </c>
      <c r="B158" s="273" t="s">
        <v>386</v>
      </c>
      <c r="C158" s="271">
        <v>3</v>
      </c>
      <c r="D158" s="271">
        <v>1</v>
      </c>
      <c r="E158" s="271">
        <v>16</v>
      </c>
      <c r="F158" s="254">
        <f t="shared" si="17"/>
        <v>1029.6000000000001</v>
      </c>
      <c r="G158" s="271">
        <v>70</v>
      </c>
      <c r="H158" s="249">
        <f t="shared" si="18"/>
        <v>3360</v>
      </c>
      <c r="I158" s="251">
        <f t="shared" si="19"/>
        <v>1029.6000000000001</v>
      </c>
      <c r="J158" s="270"/>
      <c r="K158" s="270"/>
      <c r="L158" s="270"/>
      <c r="M158" s="270"/>
      <c r="N158" s="270"/>
      <c r="O158" s="270"/>
      <c r="P158" s="270"/>
      <c r="Q158" s="254"/>
    </row>
    <row r="159" spans="1:17" s="3" customFormat="1" ht="25" customHeight="1" x14ac:dyDescent="0.25">
      <c r="A159" s="274" t="s">
        <v>286</v>
      </c>
      <c r="B159" s="272" t="s">
        <v>387</v>
      </c>
      <c r="C159" s="271">
        <v>3</v>
      </c>
      <c r="D159" s="271">
        <v>1</v>
      </c>
      <c r="E159" s="271">
        <v>16</v>
      </c>
      <c r="F159" s="254">
        <f t="shared" si="17"/>
        <v>1029.6000000000001</v>
      </c>
      <c r="G159" s="271">
        <v>70</v>
      </c>
      <c r="H159" s="249">
        <f t="shared" si="18"/>
        <v>3360</v>
      </c>
      <c r="I159" s="251">
        <f t="shared" si="19"/>
        <v>1029.6000000000001</v>
      </c>
      <c r="J159" s="270"/>
      <c r="K159" s="270"/>
      <c r="L159" s="270"/>
      <c r="M159" s="270"/>
      <c r="N159" s="270"/>
      <c r="O159" s="270"/>
      <c r="P159" s="270"/>
      <c r="Q159" s="254"/>
    </row>
    <row r="160" spans="1:17" s="3" customFormat="1" ht="25" customHeight="1" x14ac:dyDescent="0.25">
      <c r="A160" s="274" t="s">
        <v>289</v>
      </c>
      <c r="B160" s="272" t="s">
        <v>388</v>
      </c>
      <c r="C160" s="271">
        <v>3</v>
      </c>
      <c r="D160" s="271">
        <v>1</v>
      </c>
      <c r="E160" s="271">
        <v>16</v>
      </c>
      <c r="F160" s="254">
        <f t="shared" si="17"/>
        <v>1029.6000000000001</v>
      </c>
      <c r="G160" s="271">
        <v>70</v>
      </c>
      <c r="H160" s="249">
        <f t="shared" si="18"/>
        <v>3360</v>
      </c>
      <c r="I160" s="251">
        <f t="shared" si="19"/>
        <v>1029.6000000000001</v>
      </c>
      <c r="J160" s="270"/>
      <c r="K160" s="270"/>
      <c r="L160" s="270"/>
      <c r="M160" s="270"/>
      <c r="N160" s="270"/>
      <c r="O160" s="270"/>
      <c r="P160" s="270"/>
      <c r="Q160" s="254"/>
    </row>
    <row r="161" spans="1:17" s="3" customFormat="1" ht="25" customHeight="1" x14ac:dyDescent="0.25">
      <c r="A161" s="274" t="s">
        <v>290</v>
      </c>
      <c r="B161" s="272" t="s">
        <v>389</v>
      </c>
      <c r="C161" s="271">
        <v>4</v>
      </c>
      <c r="D161" s="271">
        <v>1</v>
      </c>
      <c r="E161" s="271">
        <v>10</v>
      </c>
      <c r="F161" s="254">
        <f t="shared" si="17"/>
        <v>858</v>
      </c>
      <c r="G161" s="271">
        <v>70</v>
      </c>
      <c r="H161" s="249">
        <f t="shared" si="18"/>
        <v>2800</v>
      </c>
      <c r="I161" s="251">
        <f t="shared" si="19"/>
        <v>858</v>
      </c>
      <c r="J161" s="270"/>
      <c r="K161" s="270"/>
      <c r="L161" s="270"/>
      <c r="M161" s="270"/>
      <c r="N161" s="270"/>
      <c r="O161" s="270"/>
      <c r="P161" s="270"/>
      <c r="Q161" s="254"/>
    </row>
    <row r="162" spans="1:17" s="3" customFormat="1" ht="25" customHeight="1" x14ac:dyDescent="0.25">
      <c r="A162" s="274" t="s">
        <v>291</v>
      </c>
      <c r="B162" s="272" t="s">
        <v>390</v>
      </c>
      <c r="C162" s="271">
        <v>4</v>
      </c>
      <c r="D162" s="271">
        <v>1</v>
      </c>
      <c r="E162" s="271">
        <v>13</v>
      </c>
      <c r="F162" s="254">
        <f t="shared" si="17"/>
        <v>1115.4000000000001</v>
      </c>
      <c r="G162" s="271">
        <v>70</v>
      </c>
      <c r="H162" s="249">
        <f t="shared" si="18"/>
        <v>3640</v>
      </c>
      <c r="I162" s="251">
        <f t="shared" si="19"/>
        <v>1115.4000000000001</v>
      </c>
      <c r="J162" s="270"/>
      <c r="K162" s="270"/>
      <c r="L162" s="270"/>
      <c r="M162" s="270"/>
      <c r="N162" s="270"/>
      <c r="O162" s="270"/>
      <c r="P162" s="270"/>
      <c r="Q162" s="254"/>
    </row>
    <row r="163" spans="1:17" s="3" customFormat="1" ht="25" customHeight="1" x14ac:dyDescent="0.25">
      <c r="A163" s="274" t="s">
        <v>292</v>
      </c>
      <c r="B163" s="272" t="s">
        <v>391</v>
      </c>
      <c r="C163" s="271">
        <v>4</v>
      </c>
      <c r="D163" s="271">
        <v>1</v>
      </c>
      <c r="E163" s="271">
        <v>16</v>
      </c>
      <c r="F163" s="254">
        <f t="shared" si="17"/>
        <v>1372.8</v>
      </c>
      <c r="G163" s="271">
        <v>70</v>
      </c>
      <c r="H163" s="249">
        <f t="shared" si="18"/>
        <v>4480</v>
      </c>
      <c r="I163" s="251">
        <f t="shared" si="19"/>
        <v>1372.8</v>
      </c>
      <c r="J163" s="270"/>
      <c r="K163" s="270"/>
      <c r="L163" s="270"/>
      <c r="M163" s="270"/>
      <c r="N163" s="270"/>
      <c r="O163" s="270"/>
      <c r="P163" s="270"/>
      <c r="Q163" s="254"/>
    </row>
    <row r="164" spans="1:17" s="3" customFormat="1" ht="25" customHeight="1" x14ac:dyDescent="0.25">
      <c r="A164" s="274"/>
      <c r="B164" s="278" t="s">
        <v>392</v>
      </c>
      <c r="C164" s="279">
        <f>SUM(C149:C163)</f>
        <v>52</v>
      </c>
      <c r="D164" s="279">
        <f t="shared" ref="D164:I164" si="20">SUM(D149:D163)</f>
        <v>15</v>
      </c>
      <c r="E164" s="279">
        <f t="shared" si="20"/>
        <v>203</v>
      </c>
      <c r="F164" s="271">
        <f t="shared" si="20"/>
        <v>14800.5</v>
      </c>
      <c r="G164" s="279">
        <f t="shared" si="20"/>
        <v>1060</v>
      </c>
      <c r="H164" s="279">
        <f t="shared" si="20"/>
        <v>48620</v>
      </c>
      <c r="I164" s="279">
        <f t="shared" si="20"/>
        <v>14800.5</v>
      </c>
      <c r="J164" s="279">
        <f>SUM(J149:J163)</f>
        <v>0</v>
      </c>
      <c r="K164" s="279">
        <f>SUM(K149:K163)</f>
        <v>0</v>
      </c>
      <c r="L164" s="270"/>
      <c r="M164" s="270"/>
      <c r="N164" s="270"/>
      <c r="O164" s="270"/>
      <c r="P164" s="270"/>
      <c r="Q164" s="254"/>
    </row>
    <row r="165" spans="1:17" s="3" customFormat="1" ht="25" customHeight="1" x14ac:dyDescent="0.25">
      <c r="A165" s="280"/>
      <c r="B165" s="281" t="s">
        <v>393</v>
      </c>
      <c r="C165" s="282">
        <f t="shared" ref="C165:K165" si="21">C126+C164+C146</f>
        <v>55</v>
      </c>
      <c r="D165" s="282">
        <f t="shared" si="21"/>
        <v>16</v>
      </c>
      <c r="E165" s="282">
        <f t="shared" si="21"/>
        <v>219</v>
      </c>
      <c r="F165" s="317">
        <f t="shared" si="21"/>
        <v>59096.850000000006</v>
      </c>
      <c r="G165" s="282">
        <f t="shared" si="21"/>
        <v>2512</v>
      </c>
      <c r="H165" s="282">
        <f t="shared" si="21"/>
        <v>242109.56</v>
      </c>
      <c r="I165" s="282">
        <f t="shared" si="21"/>
        <v>58898.850000000006</v>
      </c>
      <c r="J165" s="282">
        <f t="shared" si="21"/>
        <v>198</v>
      </c>
      <c r="K165" s="282">
        <f t="shared" si="21"/>
        <v>0</v>
      </c>
      <c r="L165" s="264">
        <f>'Bieu3 GDMN'!F25</f>
        <v>2700</v>
      </c>
      <c r="M165" s="264">
        <f>'Bieu3 GDMN'!N25</f>
        <v>2376</v>
      </c>
      <c r="N165" s="263">
        <f>I165-M165</f>
        <v>56522.850000000006</v>
      </c>
      <c r="O165" s="264">
        <f>'Bieu3 GDMN'!O25</f>
        <v>1709.75</v>
      </c>
      <c r="P165" s="264">
        <f>'Bieu3 GDMN'!P25</f>
        <v>960</v>
      </c>
      <c r="Q165" s="265"/>
    </row>
    <row r="166" spans="1:17" s="3" customFormat="1" ht="25" customHeight="1" x14ac:dyDescent="0.25">
      <c r="A166" s="283"/>
      <c r="B166" s="284"/>
      <c r="C166" s="257"/>
      <c r="D166" s="257"/>
      <c r="E166" s="257"/>
      <c r="F166" s="257"/>
      <c r="G166" s="257"/>
      <c r="H166" s="257"/>
      <c r="I166" s="285"/>
      <c r="J166" s="252"/>
      <c r="K166" s="252"/>
      <c r="L166" s="252"/>
      <c r="M166" s="252"/>
      <c r="N166" s="252"/>
      <c r="O166" s="252"/>
      <c r="P166" s="252"/>
      <c r="Q166" s="253"/>
    </row>
    <row r="167" spans="1:17" s="3" customFormat="1" ht="25" customHeight="1" x14ac:dyDescent="0.25">
      <c r="A167" s="286" t="s">
        <v>422</v>
      </c>
      <c r="B167" s="286" t="s">
        <v>423</v>
      </c>
      <c r="C167" s="287"/>
      <c r="D167" s="287"/>
      <c r="E167" s="287"/>
      <c r="F167" s="318"/>
      <c r="G167" s="287"/>
      <c r="H167" s="257"/>
      <c r="I167" s="285"/>
      <c r="J167" s="252"/>
      <c r="K167" s="252"/>
      <c r="L167" s="252"/>
      <c r="M167" s="252"/>
      <c r="N167" s="252"/>
      <c r="O167" s="252"/>
      <c r="P167" s="252"/>
      <c r="Q167" s="253"/>
    </row>
    <row r="168" spans="1:17" s="3" customFormat="1" ht="25" customHeight="1" x14ac:dyDescent="0.25">
      <c r="A168" s="288" t="s">
        <v>7</v>
      </c>
      <c r="B168" s="288" t="s">
        <v>223</v>
      </c>
      <c r="C168" s="287"/>
      <c r="D168" s="287"/>
      <c r="E168" s="287"/>
      <c r="F168" s="318"/>
      <c r="G168" s="287"/>
      <c r="H168" s="257"/>
      <c r="I168" s="285"/>
      <c r="J168" s="252"/>
      <c r="K168" s="252"/>
      <c r="L168" s="252"/>
      <c r="M168" s="252"/>
      <c r="N168" s="252"/>
      <c r="O168" s="252"/>
      <c r="P168" s="252"/>
      <c r="Q168" s="253"/>
    </row>
    <row r="169" spans="1:17" s="3" customFormat="1" ht="25" customHeight="1" x14ac:dyDescent="0.25">
      <c r="A169" s="288">
        <v>1</v>
      </c>
      <c r="B169" s="288" t="s">
        <v>4</v>
      </c>
      <c r="C169" s="287"/>
      <c r="D169" s="287"/>
      <c r="E169" s="287"/>
      <c r="F169" s="318"/>
      <c r="G169" s="287"/>
      <c r="H169" s="257"/>
      <c r="I169" s="285"/>
      <c r="J169" s="252"/>
      <c r="K169" s="252"/>
      <c r="L169" s="252"/>
      <c r="M169" s="252"/>
      <c r="N169" s="252"/>
      <c r="O169" s="252"/>
      <c r="P169" s="252"/>
      <c r="Q169" s="253"/>
    </row>
    <row r="170" spans="1:17" s="3" customFormat="1" ht="25" customHeight="1" x14ac:dyDescent="0.25">
      <c r="A170" s="289" t="s">
        <v>147</v>
      </c>
      <c r="B170" s="290" t="s">
        <v>161</v>
      </c>
      <c r="C170" s="291"/>
      <c r="D170" s="291"/>
      <c r="E170" s="291"/>
      <c r="F170" s="295"/>
      <c r="G170" s="291"/>
      <c r="H170" s="257"/>
      <c r="I170" s="285"/>
      <c r="J170" s="252"/>
      <c r="K170" s="252"/>
      <c r="L170" s="252"/>
      <c r="M170" s="252"/>
      <c r="N170" s="252"/>
      <c r="O170" s="252"/>
      <c r="P170" s="252"/>
      <c r="Q170" s="253"/>
    </row>
    <row r="171" spans="1:17" s="3" customFormat="1" ht="25" customHeight="1" x14ac:dyDescent="0.25">
      <c r="A171" s="349" t="s">
        <v>226</v>
      </c>
      <c r="B171" s="350" t="s">
        <v>680</v>
      </c>
      <c r="C171" s="421">
        <v>4</v>
      </c>
      <c r="D171" s="351">
        <v>1</v>
      </c>
      <c r="E171" s="421">
        <v>13</v>
      </c>
      <c r="F171" s="254">
        <f t="shared" ref="F171:F184" si="22">I171+J171+K171</f>
        <v>858</v>
      </c>
      <c r="G171" s="292">
        <v>50</v>
      </c>
      <c r="H171" s="249">
        <f>C171*D171*E171*G171</f>
        <v>2600</v>
      </c>
      <c r="I171" s="251">
        <f>IF(G171&lt;70, C171*E171*16.5*1, C171*E171*16.5*1.3)</f>
        <v>858</v>
      </c>
      <c r="J171" s="252"/>
      <c r="K171" s="252"/>
      <c r="L171" s="252"/>
      <c r="M171" s="252"/>
      <c r="N171" s="252"/>
      <c r="O171" s="252"/>
      <c r="P171" s="252"/>
      <c r="Q171" s="253"/>
    </row>
    <row r="172" spans="1:17" s="3" customFormat="1" ht="25" customHeight="1" x14ac:dyDescent="0.25">
      <c r="A172" s="349" t="s">
        <v>227</v>
      </c>
      <c r="B172" s="350" t="s">
        <v>681</v>
      </c>
      <c r="C172" s="372">
        <v>3</v>
      </c>
      <c r="D172" s="352">
        <v>1</v>
      </c>
      <c r="E172" s="372">
        <v>7</v>
      </c>
      <c r="F172" s="254">
        <f t="shared" si="22"/>
        <v>450.45</v>
      </c>
      <c r="G172" s="293">
        <v>70</v>
      </c>
      <c r="H172" s="249">
        <f t="shared" ref="H172:H184" si="23">C172*D172*E172*G172</f>
        <v>1470</v>
      </c>
      <c r="I172" s="251">
        <f t="shared" ref="I172:I182" si="24">IF(G172&lt;70, C172*E172*16.5*1, C172*E172*16.5*1.3)</f>
        <v>450.45</v>
      </c>
      <c r="J172" s="252"/>
      <c r="K172" s="252"/>
      <c r="L172" s="252"/>
      <c r="M172" s="252"/>
      <c r="N172" s="252"/>
      <c r="O172" s="252"/>
      <c r="P172" s="252"/>
      <c r="Q172" s="253"/>
    </row>
    <row r="173" spans="1:17" s="3" customFormat="1" ht="25" customHeight="1" x14ac:dyDescent="0.25">
      <c r="A173" s="349" t="s">
        <v>229</v>
      </c>
      <c r="B173" s="350" t="s">
        <v>682</v>
      </c>
      <c r="C173" s="372">
        <v>5</v>
      </c>
      <c r="D173" s="352">
        <v>1</v>
      </c>
      <c r="E173" s="372">
        <v>6</v>
      </c>
      <c r="F173" s="254">
        <f t="shared" si="22"/>
        <v>643.5</v>
      </c>
      <c r="G173" s="293">
        <v>70</v>
      </c>
      <c r="H173" s="249">
        <f t="shared" si="23"/>
        <v>2100</v>
      </c>
      <c r="I173" s="251">
        <f t="shared" si="24"/>
        <v>643.5</v>
      </c>
      <c r="J173" s="252"/>
      <c r="K173" s="252"/>
      <c r="L173" s="252"/>
      <c r="M173" s="252"/>
      <c r="N173" s="252"/>
      <c r="O173" s="252"/>
      <c r="P173" s="252"/>
      <c r="Q173" s="253"/>
    </row>
    <row r="174" spans="1:17" s="3" customFormat="1" ht="25" customHeight="1" x14ac:dyDescent="0.25">
      <c r="A174" s="349" t="s">
        <v>230</v>
      </c>
      <c r="B174" s="350" t="s">
        <v>683</v>
      </c>
      <c r="C174" s="372">
        <v>2</v>
      </c>
      <c r="D174" s="352">
        <v>1</v>
      </c>
      <c r="E174" s="372">
        <v>1</v>
      </c>
      <c r="F174" s="254">
        <f t="shared" si="22"/>
        <v>33</v>
      </c>
      <c r="G174" s="293">
        <v>50</v>
      </c>
      <c r="H174" s="249">
        <f t="shared" si="23"/>
        <v>100</v>
      </c>
      <c r="I174" s="251">
        <f t="shared" si="24"/>
        <v>33</v>
      </c>
      <c r="J174" s="252"/>
      <c r="K174" s="252"/>
      <c r="L174" s="252"/>
      <c r="M174" s="252"/>
      <c r="N174" s="252"/>
      <c r="O174" s="252"/>
      <c r="P174" s="252"/>
      <c r="Q174" s="253"/>
    </row>
    <row r="175" spans="1:17" s="3" customFormat="1" ht="25" customHeight="1" x14ac:dyDescent="0.25">
      <c r="A175" s="349" t="s">
        <v>231</v>
      </c>
      <c r="B175" s="350" t="s">
        <v>411</v>
      </c>
      <c r="C175" s="372">
        <v>2</v>
      </c>
      <c r="D175" s="352">
        <v>1</v>
      </c>
      <c r="E175" s="372">
        <v>1</v>
      </c>
      <c r="F175" s="254">
        <f t="shared" si="22"/>
        <v>33</v>
      </c>
      <c r="G175" s="293">
        <v>55</v>
      </c>
      <c r="H175" s="249">
        <f t="shared" si="23"/>
        <v>110</v>
      </c>
      <c r="I175" s="251">
        <f t="shared" si="24"/>
        <v>33</v>
      </c>
      <c r="J175" s="252"/>
      <c r="K175" s="252"/>
      <c r="L175" s="252"/>
      <c r="M175" s="252"/>
      <c r="N175" s="252"/>
      <c r="O175" s="252"/>
      <c r="P175" s="252"/>
      <c r="Q175" s="253"/>
    </row>
    <row r="176" spans="1:17" s="3" customFormat="1" ht="25" customHeight="1" x14ac:dyDescent="0.25">
      <c r="A176" s="349" t="s">
        <v>285</v>
      </c>
      <c r="B176" s="350" t="s">
        <v>684</v>
      </c>
      <c r="C176" s="422">
        <v>3</v>
      </c>
      <c r="D176" s="352">
        <v>1</v>
      </c>
      <c r="E176" s="422">
        <v>1</v>
      </c>
      <c r="F176" s="254">
        <f t="shared" si="22"/>
        <v>49.5</v>
      </c>
      <c r="G176" s="293">
        <v>30</v>
      </c>
      <c r="H176" s="249">
        <f t="shared" si="23"/>
        <v>90</v>
      </c>
      <c r="I176" s="251">
        <f t="shared" si="24"/>
        <v>49.5</v>
      </c>
      <c r="J176" s="252"/>
      <c r="K176" s="252"/>
      <c r="L176" s="252"/>
      <c r="M176" s="252"/>
      <c r="N176" s="252"/>
      <c r="O176" s="252"/>
      <c r="P176" s="252"/>
      <c r="Q176" s="253"/>
    </row>
    <row r="177" spans="1:17" s="3" customFormat="1" ht="25" customHeight="1" x14ac:dyDescent="0.25">
      <c r="A177" s="349" t="s">
        <v>286</v>
      </c>
      <c r="B177" s="350" t="s">
        <v>412</v>
      </c>
      <c r="C177" s="422">
        <v>2</v>
      </c>
      <c r="D177" s="352">
        <v>1</v>
      </c>
      <c r="E177" s="422">
        <v>1</v>
      </c>
      <c r="F177" s="254">
        <f t="shared" si="22"/>
        <v>33</v>
      </c>
      <c r="G177" s="293">
        <v>30</v>
      </c>
      <c r="H177" s="249">
        <f t="shared" si="23"/>
        <v>60</v>
      </c>
      <c r="I177" s="251">
        <f t="shared" si="24"/>
        <v>33</v>
      </c>
      <c r="J177" s="252"/>
      <c r="K177" s="252"/>
      <c r="L177" s="252"/>
      <c r="M177" s="252"/>
      <c r="N177" s="252"/>
      <c r="O177" s="252"/>
      <c r="P177" s="252"/>
      <c r="Q177" s="253"/>
    </row>
    <row r="178" spans="1:17" s="3" customFormat="1" ht="25" customHeight="1" x14ac:dyDescent="0.25">
      <c r="A178" s="349" t="s">
        <v>289</v>
      </c>
      <c r="B178" s="350" t="s">
        <v>685</v>
      </c>
      <c r="C178" s="422">
        <v>2</v>
      </c>
      <c r="D178" s="352">
        <v>1</v>
      </c>
      <c r="E178" s="422">
        <v>1</v>
      </c>
      <c r="F178" s="254">
        <f t="shared" si="22"/>
        <v>33</v>
      </c>
      <c r="G178" s="293">
        <v>40</v>
      </c>
      <c r="H178" s="249">
        <f t="shared" si="23"/>
        <v>80</v>
      </c>
      <c r="I178" s="251">
        <f t="shared" si="24"/>
        <v>33</v>
      </c>
      <c r="J178" s="252"/>
      <c r="K178" s="252"/>
      <c r="L178" s="252"/>
      <c r="M178" s="252"/>
      <c r="N178" s="252"/>
      <c r="O178" s="252"/>
      <c r="P178" s="252"/>
      <c r="Q178" s="253"/>
    </row>
    <row r="179" spans="1:17" s="3" customFormat="1" ht="25" customHeight="1" x14ac:dyDescent="0.25">
      <c r="A179" s="349" t="s">
        <v>290</v>
      </c>
      <c r="B179" s="350" t="s">
        <v>686</v>
      </c>
      <c r="C179" s="422">
        <v>2</v>
      </c>
      <c r="D179" s="352">
        <v>1</v>
      </c>
      <c r="E179" s="422">
        <v>1</v>
      </c>
      <c r="F179" s="254">
        <f t="shared" si="22"/>
        <v>33</v>
      </c>
      <c r="G179" s="294">
        <v>40</v>
      </c>
      <c r="H179" s="249">
        <f t="shared" si="23"/>
        <v>80</v>
      </c>
      <c r="I179" s="251">
        <f t="shared" si="24"/>
        <v>33</v>
      </c>
      <c r="J179" s="252"/>
      <c r="K179" s="252"/>
      <c r="L179" s="252"/>
      <c r="M179" s="252"/>
      <c r="N179" s="252"/>
      <c r="O179" s="252"/>
      <c r="P179" s="252"/>
      <c r="Q179" s="253"/>
    </row>
    <row r="180" spans="1:17" s="3" customFormat="1" ht="25" customHeight="1" x14ac:dyDescent="0.25">
      <c r="A180" s="349" t="s">
        <v>291</v>
      </c>
      <c r="B180" s="350" t="s">
        <v>413</v>
      </c>
      <c r="C180" s="422">
        <v>1</v>
      </c>
      <c r="D180" s="352">
        <v>1.4</v>
      </c>
      <c r="E180" s="422">
        <v>6</v>
      </c>
      <c r="F180" s="254">
        <f t="shared" si="22"/>
        <v>99</v>
      </c>
      <c r="G180" s="294">
        <v>40</v>
      </c>
      <c r="H180" s="249">
        <f t="shared" si="23"/>
        <v>335.99999999999994</v>
      </c>
      <c r="I180" s="251">
        <f t="shared" si="24"/>
        <v>99</v>
      </c>
      <c r="J180" s="252"/>
      <c r="K180" s="252"/>
      <c r="L180" s="252"/>
      <c r="M180" s="252"/>
      <c r="N180" s="252"/>
      <c r="O180" s="252"/>
      <c r="P180" s="252"/>
      <c r="Q180" s="253"/>
    </row>
    <row r="181" spans="1:17" s="3" customFormat="1" ht="25" customHeight="1" x14ac:dyDescent="0.25">
      <c r="A181" s="349" t="s">
        <v>292</v>
      </c>
      <c r="B181" s="372" t="s">
        <v>414</v>
      </c>
      <c r="C181" s="422">
        <v>1</v>
      </c>
      <c r="D181" s="352">
        <v>1.4</v>
      </c>
      <c r="E181" s="422">
        <v>14</v>
      </c>
      <c r="F181" s="254">
        <f t="shared" si="22"/>
        <v>300.3</v>
      </c>
      <c r="G181" s="294">
        <v>80</v>
      </c>
      <c r="H181" s="249">
        <f t="shared" si="23"/>
        <v>1567.9999999999998</v>
      </c>
      <c r="I181" s="251">
        <f t="shared" si="24"/>
        <v>300.3</v>
      </c>
      <c r="J181" s="252"/>
      <c r="K181" s="252"/>
      <c r="L181" s="252"/>
      <c r="M181" s="252"/>
      <c r="N181" s="252"/>
      <c r="O181" s="252"/>
      <c r="P181" s="252"/>
      <c r="Q181" s="253"/>
    </row>
    <row r="182" spans="1:17" s="3" customFormat="1" ht="25" customHeight="1" x14ac:dyDescent="0.25">
      <c r="A182" s="354"/>
      <c r="B182" s="361" t="s">
        <v>380</v>
      </c>
      <c r="C182" s="364">
        <f>SUM(C171:C181)</f>
        <v>27</v>
      </c>
      <c r="D182" s="364">
        <f>SUM(D171:D181)</f>
        <v>11.8</v>
      </c>
      <c r="E182" s="364">
        <f>SUM(E171:E181)</f>
        <v>52</v>
      </c>
      <c r="F182" s="254">
        <f t="shared" si="22"/>
        <v>30115.8</v>
      </c>
      <c r="G182" s="294">
        <v>80</v>
      </c>
      <c r="H182" s="249">
        <f t="shared" si="23"/>
        <v>1325376</v>
      </c>
      <c r="I182" s="251">
        <f t="shared" si="24"/>
        <v>30115.8</v>
      </c>
      <c r="J182" s="252"/>
      <c r="K182" s="252"/>
      <c r="L182" s="252"/>
      <c r="M182" s="252"/>
      <c r="N182" s="252"/>
      <c r="O182" s="252"/>
      <c r="P182" s="252"/>
      <c r="Q182" s="253"/>
    </row>
    <row r="183" spans="1:17" s="3" customFormat="1" ht="25" customHeight="1" x14ac:dyDescent="0.25">
      <c r="A183" s="423">
        <v>2</v>
      </c>
      <c r="B183" s="423" t="s">
        <v>164</v>
      </c>
      <c r="C183" s="352"/>
      <c r="D183" s="352"/>
      <c r="E183" s="352"/>
      <c r="F183" s="254">
        <f t="shared" si="22"/>
        <v>0</v>
      </c>
      <c r="G183" s="294">
        <v>36</v>
      </c>
      <c r="H183" s="249">
        <f t="shared" si="23"/>
        <v>0</v>
      </c>
      <c r="I183" s="251">
        <f>E183*15</f>
        <v>0</v>
      </c>
      <c r="J183" s="252"/>
      <c r="K183" s="252"/>
      <c r="L183" s="252"/>
      <c r="M183" s="252"/>
      <c r="N183" s="252"/>
      <c r="O183" s="252"/>
      <c r="P183" s="252"/>
      <c r="Q183" s="253"/>
    </row>
    <row r="184" spans="1:17" s="3" customFormat="1" ht="25" customHeight="1" x14ac:dyDescent="0.25">
      <c r="A184" s="356" t="s">
        <v>147</v>
      </c>
      <c r="B184" s="357" t="s">
        <v>165</v>
      </c>
      <c r="C184" s="352"/>
      <c r="D184" s="352"/>
      <c r="E184" s="352"/>
      <c r="F184" s="254">
        <f t="shared" si="22"/>
        <v>0</v>
      </c>
      <c r="G184" s="294">
        <v>20</v>
      </c>
      <c r="H184" s="249">
        <f t="shared" si="23"/>
        <v>0</v>
      </c>
      <c r="I184" s="251">
        <f>E184*15</f>
        <v>0</v>
      </c>
      <c r="J184" s="252"/>
      <c r="K184" s="252"/>
      <c r="L184" s="252"/>
      <c r="M184" s="252"/>
      <c r="N184" s="252"/>
      <c r="O184" s="252"/>
      <c r="P184" s="252"/>
      <c r="Q184" s="253"/>
    </row>
    <row r="185" spans="1:17" s="3" customFormat="1" ht="25" customHeight="1" x14ac:dyDescent="0.25">
      <c r="A185" s="349" t="s">
        <v>226</v>
      </c>
      <c r="B185" s="350" t="s">
        <v>415</v>
      </c>
      <c r="C185" s="372">
        <v>3</v>
      </c>
      <c r="D185" s="352">
        <v>1</v>
      </c>
      <c r="E185" s="422">
        <v>3</v>
      </c>
      <c r="F185" s="271">
        <f>SUM(F171:F184)</f>
        <v>32681.55</v>
      </c>
      <c r="G185" s="279">
        <f>SUM(G171:G184)</f>
        <v>691</v>
      </c>
      <c r="H185" s="279">
        <f>SUM(H171:H184)</f>
        <v>1333970</v>
      </c>
      <c r="I185" s="279">
        <f>SUM(I171:I184)</f>
        <v>32681.55</v>
      </c>
      <c r="J185" s="252"/>
      <c r="K185" s="252"/>
      <c r="L185" s="252"/>
      <c r="M185" s="252"/>
      <c r="N185" s="252"/>
      <c r="O185" s="252"/>
      <c r="P185" s="252"/>
      <c r="Q185" s="253"/>
    </row>
    <row r="186" spans="1:17" s="3" customFormat="1" ht="25" customHeight="1" x14ac:dyDescent="0.25">
      <c r="A186" s="349" t="s">
        <v>227</v>
      </c>
      <c r="B186" s="350" t="s">
        <v>416</v>
      </c>
      <c r="C186" s="372">
        <v>3</v>
      </c>
      <c r="D186" s="352">
        <v>1</v>
      </c>
      <c r="E186" s="422">
        <v>1</v>
      </c>
      <c r="F186" s="295"/>
      <c r="G186" s="295"/>
      <c r="H186" s="257"/>
      <c r="I186" s="285"/>
      <c r="J186" s="252"/>
      <c r="K186" s="252"/>
      <c r="L186" s="252"/>
      <c r="M186" s="252"/>
      <c r="N186" s="252"/>
      <c r="O186" s="252"/>
      <c r="P186" s="252"/>
      <c r="Q186" s="253"/>
    </row>
    <row r="187" spans="1:17" s="3" customFormat="1" ht="25" customHeight="1" x14ac:dyDescent="0.25">
      <c r="A187" s="349" t="s">
        <v>228</v>
      </c>
      <c r="B187" s="350" t="s">
        <v>417</v>
      </c>
      <c r="C187" s="372">
        <v>3</v>
      </c>
      <c r="D187" s="352">
        <v>1</v>
      </c>
      <c r="E187" s="422">
        <v>1</v>
      </c>
      <c r="F187" s="295"/>
      <c r="G187" s="295"/>
      <c r="H187" s="257"/>
      <c r="I187" s="285"/>
      <c r="J187" s="252"/>
      <c r="K187" s="252"/>
      <c r="L187" s="252"/>
      <c r="M187" s="252"/>
      <c r="N187" s="252"/>
      <c r="O187" s="252"/>
      <c r="P187" s="252"/>
      <c r="Q187" s="253"/>
    </row>
    <row r="188" spans="1:17" s="3" customFormat="1" ht="25" customHeight="1" x14ac:dyDescent="0.25">
      <c r="A188" s="349" t="s">
        <v>229</v>
      </c>
      <c r="B188" s="350" t="s">
        <v>418</v>
      </c>
      <c r="C188" s="372">
        <v>3</v>
      </c>
      <c r="D188" s="352">
        <v>1</v>
      </c>
      <c r="E188" s="422">
        <v>1</v>
      </c>
      <c r="F188" s="254">
        <f t="shared" ref="F188:F194" si="25">I188+J188+K188</f>
        <v>74.25</v>
      </c>
      <c r="G188" s="293">
        <v>15</v>
      </c>
      <c r="H188" s="249">
        <f>C188*D188*E188*G188</f>
        <v>45</v>
      </c>
      <c r="I188" s="251">
        <f t="shared" ref="I188:I194" si="26">IF(G188&lt;70, C188*E188*16.5*1*1.5, C188*E188*16.5*1.3*1.5)</f>
        <v>74.25</v>
      </c>
      <c r="J188" s="252"/>
      <c r="K188" s="252"/>
      <c r="L188" s="252"/>
      <c r="M188" s="252"/>
      <c r="N188" s="252"/>
      <c r="O188" s="252"/>
      <c r="P188" s="252"/>
      <c r="Q188" s="253"/>
    </row>
    <row r="189" spans="1:17" s="3" customFormat="1" ht="25" customHeight="1" x14ac:dyDescent="0.25">
      <c r="A189" s="349" t="s">
        <v>230</v>
      </c>
      <c r="B189" s="353" t="s">
        <v>419</v>
      </c>
      <c r="C189" s="372">
        <v>3</v>
      </c>
      <c r="D189" s="352">
        <v>1</v>
      </c>
      <c r="E189" s="422">
        <v>3</v>
      </c>
      <c r="F189" s="254">
        <f t="shared" si="25"/>
        <v>222.75</v>
      </c>
      <c r="G189" s="293">
        <v>10</v>
      </c>
      <c r="H189" s="249">
        <f t="shared" ref="H189:H194" si="27">C189*D189*E189*G189</f>
        <v>90</v>
      </c>
      <c r="I189" s="251">
        <f t="shared" si="26"/>
        <v>222.75</v>
      </c>
      <c r="J189" s="252"/>
      <c r="K189" s="252"/>
      <c r="L189" s="252"/>
      <c r="M189" s="252"/>
      <c r="N189" s="252"/>
      <c r="O189" s="252"/>
      <c r="P189" s="252"/>
      <c r="Q189" s="253"/>
    </row>
    <row r="190" spans="1:17" s="3" customFormat="1" ht="25" customHeight="1" x14ac:dyDescent="0.25">
      <c r="A190" s="349" t="s">
        <v>231</v>
      </c>
      <c r="B190" s="353" t="s">
        <v>420</v>
      </c>
      <c r="C190" s="372">
        <v>3</v>
      </c>
      <c r="D190" s="352">
        <v>1</v>
      </c>
      <c r="E190" s="422">
        <v>1</v>
      </c>
      <c r="F190" s="254">
        <f t="shared" si="25"/>
        <v>74.25</v>
      </c>
      <c r="G190" s="293">
        <v>10</v>
      </c>
      <c r="H190" s="249">
        <f t="shared" si="27"/>
        <v>30</v>
      </c>
      <c r="I190" s="251">
        <f t="shared" si="26"/>
        <v>74.25</v>
      </c>
      <c r="J190" s="252"/>
      <c r="K190" s="252"/>
      <c r="L190" s="252"/>
      <c r="M190" s="252"/>
      <c r="N190" s="252"/>
      <c r="O190" s="252"/>
      <c r="P190" s="252"/>
      <c r="Q190" s="253"/>
    </row>
    <row r="191" spans="1:17" s="3" customFormat="1" ht="25" customHeight="1" x14ac:dyDescent="0.25">
      <c r="A191" s="349" t="s">
        <v>282</v>
      </c>
      <c r="B191" s="353" t="s">
        <v>421</v>
      </c>
      <c r="C191" s="372">
        <v>3</v>
      </c>
      <c r="D191" s="352">
        <v>1</v>
      </c>
      <c r="E191" s="422">
        <v>3</v>
      </c>
      <c r="F191" s="254">
        <f t="shared" si="25"/>
        <v>222.75</v>
      </c>
      <c r="G191" s="293">
        <v>10</v>
      </c>
      <c r="H191" s="249">
        <f t="shared" si="27"/>
        <v>90</v>
      </c>
      <c r="I191" s="251">
        <f t="shared" si="26"/>
        <v>222.75</v>
      </c>
      <c r="J191" s="252"/>
      <c r="K191" s="252"/>
      <c r="L191" s="252"/>
      <c r="M191" s="252"/>
      <c r="N191" s="252"/>
      <c r="O191" s="252"/>
      <c r="P191" s="252"/>
      <c r="Q191" s="253"/>
    </row>
    <row r="192" spans="1:17" s="3" customFormat="1" ht="25" customHeight="1" x14ac:dyDescent="0.25">
      <c r="A192" s="354"/>
      <c r="B192" s="424" t="s">
        <v>380</v>
      </c>
      <c r="C192" s="364">
        <f>SUM(C185:C191)</f>
        <v>21</v>
      </c>
      <c r="D192" s="364">
        <f>SUM(D185:D191)</f>
        <v>7</v>
      </c>
      <c r="E192" s="364">
        <f>SUM(E185:E191)</f>
        <v>13</v>
      </c>
      <c r="F192" s="254">
        <f t="shared" si="25"/>
        <v>6756.75</v>
      </c>
      <c r="G192" s="293">
        <v>15</v>
      </c>
      <c r="H192" s="249">
        <f t="shared" si="27"/>
        <v>28665</v>
      </c>
      <c r="I192" s="251">
        <f t="shared" si="26"/>
        <v>6756.75</v>
      </c>
      <c r="J192" s="252"/>
      <c r="K192" s="252"/>
      <c r="L192" s="252"/>
      <c r="M192" s="252"/>
      <c r="N192" s="252"/>
      <c r="O192" s="252"/>
      <c r="P192" s="252"/>
      <c r="Q192" s="253"/>
    </row>
    <row r="193" spans="1:17" s="3" customFormat="1" ht="25" customHeight="1" x14ac:dyDescent="0.25">
      <c r="A193" s="423" t="s">
        <v>8</v>
      </c>
      <c r="B193" s="423" t="s">
        <v>224</v>
      </c>
      <c r="C193" s="352"/>
      <c r="D193" s="352"/>
      <c r="E193" s="352"/>
      <c r="F193" s="254">
        <f t="shared" si="25"/>
        <v>0</v>
      </c>
      <c r="G193" s="293">
        <v>10</v>
      </c>
      <c r="H193" s="249">
        <f t="shared" si="27"/>
        <v>0</v>
      </c>
      <c r="I193" s="251">
        <f t="shared" si="26"/>
        <v>0</v>
      </c>
      <c r="J193" s="252"/>
      <c r="K193" s="252"/>
      <c r="L193" s="252"/>
      <c r="M193" s="252"/>
      <c r="N193" s="252"/>
      <c r="O193" s="252"/>
      <c r="P193" s="252"/>
      <c r="Q193" s="253"/>
    </row>
    <row r="194" spans="1:17" s="3" customFormat="1" ht="25" customHeight="1" x14ac:dyDescent="0.25">
      <c r="A194" s="423">
        <v>1</v>
      </c>
      <c r="B194" s="357" t="s">
        <v>225</v>
      </c>
      <c r="C194" s="352"/>
      <c r="D194" s="352"/>
      <c r="E194" s="352"/>
      <c r="F194" s="254">
        <f t="shared" si="25"/>
        <v>0</v>
      </c>
      <c r="G194" s="293">
        <v>15</v>
      </c>
      <c r="H194" s="249">
        <f t="shared" si="27"/>
        <v>0</v>
      </c>
      <c r="I194" s="251">
        <f t="shared" si="26"/>
        <v>0</v>
      </c>
      <c r="J194" s="252"/>
      <c r="K194" s="252"/>
      <c r="L194" s="252"/>
      <c r="M194" s="252"/>
      <c r="N194" s="252"/>
      <c r="O194" s="252"/>
      <c r="P194" s="252"/>
      <c r="Q194" s="253"/>
    </row>
    <row r="195" spans="1:17" s="3" customFormat="1" ht="25" customHeight="1" x14ac:dyDescent="0.25">
      <c r="A195" s="423" t="s">
        <v>147</v>
      </c>
      <c r="B195" s="357" t="s">
        <v>163</v>
      </c>
      <c r="C195" s="352"/>
      <c r="D195" s="352"/>
      <c r="E195" s="352"/>
      <c r="F195" s="271">
        <f>SUM(F188:F194)</f>
        <v>7350.75</v>
      </c>
      <c r="G195" s="279">
        <f>SUM(G188:G194)</f>
        <v>85</v>
      </c>
      <c r="H195" s="279">
        <f>SUM(H188:H194)</f>
        <v>28920</v>
      </c>
      <c r="I195" s="279">
        <f>SUM(I188:I194)</f>
        <v>7350.75</v>
      </c>
      <c r="J195" s="252"/>
      <c r="K195" s="252"/>
      <c r="L195" s="252"/>
      <c r="M195" s="252"/>
      <c r="N195" s="252"/>
      <c r="O195" s="252"/>
      <c r="P195" s="252"/>
      <c r="Q195" s="253"/>
    </row>
    <row r="196" spans="1:17" s="3" customFormat="1" ht="25" customHeight="1" x14ac:dyDescent="0.25">
      <c r="A196" s="354" t="s">
        <v>226</v>
      </c>
      <c r="B196" s="350" t="s">
        <v>687</v>
      </c>
      <c r="C196" s="422">
        <v>5</v>
      </c>
      <c r="D196" s="352">
        <v>1</v>
      </c>
      <c r="E196" s="352">
        <v>25</v>
      </c>
      <c r="F196" s="295"/>
      <c r="G196" s="295"/>
      <c r="H196" s="295"/>
      <c r="I196" s="296"/>
      <c r="J196" s="296"/>
      <c r="K196" s="296"/>
      <c r="L196" s="296"/>
      <c r="M196" s="296"/>
      <c r="N196" s="296"/>
      <c r="O196" s="296"/>
      <c r="P196" s="296"/>
      <c r="Q196" s="297"/>
    </row>
    <row r="197" spans="1:17" s="3" customFormat="1" ht="25" customHeight="1" x14ac:dyDescent="0.25">
      <c r="A197" s="354" t="s">
        <v>227</v>
      </c>
      <c r="B197" s="350" t="s">
        <v>688</v>
      </c>
      <c r="C197" s="422">
        <v>5</v>
      </c>
      <c r="D197" s="352">
        <v>1</v>
      </c>
      <c r="E197" s="352">
        <v>26</v>
      </c>
      <c r="F197" s="295"/>
      <c r="G197" s="295"/>
      <c r="H197" s="295"/>
      <c r="I197" s="296"/>
      <c r="J197" s="296"/>
      <c r="K197" s="296"/>
      <c r="L197" s="296"/>
      <c r="M197" s="296"/>
      <c r="N197" s="296"/>
      <c r="O197" s="296"/>
      <c r="P197" s="296"/>
      <c r="Q197" s="297"/>
    </row>
    <row r="198" spans="1:17" s="3" customFormat="1" ht="25" customHeight="1" x14ac:dyDescent="0.25">
      <c r="A198" s="354"/>
      <c r="B198" s="361" t="s">
        <v>380</v>
      </c>
      <c r="C198" s="364">
        <f>SUM(C196:C197)</f>
        <v>10</v>
      </c>
      <c r="D198" s="364">
        <f>SUM(D196:D197)</f>
        <v>2</v>
      </c>
      <c r="E198" s="364">
        <f>SUM(E196:E197)</f>
        <v>51</v>
      </c>
      <c r="F198" s="295"/>
      <c r="G198" s="295"/>
      <c r="H198" s="295"/>
      <c r="I198" s="296"/>
      <c r="J198" s="296"/>
      <c r="K198" s="296"/>
      <c r="L198" s="296"/>
      <c r="M198" s="296"/>
      <c r="N198" s="296"/>
      <c r="O198" s="296"/>
      <c r="P198" s="296"/>
      <c r="Q198" s="297"/>
    </row>
    <row r="199" spans="1:17" s="3" customFormat="1" ht="25" customHeight="1" x14ac:dyDescent="0.25">
      <c r="A199" s="393"/>
      <c r="B199" s="398" t="s">
        <v>424</v>
      </c>
      <c r="C199" s="388">
        <f>C182+C192+C198</f>
        <v>58</v>
      </c>
      <c r="D199" s="388">
        <f>D182+D192+D198</f>
        <v>20.8</v>
      </c>
      <c r="E199" s="388">
        <f>E182+E192+E198</f>
        <v>116</v>
      </c>
      <c r="F199" s="254">
        <f>I199+J199+K199</f>
        <v>111012</v>
      </c>
      <c r="G199" s="295">
        <v>50</v>
      </c>
      <c r="H199" s="249">
        <f>C199*D199*E199*G199</f>
        <v>6997120.0000000009</v>
      </c>
      <c r="I199" s="251">
        <f>IF(G199&lt;70, C199*E199*16.5*1, C199*E199*16.5*1.3)</f>
        <v>111012</v>
      </c>
      <c r="J199" s="296"/>
      <c r="K199" s="296"/>
      <c r="L199" s="296"/>
      <c r="M199" s="296"/>
      <c r="N199" s="296"/>
      <c r="O199" s="296"/>
      <c r="P199" s="296"/>
      <c r="Q199" s="297"/>
    </row>
    <row r="200" spans="1:17" s="3" customFormat="1" ht="25" customHeight="1" x14ac:dyDescent="0.25">
      <c r="A200" s="288" t="s">
        <v>431</v>
      </c>
      <c r="B200" s="323" t="s">
        <v>432</v>
      </c>
      <c r="C200" s="287"/>
      <c r="D200" s="287"/>
      <c r="E200" s="287"/>
      <c r="F200" s="318"/>
      <c r="G200" s="287"/>
      <c r="H200" s="287"/>
      <c r="I200" s="287"/>
      <c r="J200" s="252"/>
      <c r="K200" s="252"/>
      <c r="L200" s="252"/>
      <c r="M200" s="252"/>
      <c r="N200" s="252"/>
      <c r="O200" s="252"/>
      <c r="P200" s="252"/>
      <c r="Q200" s="253"/>
    </row>
    <row r="201" spans="1:17" s="3" customFormat="1" ht="25" customHeight="1" x14ac:dyDescent="0.25">
      <c r="A201" s="288" t="s">
        <v>7</v>
      </c>
      <c r="B201" s="288" t="s">
        <v>223</v>
      </c>
      <c r="C201" s="287"/>
      <c r="D201" s="287"/>
      <c r="E201" s="287"/>
      <c r="F201" s="318"/>
      <c r="G201" s="287"/>
      <c r="H201" s="287"/>
      <c r="I201" s="287"/>
      <c r="J201" s="252"/>
      <c r="K201" s="252"/>
      <c r="L201" s="252"/>
      <c r="M201" s="252"/>
      <c r="N201" s="252"/>
      <c r="O201" s="252"/>
      <c r="P201" s="252"/>
      <c r="Q201" s="253"/>
    </row>
    <row r="202" spans="1:17" s="3" customFormat="1" ht="25" customHeight="1" x14ac:dyDescent="0.25">
      <c r="A202" s="288">
        <v>1</v>
      </c>
      <c r="B202" s="288" t="s">
        <v>4</v>
      </c>
      <c r="C202" s="287"/>
      <c r="D202" s="287"/>
      <c r="E202" s="287"/>
      <c r="F202" s="318"/>
      <c r="G202" s="287"/>
      <c r="H202" s="287"/>
      <c r="I202" s="287"/>
      <c r="J202" s="252"/>
      <c r="K202" s="252"/>
      <c r="L202" s="252"/>
      <c r="M202" s="252"/>
      <c r="N202" s="252"/>
      <c r="O202" s="252"/>
      <c r="P202" s="252"/>
      <c r="Q202" s="253"/>
    </row>
    <row r="203" spans="1:17" s="3" customFormat="1" ht="25" customHeight="1" x14ac:dyDescent="0.25">
      <c r="A203" s="349" t="s">
        <v>226</v>
      </c>
      <c r="B203" s="350" t="s">
        <v>689</v>
      </c>
      <c r="C203" s="351">
        <v>4</v>
      </c>
      <c r="D203" s="351">
        <v>1</v>
      </c>
      <c r="E203" s="351">
        <v>10</v>
      </c>
      <c r="F203" s="295"/>
      <c r="G203" s="291"/>
      <c r="H203" s="291"/>
      <c r="I203" s="298"/>
      <c r="J203" s="252"/>
      <c r="K203" s="252"/>
      <c r="L203" s="252"/>
      <c r="M203" s="252"/>
      <c r="N203" s="252"/>
      <c r="O203" s="252"/>
      <c r="P203" s="252"/>
      <c r="Q203" s="253"/>
    </row>
    <row r="204" spans="1:17" s="3" customFormat="1" ht="25" customHeight="1" x14ac:dyDescent="0.25">
      <c r="A204" s="349" t="s">
        <v>227</v>
      </c>
      <c r="B204" s="350" t="s">
        <v>690</v>
      </c>
      <c r="C204" s="352">
        <v>3</v>
      </c>
      <c r="D204" s="352">
        <v>1</v>
      </c>
      <c r="E204" s="352">
        <v>4</v>
      </c>
      <c r="F204" s="254">
        <f t="shared" ref="F204:F210" si="28">I204+J204+K204</f>
        <v>257.40000000000003</v>
      </c>
      <c r="G204" s="299">
        <v>70</v>
      </c>
      <c r="H204" s="249">
        <f t="shared" ref="H204:H210" si="29">C204*D204*E204*G204</f>
        <v>840</v>
      </c>
      <c r="I204" s="251">
        <f t="shared" ref="I204:I210" si="30">IF(G204&lt;70, C204*E204*16.5*1, C204*E204*16.5*1.3)</f>
        <v>257.40000000000003</v>
      </c>
      <c r="J204" s="252"/>
      <c r="K204" s="252"/>
      <c r="L204" s="252"/>
      <c r="M204" s="252"/>
      <c r="N204" s="252"/>
      <c r="O204" s="252"/>
      <c r="P204" s="252"/>
      <c r="Q204" s="253"/>
    </row>
    <row r="205" spans="1:17" s="3" customFormat="1" ht="25" customHeight="1" x14ac:dyDescent="0.25">
      <c r="A205" s="349" t="s">
        <v>228</v>
      </c>
      <c r="B205" s="350" t="s">
        <v>426</v>
      </c>
      <c r="C205" s="352">
        <v>3</v>
      </c>
      <c r="D205" s="352">
        <v>1</v>
      </c>
      <c r="E205" s="352">
        <v>3</v>
      </c>
      <c r="F205" s="254">
        <f t="shared" si="28"/>
        <v>193.05</v>
      </c>
      <c r="G205" s="295">
        <v>70</v>
      </c>
      <c r="H205" s="249">
        <f t="shared" si="29"/>
        <v>630</v>
      </c>
      <c r="I205" s="251">
        <f t="shared" si="30"/>
        <v>193.05</v>
      </c>
      <c r="J205" s="252"/>
      <c r="K205" s="252"/>
      <c r="L205" s="252"/>
      <c r="M205" s="252"/>
      <c r="N205" s="252"/>
      <c r="O205" s="252"/>
      <c r="P205" s="252"/>
      <c r="Q205" s="253"/>
    </row>
    <row r="206" spans="1:17" s="3" customFormat="1" ht="25" customHeight="1" x14ac:dyDescent="0.25">
      <c r="A206" s="349" t="s">
        <v>229</v>
      </c>
      <c r="B206" s="350" t="s">
        <v>427</v>
      </c>
      <c r="C206" s="352">
        <v>4</v>
      </c>
      <c r="D206" s="352">
        <v>1</v>
      </c>
      <c r="E206" s="352">
        <v>3</v>
      </c>
      <c r="F206" s="254">
        <f t="shared" si="28"/>
        <v>257.40000000000003</v>
      </c>
      <c r="G206" s="295">
        <v>70</v>
      </c>
      <c r="H206" s="249">
        <f t="shared" si="29"/>
        <v>840</v>
      </c>
      <c r="I206" s="251">
        <f t="shared" si="30"/>
        <v>257.40000000000003</v>
      </c>
      <c r="J206" s="252"/>
      <c r="K206" s="252"/>
      <c r="L206" s="252"/>
      <c r="M206" s="252"/>
      <c r="N206" s="252"/>
      <c r="O206" s="252"/>
      <c r="P206" s="252"/>
      <c r="Q206" s="253"/>
    </row>
    <row r="207" spans="1:17" s="3" customFormat="1" ht="25" customHeight="1" x14ac:dyDescent="0.25">
      <c r="A207" s="349" t="s">
        <v>230</v>
      </c>
      <c r="B207" s="350" t="s">
        <v>428</v>
      </c>
      <c r="C207" s="352">
        <v>4</v>
      </c>
      <c r="D207" s="352">
        <v>1</v>
      </c>
      <c r="E207" s="352">
        <v>4</v>
      </c>
      <c r="F207" s="254">
        <f t="shared" si="28"/>
        <v>343.2</v>
      </c>
      <c r="G207" s="295">
        <v>70</v>
      </c>
      <c r="H207" s="249">
        <f t="shared" si="29"/>
        <v>1120</v>
      </c>
      <c r="I207" s="251">
        <f t="shared" si="30"/>
        <v>343.2</v>
      </c>
      <c r="J207" s="252"/>
      <c r="K207" s="252"/>
      <c r="L207" s="252"/>
      <c r="M207" s="252"/>
      <c r="N207" s="252"/>
      <c r="O207" s="252"/>
      <c r="P207" s="252"/>
      <c r="Q207" s="253"/>
    </row>
    <row r="208" spans="1:17" s="3" customFormat="1" ht="25" customHeight="1" x14ac:dyDescent="0.25">
      <c r="A208" s="349" t="s">
        <v>231</v>
      </c>
      <c r="B208" s="353" t="s">
        <v>429</v>
      </c>
      <c r="C208" s="352">
        <v>4</v>
      </c>
      <c r="D208" s="352">
        <v>1</v>
      </c>
      <c r="E208" s="352">
        <v>1</v>
      </c>
      <c r="F208" s="254">
        <f t="shared" si="28"/>
        <v>85.8</v>
      </c>
      <c r="G208" s="295">
        <v>70</v>
      </c>
      <c r="H208" s="249">
        <f t="shared" si="29"/>
        <v>280</v>
      </c>
      <c r="I208" s="251">
        <f t="shared" si="30"/>
        <v>85.8</v>
      </c>
      <c r="J208" s="252"/>
      <c r="K208" s="252"/>
      <c r="L208" s="252"/>
      <c r="M208" s="252"/>
      <c r="N208" s="252"/>
      <c r="O208" s="252"/>
      <c r="P208" s="252"/>
      <c r="Q208" s="253"/>
    </row>
    <row r="209" spans="1:17" s="3" customFormat="1" ht="25" customHeight="1" x14ac:dyDescent="0.25">
      <c r="A209" s="349" t="s">
        <v>691</v>
      </c>
      <c r="B209" s="353" t="s">
        <v>692</v>
      </c>
      <c r="C209" s="352">
        <v>2</v>
      </c>
      <c r="D209" s="352">
        <v>1</v>
      </c>
      <c r="E209" s="352">
        <v>4</v>
      </c>
      <c r="F209" s="254">
        <f t="shared" si="28"/>
        <v>171.6</v>
      </c>
      <c r="G209" s="295">
        <v>70</v>
      </c>
      <c r="H209" s="249">
        <f t="shared" si="29"/>
        <v>560</v>
      </c>
      <c r="I209" s="251">
        <f t="shared" si="30"/>
        <v>171.6</v>
      </c>
      <c r="J209" s="252"/>
      <c r="K209" s="252"/>
      <c r="L209" s="252"/>
      <c r="M209" s="252"/>
      <c r="N209" s="252"/>
      <c r="O209" s="252"/>
      <c r="P209" s="252"/>
      <c r="Q209" s="253"/>
    </row>
    <row r="210" spans="1:17" s="3" customFormat="1" ht="25" customHeight="1" x14ac:dyDescent="0.25">
      <c r="A210" s="349" t="s">
        <v>693</v>
      </c>
      <c r="B210" s="353" t="s">
        <v>694</v>
      </c>
      <c r="C210" s="352">
        <v>2</v>
      </c>
      <c r="D210" s="352">
        <v>1</v>
      </c>
      <c r="E210" s="352">
        <v>10</v>
      </c>
      <c r="F210" s="254">
        <f t="shared" si="28"/>
        <v>429</v>
      </c>
      <c r="G210" s="295">
        <v>70</v>
      </c>
      <c r="H210" s="249">
        <f t="shared" si="29"/>
        <v>1400</v>
      </c>
      <c r="I210" s="251">
        <f t="shared" si="30"/>
        <v>429</v>
      </c>
      <c r="J210" s="252"/>
      <c r="K210" s="252"/>
      <c r="L210" s="252"/>
      <c r="M210" s="252"/>
      <c r="N210" s="252"/>
      <c r="O210" s="252"/>
      <c r="P210" s="252"/>
      <c r="Q210" s="253"/>
    </row>
    <row r="211" spans="1:17" s="3" customFormat="1" ht="25" customHeight="1" x14ac:dyDescent="0.25">
      <c r="A211" s="349" t="s">
        <v>282</v>
      </c>
      <c r="B211" s="353" t="s">
        <v>430</v>
      </c>
      <c r="C211" s="352">
        <v>3</v>
      </c>
      <c r="D211" s="352">
        <v>1</v>
      </c>
      <c r="E211" s="352">
        <v>4</v>
      </c>
      <c r="F211" s="271">
        <f>SUM(F204:F210)</f>
        <v>1737.45</v>
      </c>
      <c r="G211" s="279">
        <f>SUM(G204:G210)</f>
        <v>490</v>
      </c>
      <c r="H211" s="279">
        <f>SUM(H204:H210)</f>
        <v>5670</v>
      </c>
      <c r="I211" s="279">
        <f>SUM(I204:I210)</f>
        <v>1737.45</v>
      </c>
      <c r="J211" s="252"/>
      <c r="K211" s="252"/>
      <c r="L211" s="252"/>
      <c r="M211" s="252"/>
      <c r="N211" s="252"/>
      <c r="O211" s="252"/>
      <c r="P211" s="252"/>
      <c r="Q211" s="253"/>
    </row>
    <row r="212" spans="1:17" s="3" customFormat="1" ht="25" customHeight="1" x14ac:dyDescent="0.25">
      <c r="A212" s="354"/>
      <c r="B212" s="361" t="s">
        <v>380</v>
      </c>
      <c r="C212" s="364">
        <f>SUM(C203:C211)</f>
        <v>29</v>
      </c>
      <c r="D212" s="364">
        <f>SUM(D203:D211)</f>
        <v>9</v>
      </c>
      <c r="E212" s="364">
        <f>SUM(E203:E211)</f>
        <v>43</v>
      </c>
      <c r="F212" s="295"/>
      <c r="G212" s="295"/>
      <c r="H212" s="295"/>
      <c r="I212" s="296"/>
      <c r="J212" s="296"/>
      <c r="K212" s="296"/>
      <c r="L212" s="296"/>
      <c r="M212" s="296"/>
      <c r="N212" s="252"/>
      <c r="O212" s="252"/>
      <c r="P212" s="252"/>
      <c r="Q212" s="253"/>
    </row>
    <row r="213" spans="1:17" s="3" customFormat="1" ht="25" customHeight="1" x14ac:dyDescent="0.25">
      <c r="A213" s="359" t="s">
        <v>148</v>
      </c>
      <c r="B213" s="360" t="s">
        <v>151</v>
      </c>
      <c r="C213" s="352"/>
      <c r="D213" s="352"/>
      <c r="E213" s="352"/>
      <c r="F213" s="295"/>
      <c r="G213" s="295"/>
      <c r="H213" s="295"/>
      <c r="I213" s="296"/>
      <c r="J213" s="296"/>
      <c r="K213" s="296"/>
      <c r="L213" s="296"/>
      <c r="M213" s="296"/>
      <c r="N213" s="252"/>
      <c r="O213" s="252"/>
      <c r="P213" s="252"/>
      <c r="Q213" s="253"/>
    </row>
    <row r="214" spans="1:17" s="3" customFormat="1" ht="25" customHeight="1" x14ac:dyDescent="0.25">
      <c r="A214" s="354" t="s">
        <v>232</v>
      </c>
      <c r="B214" s="349" t="s">
        <v>154</v>
      </c>
      <c r="C214" s="352"/>
      <c r="D214" s="352"/>
      <c r="E214" s="352"/>
      <c r="F214" s="295"/>
      <c r="G214" s="295"/>
      <c r="H214" s="295"/>
      <c r="I214" s="296"/>
      <c r="J214" s="296"/>
      <c r="K214" s="296"/>
      <c r="L214" s="296"/>
      <c r="M214" s="296"/>
      <c r="N214" s="252"/>
      <c r="O214" s="252"/>
      <c r="P214" s="252"/>
      <c r="Q214" s="253"/>
    </row>
    <row r="215" spans="1:17" s="3" customFormat="1" ht="25" customHeight="1" x14ac:dyDescent="0.25">
      <c r="A215" s="354" t="s">
        <v>233</v>
      </c>
      <c r="B215" s="349" t="s">
        <v>153</v>
      </c>
      <c r="C215" s="352"/>
      <c r="D215" s="352"/>
      <c r="E215" s="352"/>
      <c r="F215" s="295"/>
      <c r="G215" s="295"/>
      <c r="H215" s="295"/>
      <c r="I215" s="296"/>
      <c r="J215" s="296"/>
      <c r="K215" s="296"/>
      <c r="L215" s="296"/>
      <c r="M215" s="296"/>
      <c r="N215" s="252"/>
      <c r="O215" s="252"/>
      <c r="P215" s="252"/>
      <c r="Q215" s="253"/>
    </row>
    <row r="216" spans="1:17" s="3" customFormat="1" ht="25" customHeight="1" x14ac:dyDescent="0.25">
      <c r="A216" s="354" t="s">
        <v>234</v>
      </c>
      <c r="B216" s="349" t="s">
        <v>155</v>
      </c>
      <c r="C216" s="352"/>
      <c r="D216" s="352"/>
      <c r="E216" s="352"/>
      <c r="F216" s="295"/>
      <c r="G216" s="295"/>
      <c r="H216" s="295"/>
      <c r="I216" s="296"/>
      <c r="J216" s="296"/>
      <c r="K216" s="296"/>
      <c r="L216" s="296"/>
      <c r="M216" s="296"/>
      <c r="N216" s="252"/>
      <c r="O216" s="252"/>
      <c r="P216" s="252"/>
      <c r="Q216" s="253"/>
    </row>
    <row r="217" spans="1:17" s="3" customFormat="1" ht="25" customHeight="1" x14ac:dyDescent="0.25">
      <c r="A217" s="354" t="s">
        <v>235</v>
      </c>
      <c r="B217" s="349" t="s">
        <v>156</v>
      </c>
      <c r="C217" s="352"/>
      <c r="D217" s="352"/>
      <c r="E217" s="352"/>
      <c r="F217" s="295"/>
      <c r="G217" s="295"/>
      <c r="H217" s="295"/>
      <c r="I217" s="296"/>
      <c r="J217" s="296"/>
      <c r="K217" s="296"/>
      <c r="L217" s="296"/>
      <c r="M217" s="296"/>
      <c r="N217" s="252"/>
      <c r="O217" s="252"/>
      <c r="P217" s="252"/>
      <c r="Q217" s="253"/>
    </row>
    <row r="218" spans="1:17" s="3" customFormat="1" ht="25" customHeight="1" x14ac:dyDescent="0.25">
      <c r="A218" s="354" t="s">
        <v>236</v>
      </c>
      <c r="B218" s="349" t="s">
        <v>157</v>
      </c>
      <c r="C218" s="352"/>
      <c r="D218" s="352"/>
      <c r="E218" s="352"/>
      <c r="F218" s="295"/>
      <c r="G218" s="295"/>
      <c r="H218" s="295"/>
      <c r="I218" s="296"/>
      <c r="J218" s="296"/>
      <c r="K218" s="296"/>
      <c r="L218" s="296"/>
      <c r="M218" s="296"/>
      <c r="N218" s="252"/>
      <c r="O218" s="252"/>
      <c r="P218" s="252"/>
      <c r="Q218" s="253"/>
    </row>
    <row r="219" spans="1:17" s="3" customFormat="1" ht="25" customHeight="1" x14ac:dyDescent="0.25">
      <c r="A219" s="423">
        <v>2</v>
      </c>
      <c r="B219" s="423" t="s">
        <v>164</v>
      </c>
      <c r="C219" s="352"/>
      <c r="D219" s="352"/>
      <c r="E219" s="352"/>
      <c r="F219" s="295"/>
      <c r="G219" s="295"/>
      <c r="H219" s="295"/>
      <c r="I219" s="296"/>
      <c r="J219" s="296"/>
      <c r="K219" s="296"/>
      <c r="L219" s="296"/>
      <c r="M219" s="296"/>
      <c r="N219" s="252"/>
      <c r="O219" s="252"/>
      <c r="P219" s="252"/>
      <c r="Q219" s="253"/>
    </row>
    <row r="220" spans="1:17" s="3" customFormat="1" ht="25" customHeight="1" x14ac:dyDescent="0.25">
      <c r="A220" s="356" t="s">
        <v>147</v>
      </c>
      <c r="B220" s="357" t="s">
        <v>165</v>
      </c>
      <c r="C220" s="352"/>
      <c r="D220" s="352"/>
      <c r="E220" s="352"/>
      <c r="F220" s="254">
        <f>I220+J220+K220</f>
        <v>0</v>
      </c>
      <c r="G220" s="295">
        <v>25</v>
      </c>
      <c r="H220" s="249">
        <f>C220*D220*E220*G220</f>
        <v>0</v>
      </c>
      <c r="I220" s="251">
        <f>IF(G220&lt;70, C220*E220*16.5*1.5, C220*E220*16.5*1.5)</f>
        <v>0</v>
      </c>
      <c r="J220" s="296"/>
      <c r="K220" s="296"/>
      <c r="L220" s="296"/>
      <c r="M220" s="296"/>
      <c r="N220" s="252"/>
      <c r="O220" s="252"/>
      <c r="P220" s="252"/>
      <c r="Q220" s="253"/>
    </row>
    <row r="221" spans="1:17" s="3" customFormat="1" ht="25" customHeight="1" x14ac:dyDescent="0.25">
      <c r="A221" s="349" t="s">
        <v>226</v>
      </c>
      <c r="B221" s="350" t="s">
        <v>433</v>
      </c>
      <c r="C221" s="352">
        <v>3</v>
      </c>
      <c r="D221" s="352">
        <v>1</v>
      </c>
      <c r="E221" s="352">
        <v>3</v>
      </c>
      <c r="F221" s="254">
        <f>I221+J221+K221</f>
        <v>222.75</v>
      </c>
      <c r="G221" s="295">
        <v>15</v>
      </c>
      <c r="H221" s="249">
        <f>C221*D221*E221*G221</f>
        <v>135</v>
      </c>
      <c r="I221" s="251">
        <f>IF(G221&lt;70, C221*E221*16.5*1.5, C221*E221*16.5*1.5)</f>
        <v>222.75</v>
      </c>
      <c r="J221" s="296"/>
      <c r="K221" s="296"/>
      <c r="L221" s="296"/>
      <c r="M221" s="296"/>
      <c r="N221" s="252"/>
      <c r="O221" s="252"/>
      <c r="P221" s="252"/>
      <c r="Q221" s="253"/>
    </row>
    <row r="222" spans="1:17" s="3" customFormat="1" ht="25" customHeight="1" x14ac:dyDescent="0.25">
      <c r="A222" s="349" t="s">
        <v>227</v>
      </c>
      <c r="B222" s="350" t="s">
        <v>434</v>
      </c>
      <c r="C222" s="352">
        <v>3</v>
      </c>
      <c r="D222" s="352">
        <v>1</v>
      </c>
      <c r="E222" s="352">
        <v>1</v>
      </c>
      <c r="F222" s="254">
        <f>I222+J222+K222</f>
        <v>74.25</v>
      </c>
      <c r="G222" s="295">
        <v>25</v>
      </c>
      <c r="H222" s="249">
        <f>C222*D222*E222*G222</f>
        <v>75</v>
      </c>
      <c r="I222" s="251">
        <f>IF(G222&lt;70, C222*E222*16.5*1.5, C222*E222*16.5*1.5)</f>
        <v>74.25</v>
      </c>
      <c r="J222" s="296"/>
      <c r="K222" s="296"/>
      <c r="L222" s="296"/>
      <c r="M222" s="296"/>
      <c r="N222" s="252"/>
      <c r="O222" s="252"/>
      <c r="P222" s="252"/>
      <c r="Q222" s="253"/>
    </row>
    <row r="223" spans="1:17" s="3" customFormat="1" ht="25" customHeight="1" x14ac:dyDescent="0.25">
      <c r="A223" s="349"/>
      <c r="B223" s="350" t="s">
        <v>695</v>
      </c>
      <c r="C223" s="352">
        <v>3</v>
      </c>
      <c r="D223" s="352">
        <v>1</v>
      </c>
      <c r="E223" s="352">
        <v>1</v>
      </c>
      <c r="F223" s="295">
        <f>SUM(F220:F222)</f>
        <v>297</v>
      </c>
      <c r="G223" s="291">
        <f>SUM(G220:G222)</f>
        <v>65</v>
      </c>
      <c r="H223" s="291">
        <f>SUM(H220:H222)</f>
        <v>210</v>
      </c>
      <c r="I223" s="291">
        <f>SUM(I220:I222)</f>
        <v>297</v>
      </c>
      <c r="J223" s="296"/>
      <c r="K223" s="296"/>
      <c r="L223" s="296"/>
      <c r="M223" s="296"/>
      <c r="N223" s="252"/>
      <c r="O223" s="252"/>
      <c r="P223" s="252"/>
      <c r="Q223" s="253"/>
    </row>
    <row r="224" spans="1:17" s="3" customFormat="1" ht="25" customHeight="1" x14ac:dyDescent="0.25">
      <c r="A224" s="349" t="s">
        <v>228</v>
      </c>
      <c r="B224" s="350" t="s">
        <v>435</v>
      </c>
      <c r="C224" s="352">
        <v>3</v>
      </c>
      <c r="D224" s="352">
        <v>1</v>
      </c>
      <c r="E224" s="352">
        <v>3</v>
      </c>
      <c r="F224" s="295"/>
      <c r="G224" s="295"/>
      <c r="H224" s="295"/>
      <c r="I224" s="296"/>
      <c r="J224" s="296"/>
      <c r="K224" s="296"/>
      <c r="L224" s="296"/>
      <c r="M224" s="296"/>
      <c r="N224" s="252"/>
      <c r="O224" s="252"/>
      <c r="P224" s="252"/>
      <c r="Q224" s="253"/>
    </row>
    <row r="225" spans="1:17" s="3" customFormat="1" ht="25" customHeight="1" x14ac:dyDescent="0.25">
      <c r="A225" s="349"/>
      <c r="B225" s="389" t="s">
        <v>380</v>
      </c>
      <c r="C225" s="364">
        <f>SUM(C221:C224)</f>
        <v>12</v>
      </c>
      <c r="D225" s="364">
        <f>SUM(D221:D224)</f>
        <v>4</v>
      </c>
      <c r="E225" s="364">
        <f>SUM(E221:E224)</f>
        <v>8</v>
      </c>
      <c r="F225" s="295"/>
      <c r="G225" s="295"/>
      <c r="H225" s="295"/>
      <c r="I225" s="296"/>
      <c r="J225" s="296"/>
      <c r="K225" s="296"/>
      <c r="L225" s="296"/>
      <c r="M225" s="296"/>
      <c r="N225" s="252"/>
      <c r="O225" s="252"/>
      <c r="P225" s="252"/>
      <c r="Q225" s="253"/>
    </row>
    <row r="226" spans="1:17" s="3" customFormat="1" ht="25" customHeight="1" x14ac:dyDescent="0.25">
      <c r="A226" s="359" t="s">
        <v>148</v>
      </c>
      <c r="B226" s="360" t="s">
        <v>696</v>
      </c>
      <c r="C226" s="352"/>
      <c r="D226" s="352"/>
      <c r="E226" s="352"/>
      <c r="F226" s="295"/>
      <c r="G226" s="295"/>
      <c r="H226" s="295"/>
      <c r="I226" s="296"/>
      <c r="J226" s="296"/>
      <c r="K226" s="296"/>
      <c r="L226" s="296"/>
      <c r="M226" s="296"/>
      <c r="N226" s="252"/>
      <c r="O226" s="252"/>
      <c r="P226" s="252"/>
      <c r="Q226" s="253"/>
    </row>
    <row r="227" spans="1:17" s="3" customFormat="1" ht="25" customHeight="1" x14ac:dyDescent="0.25">
      <c r="A227" s="423">
        <v>3</v>
      </c>
      <c r="B227" s="423" t="s">
        <v>166</v>
      </c>
      <c r="C227" s="352"/>
      <c r="D227" s="352"/>
      <c r="E227" s="352"/>
      <c r="F227" s="295"/>
      <c r="G227" s="295"/>
      <c r="H227" s="295"/>
      <c r="I227" s="296"/>
      <c r="J227" s="296"/>
      <c r="K227" s="296"/>
      <c r="L227" s="296"/>
      <c r="M227" s="296"/>
      <c r="N227" s="252"/>
      <c r="O227" s="252"/>
      <c r="P227" s="252"/>
      <c r="Q227" s="253"/>
    </row>
    <row r="228" spans="1:17" s="3" customFormat="1" ht="25" customHeight="1" x14ac:dyDescent="0.25">
      <c r="A228" s="356" t="s">
        <v>147</v>
      </c>
      <c r="B228" s="357" t="s">
        <v>167</v>
      </c>
      <c r="C228" s="352"/>
      <c r="D228" s="352"/>
      <c r="E228" s="352"/>
      <c r="F228" s="295"/>
      <c r="G228" s="295"/>
      <c r="H228" s="295"/>
      <c r="I228" s="296"/>
      <c r="J228" s="296"/>
      <c r="K228" s="296"/>
      <c r="L228" s="296"/>
      <c r="M228" s="296"/>
      <c r="N228" s="252"/>
      <c r="O228" s="252"/>
      <c r="P228" s="252"/>
      <c r="Q228" s="253"/>
    </row>
    <row r="229" spans="1:17" s="3" customFormat="1" ht="25" customHeight="1" x14ac:dyDescent="0.25">
      <c r="A229" s="359" t="s">
        <v>148</v>
      </c>
      <c r="B229" s="360" t="s">
        <v>168</v>
      </c>
      <c r="C229" s="352"/>
      <c r="D229" s="352"/>
      <c r="E229" s="352"/>
      <c r="F229" s="295">
        <f>F224+F227+F228</f>
        <v>0</v>
      </c>
      <c r="G229" s="291">
        <f>G224+G227+G228</f>
        <v>0</v>
      </c>
      <c r="H229" s="291">
        <f>H224+H227+H228</f>
        <v>0</v>
      </c>
      <c r="I229" s="291">
        <f>I224+I227+I228</f>
        <v>0</v>
      </c>
      <c r="J229" s="296"/>
      <c r="K229" s="296"/>
      <c r="L229" s="296"/>
      <c r="M229" s="296"/>
      <c r="N229" s="252"/>
      <c r="O229" s="252"/>
      <c r="P229" s="252"/>
      <c r="Q229" s="253"/>
    </row>
    <row r="230" spans="1:17" s="3" customFormat="1" ht="25" customHeight="1" x14ac:dyDescent="0.25">
      <c r="A230" s="359" t="s">
        <v>169</v>
      </c>
      <c r="B230" s="360" t="s">
        <v>170</v>
      </c>
      <c r="C230" s="352"/>
      <c r="D230" s="352"/>
      <c r="E230" s="352"/>
      <c r="F230" s="295"/>
      <c r="G230" s="295"/>
      <c r="H230" s="295"/>
      <c r="I230" s="296"/>
      <c r="J230" s="296"/>
      <c r="K230" s="296"/>
      <c r="L230" s="296"/>
      <c r="M230" s="296"/>
      <c r="N230" s="252"/>
      <c r="O230" s="252"/>
      <c r="P230" s="252"/>
      <c r="Q230" s="253"/>
    </row>
    <row r="231" spans="1:17" s="3" customFormat="1" ht="25" customHeight="1" x14ac:dyDescent="0.25">
      <c r="A231" s="354"/>
      <c r="B231" s="361" t="s">
        <v>438</v>
      </c>
      <c r="C231" s="364">
        <f>C229+C230</f>
        <v>0</v>
      </c>
      <c r="D231" s="364">
        <f>D226+D229+D230</f>
        <v>0</v>
      </c>
      <c r="E231" s="364">
        <f>E226+E229+E230</f>
        <v>0</v>
      </c>
      <c r="F231" s="295"/>
      <c r="G231" s="295"/>
      <c r="H231" s="295"/>
      <c r="I231" s="296"/>
      <c r="J231" s="296"/>
      <c r="K231" s="296"/>
      <c r="L231" s="296"/>
      <c r="M231" s="296"/>
      <c r="N231" s="252"/>
      <c r="O231" s="252"/>
      <c r="P231" s="252"/>
      <c r="Q231" s="253"/>
    </row>
    <row r="232" spans="1:17" s="3" customFormat="1" ht="25" customHeight="1" x14ac:dyDescent="0.25">
      <c r="A232" s="423" t="s">
        <v>8</v>
      </c>
      <c r="B232" s="423" t="s">
        <v>224</v>
      </c>
      <c r="C232" s="352"/>
      <c r="D232" s="352"/>
      <c r="E232" s="352"/>
      <c r="F232" s="295"/>
      <c r="G232" s="295"/>
      <c r="H232" s="295"/>
      <c r="I232" s="296"/>
      <c r="J232" s="296"/>
      <c r="K232" s="296"/>
      <c r="L232" s="296"/>
      <c r="M232" s="296"/>
      <c r="N232" s="252"/>
      <c r="O232" s="252"/>
      <c r="P232" s="252"/>
      <c r="Q232" s="253"/>
    </row>
    <row r="233" spans="1:17" s="3" customFormat="1" ht="25" customHeight="1" x14ac:dyDescent="0.25">
      <c r="A233" s="423">
        <v>1</v>
      </c>
      <c r="B233" s="357" t="s">
        <v>225</v>
      </c>
      <c r="C233" s="352"/>
      <c r="D233" s="352"/>
      <c r="E233" s="352"/>
      <c r="F233" s="254">
        <f t="shared" ref="F233:F238" si="31">I233+J233+K233</f>
        <v>0</v>
      </c>
      <c r="G233" s="295">
        <v>60</v>
      </c>
      <c r="H233" s="249">
        <f t="shared" ref="H233:H238" si="32">C233*D233*E233*G233</f>
        <v>0</v>
      </c>
      <c r="I233" s="251">
        <f t="shared" ref="I233:I238" si="33">IF(G233&lt;70, C233*E233*16.5*1, C233*E233*16.5*1.3)</f>
        <v>0</v>
      </c>
      <c r="J233" s="296"/>
      <c r="K233" s="296"/>
      <c r="L233" s="296"/>
      <c r="M233" s="296"/>
      <c r="N233" s="252"/>
      <c r="O233" s="252"/>
      <c r="P233" s="252"/>
      <c r="Q233" s="253"/>
    </row>
    <row r="234" spans="1:17" s="3" customFormat="1" ht="25" customHeight="1" x14ac:dyDescent="0.25">
      <c r="A234" s="423" t="s">
        <v>147</v>
      </c>
      <c r="B234" s="357" t="s">
        <v>163</v>
      </c>
      <c r="C234" s="352"/>
      <c r="D234" s="352"/>
      <c r="E234" s="352"/>
      <c r="F234" s="254">
        <f t="shared" si="31"/>
        <v>0</v>
      </c>
      <c r="G234" s="295">
        <v>60</v>
      </c>
      <c r="H234" s="249">
        <f t="shared" si="32"/>
        <v>0</v>
      </c>
      <c r="I234" s="251">
        <f t="shared" si="33"/>
        <v>0</v>
      </c>
      <c r="J234" s="296"/>
      <c r="K234" s="296"/>
      <c r="L234" s="296"/>
      <c r="M234" s="296"/>
      <c r="N234" s="252"/>
      <c r="O234" s="252"/>
      <c r="P234" s="252"/>
      <c r="Q234" s="253"/>
    </row>
    <row r="235" spans="1:17" s="3" customFormat="1" ht="25" customHeight="1" x14ac:dyDescent="0.25">
      <c r="A235" s="354" t="s">
        <v>226</v>
      </c>
      <c r="B235" s="350" t="s">
        <v>697</v>
      </c>
      <c r="C235" s="352">
        <v>5</v>
      </c>
      <c r="D235" s="352">
        <v>1</v>
      </c>
      <c r="E235" s="352">
        <v>16</v>
      </c>
      <c r="F235" s="254">
        <f t="shared" si="31"/>
        <v>1320</v>
      </c>
      <c r="G235" s="295">
        <v>60</v>
      </c>
      <c r="H235" s="249">
        <f t="shared" si="32"/>
        <v>4800</v>
      </c>
      <c r="I235" s="251">
        <f t="shared" si="33"/>
        <v>1320</v>
      </c>
      <c r="J235" s="296"/>
      <c r="K235" s="296"/>
      <c r="L235" s="296"/>
      <c r="M235" s="296"/>
      <c r="N235" s="252"/>
      <c r="O235" s="252"/>
      <c r="P235" s="252"/>
      <c r="Q235" s="253"/>
    </row>
    <row r="236" spans="1:17" s="3" customFormat="1" ht="25" customHeight="1" x14ac:dyDescent="0.25">
      <c r="A236" s="354" t="s">
        <v>227</v>
      </c>
      <c r="B236" s="350" t="s">
        <v>436</v>
      </c>
      <c r="C236" s="352">
        <v>5</v>
      </c>
      <c r="D236" s="352">
        <v>1</v>
      </c>
      <c r="E236" s="352">
        <v>7</v>
      </c>
      <c r="F236" s="254">
        <f t="shared" si="31"/>
        <v>577.5</v>
      </c>
      <c r="G236" s="295">
        <v>60</v>
      </c>
      <c r="H236" s="249">
        <f t="shared" si="32"/>
        <v>2100</v>
      </c>
      <c r="I236" s="251">
        <f t="shared" si="33"/>
        <v>577.5</v>
      </c>
      <c r="J236" s="296"/>
      <c r="K236" s="296"/>
      <c r="L236" s="296"/>
      <c r="M236" s="296"/>
      <c r="N236" s="252"/>
      <c r="O236" s="252"/>
      <c r="P236" s="252"/>
      <c r="Q236" s="253"/>
    </row>
    <row r="237" spans="1:17" s="3" customFormat="1" ht="25" customHeight="1" x14ac:dyDescent="0.25">
      <c r="A237" s="354" t="s">
        <v>228</v>
      </c>
      <c r="B237" s="350" t="s">
        <v>425</v>
      </c>
      <c r="C237" s="352">
        <v>3</v>
      </c>
      <c r="D237" s="352">
        <v>1</v>
      </c>
      <c r="E237" s="352">
        <v>16</v>
      </c>
      <c r="F237" s="254">
        <f t="shared" si="31"/>
        <v>792</v>
      </c>
      <c r="G237" s="259">
        <v>50</v>
      </c>
      <c r="H237" s="249">
        <f t="shared" si="32"/>
        <v>2400</v>
      </c>
      <c r="I237" s="251">
        <f t="shared" si="33"/>
        <v>792</v>
      </c>
      <c r="J237" s="296"/>
      <c r="K237" s="296"/>
      <c r="L237" s="296"/>
      <c r="M237" s="296"/>
      <c r="N237" s="252"/>
      <c r="O237" s="252"/>
      <c r="P237" s="252"/>
      <c r="Q237" s="253"/>
    </row>
    <row r="238" spans="1:17" s="3" customFormat="1" ht="25" customHeight="1" x14ac:dyDescent="0.25">
      <c r="A238" s="354" t="s">
        <v>229</v>
      </c>
      <c r="B238" s="350" t="s">
        <v>437</v>
      </c>
      <c r="C238" s="352">
        <v>3</v>
      </c>
      <c r="D238" s="352">
        <v>1</v>
      </c>
      <c r="E238" s="352">
        <v>7</v>
      </c>
      <c r="F238" s="254">
        <f t="shared" si="31"/>
        <v>346.5</v>
      </c>
      <c r="G238" s="259">
        <v>50</v>
      </c>
      <c r="H238" s="249">
        <f t="shared" si="32"/>
        <v>1050</v>
      </c>
      <c r="I238" s="251">
        <f t="shared" si="33"/>
        <v>346.5</v>
      </c>
      <c r="J238" s="296"/>
      <c r="K238" s="296"/>
      <c r="L238" s="296"/>
      <c r="M238" s="296"/>
      <c r="N238" s="252"/>
      <c r="O238" s="252"/>
      <c r="P238" s="252"/>
      <c r="Q238" s="253"/>
    </row>
    <row r="239" spans="1:17" s="3" customFormat="1" ht="25" customHeight="1" x14ac:dyDescent="0.25">
      <c r="A239" s="354" t="s">
        <v>230</v>
      </c>
      <c r="B239" s="350" t="s">
        <v>505</v>
      </c>
      <c r="C239" s="352">
        <v>5</v>
      </c>
      <c r="D239" s="352">
        <v>1</v>
      </c>
      <c r="E239" s="352">
        <v>7</v>
      </c>
      <c r="F239" s="271">
        <f>SUM(F233:F238)</f>
        <v>3036</v>
      </c>
      <c r="G239" s="279">
        <f>SUM(G233:G238)</f>
        <v>340</v>
      </c>
      <c r="H239" s="279">
        <f>SUM(H233:H238)</f>
        <v>10350</v>
      </c>
      <c r="I239" s="279">
        <f>SUM(I233:I238)</f>
        <v>3036</v>
      </c>
      <c r="J239" s="252"/>
      <c r="K239" s="252"/>
      <c r="L239" s="252"/>
      <c r="M239" s="252"/>
      <c r="N239" s="252"/>
      <c r="O239" s="252"/>
      <c r="P239" s="252"/>
      <c r="Q239" s="253"/>
    </row>
    <row r="240" spans="1:17" s="3" customFormat="1" ht="25" customHeight="1" x14ac:dyDescent="0.25">
      <c r="A240" s="354" t="s">
        <v>231</v>
      </c>
      <c r="B240" s="350" t="s">
        <v>506</v>
      </c>
      <c r="C240" s="352">
        <v>5</v>
      </c>
      <c r="D240" s="352">
        <v>1</v>
      </c>
      <c r="E240" s="352">
        <v>16</v>
      </c>
      <c r="F240" s="317">
        <f>F211+F223+F229+F239</f>
        <v>5070.45</v>
      </c>
      <c r="G240" s="282">
        <f>G211+G223+G229+G239</f>
        <v>895</v>
      </c>
      <c r="H240" s="282">
        <f>H211+H223+H229+H239</f>
        <v>16230</v>
      </c>
      <c r="I240" s="282">
        <f>I211+I223+I229+I239</f>
        <v>5070.45</v>
      </c>
      <c r="J240" s="300">
        <v>0</v>
      </c>
      <c r="K240" s="301">
        <v>0</v>
      </c>
      <c r="L240" s="264">
        <f>'Bieu3 GDH'!F20</f>
        <v>1080</v>
      </c>
      <c r="M240" s="264">
        <f>'Bieu3 GDH'!N20</f>
        <v>1039.5</v>
      </c>
      <c r="N240" s="260">
        <f>I240-M240</f>
        <v>4030.95</v>
      </c>
      <c r="O240" s="264">
        <f>'Bieu3 GDH'!O20</f>
        <v>805.25</v>
      </c>
      <c r="P240" s="264">
        <f>'Bieu3 GDH'!P20</f>
        <v>370</v>
      </c>
      <c r="Q240" s="265"/>
    </row>
    <row r="241" spans="1:17" s="3" customFormat="1" ht="25" customHeight="1" x14ac:dyDescent="0.25">
      <c r="A241" s="354"/>
      <c r="B241" s="361" t="s">
        <v>380</v>
      </c>
      <c r="C241" s="364">
        <f>SUM(C235:C240)</f>
        <v>26</v>
      </c>
      <c r="D241" s="364">
        <f>SUM(D235:D240)</f>
        <v>6</v>
      </c>
      <c r="E241" s="364">
        <f>SUM(E235:E240)</f>
        <v>69</v>
      </c>
      <c r="F241" s="439"/>
      <c r="G241" s="438"/>
      <c r="H241" s="438"/>
      <c r="I241" s="438"/>
      <c r="J241" s="440"/>
      <c r="K241" s="441"/>
      <c r="L241" s="370"/>
      <c r="M241" s="370"/>
      <c r="N241" s="365"/>
      <c r="O241" s="370"/>
      <c r="P241" s="370"/>
      <c r="Q241" s="371"/>
    </row>
    <row r="242" spans="1:17" s="3" customFormat="1" ht="25" customHeight="1" x14ac:dyDescent="0.25">
      <c r="A242" s="393"/>
      <c r="B242" s="442" t="s">
        <v>439</v>
      </c>
      <c r="C242" s="388">
        <f>C4+C212+C225+C231+C241</f>
        <v>67</v>
      </c>
      <c r="D242" s="388">
        <f>D212+D225+D231+D241</f>
        <v>19</v>
      </c>
      <c r="E242" s="388">
        <f>E212+E225+E231+E241</f>
        <v>120</v>
      </c>
      <c r="F242" s="439"/>
      <c r="G242" s="438"/>
      <c r="H242" s="438"/>
      <c r="I242" s="438"/>
      <c r="J242" s="440"/>
      <c r="K242" s="441"/>
      <c r="L242" s="370"/>
      <c r="M242" s="370"/>
      <c r="N242" s="365"/>
      <c r="O242" s="370"/>
      <c r="P242" s="370"/>
      <c r="Q242" s="371"/>
    </row>
    <row r="243" spans="1:17" s="3" customFormat="1" ht="25" customHeight="1" x14ac:dyDescent="0.25">
      <c r="A243" s="242" t="s">
        <v>6</v>
      </c>
      <c r="B243" s="242" t="s">
        <v>483</v>
      </c>
      <c r="C243" s="243"/>
      <c r="D243" s="243"/>
      <c r="E243" s="243"/>
      <c r="F243" s="315"/>
      <c r="G243" s="243"/>
      <c r="H243" s="243"/>
      <c r="I243" s="243"/>
      <c r="J243" s="243"/>
      <c r="K243" s="283"/>
      <c r="L243" s="284"/>
      <c r="M243" s="257"/>
      <c r="N243" s="257"/>
      <c r="O243" s="257"/>
      <c r="P243" s="257"/>
      <c r="Q243" s="257"/>
    </row>
    <row r="244" spans="1:17" s="3" customFormat="1" ht="25" customHeight="1" x14ac:dyDescent="0.25">
      <c r="A244" s="242" t="s">
        <v>7</v>
      </c>
      <c r="B244" s="242" t="s">
        <v>223</v>
      </c>
      <c r="C244" s="243"/>
      <c r="D244" s="243"/>
      <c r="E244" s="243"/>
      <c r="F244" s="315"/>
      <c r="G244" s="243"/>
      <c r="H244" s="243"/>
      <c r="I244" s="243"/>
      <c r="J244" s="243"/>
      <c r="K244" s="283"/>
      <c r="L244" s="284"/>
      <c r="M244" s="257"/>
      <c r="N244" s="257"/>
      <c r="O244" s="257"/>
      <c r="P244" s="257"/>
      <c r="Q244" s="257"/>
    </row>
    <row r="245" spans="1:17" s="3" customFormat="1" ht="25" customHeight="1" x14ac:dyDescent="0.25">
      <c r="A245" s="242">
        <v>1</v>
      </c>
      <c r="B245" s="242" t="s">
        <v>4</v>
      </c>
      <c r="C245" s="243"/>
      <c r="D245" s="243"/>
      <c r="E245" s="243"/>
      <c r="F245" s="315"/>
      <c r="G245" s="243"/>
      <c r="H245" s="243"/>
      <c r="I245" s="243"/>
      <c r="J245" s="243"/>
      <c r="K245" s="283"/>
      <c r="L245" s="284"/>
      <c r="M245" s="257"/>
      <c r="N245" s="257"/>
      <c r="O245" s="257"/>
      <c r="P245" s="257"/>
      <c r="Q245" s="257"/>
    </row>
    <row r="246" spans="1:17" s="3" customFormat="1" ht="25" customHeight="1" x14ac:dyDescent="0.25">
      <c r="A246" s="244" t="s">
        <v>147</v>
      </c>
      <c r="B246" s="245" t="s">
        <v>161</v>
      </c>
      <c r="C246" s="246"/>
      <c r="D246" s="246"/>
      <c r="E246" s="246"/>
      <c r="F246" s="249"/>
      <c r="G246" s="246"/>
      <c r="H246" s="246"/>
      <c r="I246" s="247"/>
      <c r="J246" s="247"/>
      <c r="K246" s="283"/>
      <c r="L246" s="284"/>
      <c r="M246" s="257"/>
      <c r="N246" s="257"/>
      <c r="O246" s="257"/>
      <c r="P246" s="257"/>
      <c r="Q246" s="257"/>
    </row>
    <row r="247" spans="1:17" s="3" customFormat="1" ht="25" customHeight="1" x14ac:dyDescent="0.25">
      <c r="A247" s="358" t="s">
        <v>226</v>
      </c>
      <c r="B247" s="372" t="s">
        <v>440</v>
      </c>
      <c r="C247" s="352">
        <v>2</v>
      </c>
      <c r="D247" s="351">
        <v>1</v>
      </c>
      <c r="E247" s="352">
        <v>1</v>
      </c>
      <c r="F247" s="254">
        <f t="shared" ref="F247:F272" si="34">I247+J247+K247</f>
        <v>33</v>
      </c>
      <c r="G247" s="249">
        <v>40</v>
      </c>
      <c r="H247" s="249">
        <f t="shared" ref="H247:H271" si="35">C247*D247*E247*G247</f>
        <v>80</v>
      </c>
      <c r="I247" s="251">
        <f t="shared" ref="I247:I272" si="36">IF(G247&lt;70, C247*E247*16.5*1, C247*E247*16.5*1.3)</f>
        <v>33</v>
      </c>
      <c r="J247" s="247"/>
      <c r="K247" s="283"/>
      <c r="L247" s="284"/>
      <c r="M247" s="257"/>
      <c r="N247" s="257"/>
      <c r="O247" s="257"/>
      <c r="P247" s="257"/>
      <c r="Q247" s="257"/>
    </row>
    <row r="248" spans="1:17" s="3" customFormat="1" ht="25" customHeight="1" x14ac:dyDescent="0.25">
      <c r="A248" s="358" t="s">
        <v>227</v>
      </c>
      <c r="B248" s="390" t="s">
        <v>441</v>
      </c>
      <c r="C248" s="352">
        <v>3</v>
      </c>
      <c r="D248" s="352">
        <v>1</v>
      </c>
      <c r="E248" s="352">
        <v>1</v>
      </c>
      <c r="F248" s="254">
        <f t="shared" si="34"/>
        <v>49.5</v>
      </c>
      <c r="G248" s="249">
        <v>20</v>
      </c>
      <c r="H248" s="249">
        <f t="shared" si="35"/>
        <v>60</v>
      </c>
      <c r="I248" s="251">
        <f t="shared" si="36"/>
        <v>49.5</v>
      </c>
      <c r="J248" s="247"/>
      <c r="K248" s="283"/>
      <c r="L248" s="284"/>
      <c r="M248" s="257"/>
      <c r="N248" s="257"/>
      <c r="O248" s="257"/>
      <c r="P248" s="257"/>
      <c r="Q248" s="257"/>
    </row>
    <row r="249" spans="1:17" s="3" customFormat="1" ht="25" customHeight="1" x14ac:dyDescent="0.25">
      <c r="A249" s="358" t="s">
        <v>228</v>
      </c>
      <c r="B249" s="350" t="s">
        <v>442</v>
      </c>
      <c r="C249" s="352">
        <v>2</v>
      </c>
      <c r="D249" s="352">
        <v>1</v>
      </c>
      <c r="E249" s="352">
        <v>3</v>
      </c>
      <c r="F249" s="254">
        <f t="shared" si="34"/>
        <v>128.70000000000002</v>
      </c>
      <c r="G249" s="249">
        <v>80</v>
      </c>
      <c r="H249" s="249">
        <f t="shared" si="35"/>
        <v>480</v>
      </c>
      <c r="I249" s="251">
        <f t="shared" si="36"/>
        <v>128.70000000000002</v>
      </c>
      <c r="J249" s="252"/>
      <c r="K249" s="283"/>
      <c r="L249" s="284"/>
      <c r="M249" s="257"/>
      <c r="N249" s="257"/>
      <c r="O249" s="257"/>
      <c r="P249" s="257"/>
      <c r="Q249" s="257"/>
    </row>
    <row r="250" spans="1:17" s="3" customFormat="1" ht="25" customHeight="1" x14ac:dyDescent="0.25">
      <c r="A250" s="358" t="s">
        <v>229</v>
      </c>
      <c r="B250" s="372" t="s">
        <v>443</v>
      </c>
      <c r="C250" s="352">
        <v>3</v>
      </c>
      <c r="D250" s="352">
        <v>1</v>
      </c>
      <c r="E250" s="352">
        <v>1</v>
      </c>
      <c r="F250" s="254">
        <f t="shared" si="34"/>
        <v>64.350000000000009</v>
      </c>
      <c r="G250" s="249">
        <v>80</v>
      </c>
      <c r="H250" s="249">
        <f t="shared" si="35"/>
        <v>240</v>
      </c>
      <c r="I250" s="251">
        <f t="shared" si="36"/>
        <v>64.350000000000009</v>
      </c>
      <c r="J250" s="247"/>
      <c r="K250" s="283"/>
      <c r="L250" s="284"/>
      <c r="M250" s="257"/>
      <c r="N250" s="257"/>
      <c r="O250" s="257"/>
      <c r="P250" s="257"/>
      <c r="Q250" s="257"/>
    </row>
    <row r="251" spans="1:17" s="3" customFormat="1" ht="25" customHeight="1" x14ac:dyDescent="0.25">
      <c r="A251" s="358" t="s">
        <v>230</v>
      </c>
      <c r="B251" s="350" t="s">
        <v>442</v>
      </c>
      <c r="C251" s="352">
        <v>2</v>
      </c>
      <c r="D251" s="352">
        <v>1</v>
      </c>
      <c r="E251" s="352">
        <v>2</v>
      </c>
      <c r="F251" s="254">
        <f t="shared" si="34"/>
        <v>85.8</v>
      </c>
      <c r="G251" s="249">
        <v>80</v>
      </c>
      <c r="H251" s="249">
        <f t="shared" si="35"/>
        <v>320</v>
      </c>
      <c r="I251" s="251">
        <f t="shared" si="36"/>
        <v>85.8</v>
      </c>
      <c r="J251" s="247"/>
      <c r="K251" s="283"/>
      <c r="L251" s="284"/>
      <c r="M251" s="257"/>
      <c r="N251" s="257"/>
      <c r="O251" s="257"/>
      <c r="P251" s="257"/>
      <c r="Q251" s="257"/>
    </row>
    <row r="252" spans="1:17" s="3" customFormat="1" ht="25" customHeight="1" x14ac:dyDescent="0.25">
      <c r="A252" s="358" t="s">
        <v>231</v>
      </c>
      <c r="B252" s="372" t="s">
        <v>440</v>
      </c>
      <c r="C252" s="352">
        <v>2</v>
      </c>
      <c r="D252" s="352">
        <v>1</v>
      </c>
      <c r="E252" s="352">
        <v>1</v>
      </c>
      <c r="F252" s="254">
        <f t="shared" si="34"/>
        <v>42.9</v>
      </c>
      <c r="G252" s="249">
        <v>80</v>
      </c>
      <c r="H252" s="249">
        <f t="shared" si="35"/>
        <v>160</v>
      </c>
      <c r="I252" s="251">
        <f t="shared" si="36"/>
        <v>42.9</v>
      </c>
      <c r="J252" s="247"/>
      <c r="K252" s="283"/>
      <c r="L252" s="284"/>
      <c r="M252" s="257"/>
      <c r="N252" s="257"/>
      <c r="O252" s="257"/>
      <c r="P252" s="257"/>
      <c r="Q252" s="257"/>
    </row>
    <row r="253" spans="1:17" s="3" customFormat="1" ht="25" customHeight="1" x14ac:dyDescent="0.25">
      <c r="A253" s="358" t="s">
        <v>282</v>
      </c>
      <c r="B253" s="350" t="s">
        <v>444</v>
      </c>
      <c r="C253" s="351">
        <v>3</v>
      </c>
      <c r="D253" s="351">
        <v>1</v>
      </c>
      <c r="E253" s="351">
        <v>1</v>
      </c>
      <c r="F253" s="254">
        <f t="shared" si="34"/>
        <v>49.5</v>
      </c>
      <c r="G253" s="251">
        <v>40</v>
      </c>
      <c r="H253" s="249">
        <f t="shared" si="35"/>
        <v>120</v>
      </c>
      <c r="I253" s="251">
        <f t="shared" si="36"/>
        <v>49.5</v>
      </c>
      <c r="J253" s="247"/>
      <c r="K253" s="283"/>
      <c r="L253" s="284"/>
      <c r="M253" s="257"/>
      <c r="N253" s="257"/>
      <c r="O253" s="257"/>
      <c r="P253" s="257"/>
      <c r="Q253" s="257"/>
    </row>
    <row r="254" spans="1:17" s="3" customFormat="1" ht="25" customHeight="1" x14ac:dyDescent="0.25">
      <c r="A254" s="358" t="s">
        <v>283</v>
      </c>
      <c r="B254" s="350" t="s">
        <v>445</v>
      </c>
      <c r="C254" s="351">
        <v>2</v>
      </c>
      <c r="D254" s="351">
        <v>1</v>
      </c>
      <c r="E254" s="351">
        <v>1</v>
      </c>
      <c r="F254" s="254">
        <f t="shared" si="34"/>
        <v>33</v>
      </c>
      <c r="G254" s="251">
        <v>40</v>
      </c>
      <c r="H254" s="249">
        <f t="shared" si="35"/>
        <v>80</v>
      </c>
      <c r="I254" s="251">
        <f t="shared" si="36"/>
        <v>33</v>
      </c>
      <c r="J254" s="247"/>
      <c r="K254" s="283"/>
      <c r="L254" s="284"/>
      <c r="M254" s="257"/>
      <c r="N254" s="257"/>
      <c r="O254" s="257"/>
      <c r="P254" s="257"/>
      <c r="Q254" s="257"/>
    </row>
    <row r="255" spans="1:17" s="3" customFormat="1" ht="25" customHeight="1" x14ac:dyDescent="0.25">
      <c r="A255" s="358" t="s">
        <v>284</v>
      </c>
      <c r="B255" s="350" t="s">
        <v>446</v>
      </c>
      <c r="C255" s="351">
        <v>3</v>
      </c>
      <c r="D255" s="351">
        <v>1</v>
      </c>
      <c r="E255" s="351">
        <v>1</v>
      </c>
      <c r="F255" s="254">
        <f t="shared" si="34"/>
        <v>49.5</v>
      </c>
      <c r="G255" s="251">
        <v>30</v>
      </c>
      <c r="H255" s="249">
        <f t="shared" si="35"/>
        <v>90</v>
      </c>
      <c r="I255" s="251">
        <f t="shared" si="36"/>
        <v>49.5</v>
      </c>
      <c r="J255" s="247"/>
      <c r="K255" s="283"/>
      <c r="L255" s="284"/>
      <c r="M255" s="257"/>
      <c r="N255" s="257"/>
      <c r="O255" s="257"/>
      <c r="P255" s="257"/>
      <c r="Q255" s="257"/>
    </row>
    <row r="256" spans="1:17" s="3" customFormat="1" ht="25" customHeight="1" x14ac:dyDescent="0.25">
      <c r="A256" s="358" t="s">
        <v>285</v>
      </c>
      <c r="B256" s="350" t="s">
        <v>447</v>
      </c>
      <c r="C256" s="351">
        <v>4</v>
      </c>
      <c r="D256" s="351">
        <v>1</v>
      </c>
      <c r="E256" s="351">
        <v>1</v>
      </c>
      <c r="F256" s="254">
        <f t="shared" si="34"/>
        <v>66</v>
      </c>
      <c r="G256" s="251">
        <v>30</v>
      </c>
      <c r="H256" s="249">
        <f t="shared" si="35"/>
        <v>120</v>
      </c>
      <c r="I256" s="251">
        <f t="shared" si="36"/>
        <v>66</v>
      </c>
      <c r="J256" s="247"/>
      <c r="K256" s="283"/>
      <c r="L256" s="284"/>
      <c r="M256" s="257"/>
      <c r="N256" s="257"/>
      <c r="O256" s="257"/>
      <c r="P256" s="257"/>
      <c r="Q256" s="257"/>
    </row>
    <row r="257" spans="1:17" s="3" customFormat="1" ht="25" customHeight="1" x14ac:dyDescent="0.25">
      <c r="A257" s="358" t="s">
        <v>286</v>
      </c>
      <c r="B257" s="372" t="s">
        <v>440</v>
      </c>
      <c r="C257" s="351">
        <v>2</v>
      </c>
      <c r="D257" s="351">
        <v>1</v>
      </c>
      <c r="E257" s="351">
        <v>1</v>
      </c>
      <c r="F257" s="254">
        <f t="shared" si="34"/>
        <v>42.9</v>
      </c>
      <c r="G257" s="251">
        <v>80</v>
      </c>
      <c r="H257" s="249">
        <f t="shared" si="35"/>
        <v>160</v>
      </c>
      <c r="I257" s="251">
        <f t="shared" si="36"/>
        <v>42.9</v>
      </c>
      <c r="J257" s="247"/>
      <c r="K257" s="283"/>
      <c r="L257" s="284"/>
      <c r="M257" s="257"/>
      <c r="N257" s="257"/>
      <c r="O257" s="257"/>
      <c r="P257" s="257"/>
      <c r="Q257" s="257"/>
    </row>
    <row r="258" spans="1:17" s="3" customFormat="1" ht="25" customHeight="1" x14ac:dyDescent="0.25">
      <c r="A258" s="358" t="s">
        <v>289</v>
      </c>
      <c r="B258" s="350" t="s">
        <v>442</v>
      </c>
      <c r="C258" s="352">
        <v>2</v>
      </c>
      <c r="D258" s="352">
        <v>1</v>
      </c>
      <c r="E258" s="351">
        <v>1</v>
      </c>
      <c r="F258" s="254">
        <f t="shared" si="34"/>
        <v>42.9</v>
      </c>
      <c r="G258" s="249">
        <v>80</v>
      </c>
      <c r="H258" s="249">
        <f t="shared" si="35"/>
        <v>160</v>
      </c>
      <c r="I258" s="251">
        <f t="shared" si="36"/>
        <v>42.9</v>
      </c>
      <c r="J258" s="247"/>
      <c r="K258" s="283"/>
      <c r="L258" s="284"/>
      <c r="M258" s="257"/>
      <c r="N258" s="257"/>
      <c r="O258" s="257"/>
      <c r="P258" s="257"/>
      <c r="Q258" s="257"/>
    </row>
    <row r="259" spans="1:17" s="3" customFormat="1" ht="25" customHeight="1" x14ac:dyDescent="0.25">
      <c r="A259" s="358" t="s">
        <v>290</v>
      </c>
      <c r="B259" s="350" t="s">
        <v>448</v>
      </c>
      <c r="C259" s="352">
        <v>4</v>
      </c>
      <c r="D259" s="352">
        <v>1</v>
      </c>
      <c r="E259" s="352">
        <v>1</v>
      </c>
      <c r="F259" s="254">
        <f t="shared" si="34"/>
        <v>66</v>
      </c>
      <c r="G259" s="249">
        <v>30</v>
      </c>
      <c r="H259" s="249">
        <f t="shared" si="35"/>
        <v>120</v>
      </c>
      <c r="I259" s="251">
        <f t="shared" si="36"/>
        <v>66</v>
      </c>
      <c r="J259" s="247"/>
      <c r="K259" s="283"/>
      <c r="L259" s="284"/>
      <c r="M259" s="257"/>
      <c r="N259" s="257"/>
      <c r="O259" s="257"/>
      <c r="P259" s="257"/>
      <c r="Q259" s="257"/>
    </row>
    <row r="260" spans="1:17" s="3" customFormat="1" ht="25" customHeight="1" x14ac:dyDescent="0.25">
      <c r="A260" s="358" t="s">
        <v>291</v>
      </c>
      <c r="B260" s="350" t="s">
        <v>449</v>
      </c>
      <c r="C260" s="391">
        <v>4</v>
      </c>
      <c r="D260" s="376">
        <v>1</v>
      </c>
      <c r="E260" s="376">
        <v>1</v>
      </c>
      <c r="F260" s="254">
        <f t="shared" si="34"/>
        <v>66</v>
      </c>
      <c r="G260" s="322">
        <v>40</v>
      </c>
      <c r="H260" s="249">
        <f t="shared" si="35"/>
        <v>160</v>
      </c>
      <c r="I260" s="251">
        <f t="shared" si="36"/>
        <v>66</v>
      </c>
      <c r="J260" s="247"/>
      <c r="K260" s="283"/>
      <c r="L260" s="284"/>
      <c r="M260" s="257"/>
      <c r="N260" s="257"/>
      <c r="O260" s="257"/>
      <c r="P260" s="257"/>
      <c r="Q260" s="257"/>
    </row>
    <row r="261" spans="1:17" s="3" customFormat="1" ht="25" customHeight="1" x14ac:dyDescent="0.25">
      <c r="A261" s="358" t="s">
        <v>292</v>
      </c>
      <c r="B261" s="372" t="s">
        <v>440</v>
      </c>
      <c r="C261" s="391">
        <v>2</v>
      </c>
      <c r="D261" s="376">
        <v>1</v>
      </c>
      <c r="E261" s="376">
        <v>1</v>
      </c>
      <c r="F261" s="254">
        <f t="shared" si="34"/>
        <v>42.9</v>
      </c>
      <c r="G261" s="322">
        <v>89</v>
      </c>
      <c r="H261" s="249">
        <f t="shared" si="35"/>
        <v>178</v>
      </c>
      <c r="I261" s="251">
        <f t="shared" si="36"/>
        <v>42.9</v>
      </c>
      <c r="J261" s="247"/>
      <c r="K261" s="283"/>
      <c r="L261" s="284"/>
      <c r="M261" s="257"/>
      <c r="N261" s="257"/>
      <c r="O261" s="257"/>
      <c r="P261" s="257"/>
      <c r="Q261" s="257"/>
    </row>
    <row r="262" spans="1:17" s="3" customFormat="1" ht="25" customHeight="1" x14ac:dyDescent="0.25">
      <c r="A262" s="358" t="s">
        <v>394</v>
      </c>
      <c r="B262" s="350" t="s">
        <v>450</v>
      </c>
      <c r="C262" s="391">
        <v>3</v>
      </c>
      <c r="D262" s="376">
        <v>1</v>
      </c>
      <c r="E262" s="376">
        <v>1</v>
      </c>
      <c r="F262" s="254">
        <f t="shared" si="34"/>
        <v>49.5</v>
      </c>
      <c r="G262" s="322">
        <v>40</v>
      </c>
      <c r="H262" s="249">
        <f t="shared" si="35"/>
        <v>120</v>
      </c>
      <c r="I262" s="251">
        <f t="shared" si="36"/>
        <v>49.5</v>
      </c>
      <c r="J262" s="252"/>
      <c r="K262" s="283"/>
      <c r="L262" s="284"/>
      <c r="M262" s="257"/>
      <c r="N262" s="257"/>
      <c r="O262" s="257"/>
      <c r="P262" s="257"/>
      <c r="Q262" s="257"/>
    </row>
    <row r="263" spans="1:17" s="3" customFormat="1" ht="25" customHeight="1" x14ac:dyDescent="0.25">
      <c r="A263" s="358" t="s">
        <v>395</v>
      </c>
      <c r="B263" s="350" t="s">
        <v>442</v>
      </c>
      <c r="C263" s="352">
        <v>2</v>
      </c>
      <c r="D263" s="352">
        <v>1</v>
      </c>
      <c r="E263" s="352">
        <v>1</v>
      </c>
      <c r="F263" s="254">
        <f t="shared" si="34"/>
        <v>42.9</v>
      </c>
      <c r="G263" s="249">
        <v>80</v>
      </c>
      <c r="H263" s="249">
        <f t="shared" si="35"/>
        <v>160</v>
      </c>
      <c r="I263" s="251">
        <f t="shared" si="36"/>
        <v>42.9</v>
      </c>
      <c r="J263" s="252"/>
      <c r="K263" s="283"/>
      <c r="L263" s="284"/>
      <c r="M263" s="257"/>
      <c r="N263" s="257"/>
      <c r="O263" s="257"/>
      <c r="P263" s="257"/>
      <c r="Q263" s="257"/>
    </row>
    <row r="264" spans="1:17" s="3" customFormat="1" ht="25" customHeight="1" x14ac:dyDescent="0.25">
      <c r="A264" s="358" t="s">
        <v>396</v>
      </c>
      <c r="B264" s="375" t="s">
        <v>451</v>
      </c>
      <c r="C264" s="352">
        <v>2</v>
      </c>
      <c r="D264" s="352">
        <v>1</v>
      </c>
      <c r="E264" s="352">
        <v>1</v>
      </c>
      <c r="F264" s="254">
        <f t="shared" si="34"/>
        <v>33</v>
      </c>
      <c r="G264" s="249">
        <v>40</v>
      </c>
      <c r="H264" s="249">
        <f t="shared" si="35"/>
        <v>80</v>
      </c>
      <c r="I264" s="251">
        <f t="shared" si="36"/>
        <v>33</v>
      </c>
      <c r="J264" s="252"/>
      <c r="K264" s="283"/>
      <c r="L264" s="284"/>
      <c r="M264" s="257"/>
      <c r="N264" s="257"/>
      <c r="O264" s="257"/>
      <c r="P264" s="257"/>
      <c r="Q264" s="257"/>
    </row>
    <row r="265" spans="1:17" s="3" customFormat="1" ht="25" customHeight="1" x14ac:dyDescent="0.25">
      <c r="A265" s="358" t="s">
        <v>397</v>
      </c>
      <c r="B265" s="350" t="s">
        <v>452</v>
      </c>
      <c r="C265" s="352">
        <v>3</v>
      </c>
      <c r="D265" s="352">
        <v>1</v>
      </c>
      <c r="E265" s="352">
        <v>1</v>
      </c>
      <c r="F265" s="254">
        <f t="shared" si="34"/>
        <v>49.5</v>
      </c>
      <c r="G265" s="249">
        <v>40</v>
      </c>
      <c r="H265" s="249">
        <f t="shared" si="35"/>
        <v>120</v>
      </c>
      <c r="I265" s="251">
        <f t="shared" si="36"/>
        <v>49.5</v>
      </c>
      <c r="J265" s="252"/>
      <c r="K265" s="283"/>
      <c r="L265" s="284"/>
      <c r="M265" s="257"/>
      <c r="N265" s="257"/>
      <c r="O265" s="257"/>
      <c r="P265" s="257"/>
      <c r="Q265" s="257"/>
    </row>
    <row r="266" spans="1:17" s="3" customFormat="1" ht="25" customHeight="1" x14ac:dyDescent="0.25">
      <c r="A266" s="358" t="s">
        <v>398</v>
      </c>
      <c r="B266" s="350" t="s">
        <v>453</v>
      </c>
      <c r="C266" s="352">
        <v>2</v>
      </c>
      <c r="D266" s="352">
        <v>1</v>
      </c>
      <c r="E266" s="352">
        <v>1</v>
      </c>
      <c r="F266" s="254">
        <f t="shared" si="34"/>
        <v>42.9</v>
      </c>
      <c r="G266" s="249">
        <v>80</v>
      </c>
      <c r="H266" s="249">
        <f t="shared" si="35"/>
        <v>160</v>
      </c>
      <c r="I266" s="251">
        <f t="shared" si="36"/>
        <v>42.9</v>
      </c>
      <c r="J266" s="252"/>
      <c r="K266" s="283"/>
      <c r="L266" s="284"/>
      <c r="M266" s="257"/>
      <c r="N266" s="257"/>
      <c r="O266" s="257"/>
      <c r="P266" s="257"/>
      <c r="Q266" s="257"/>
    </row>
    <row r="267" spans="1:17" s="3" customFormat="1" ht="25" customHeight="1" x14ac:dyDescent="0.25">
      <c r="A267" s="358" t="s">
        <v>399</v>
      </c>
      <c r="B267" s="350" t="s">
        <v>445</v>
      </c>
      <c r="C267" s="351">
        <v>2</v>
      </c>
      <c r="D267" s="377">
        <v>1</v>
      </c>
      <c r="E267" s="377">
        <v>1</v>
      </c>
      <c r="F267" s="254">
        <f t="shared" si="34"/>
        <v>33</v>
      </c>
      <c r="G267" s="255">
        <v>40</v>
      </c>
      <c r="H267" s="249">
        <f t="shared" si="35"/>
        <v>80</v>
      </c>
      <c r="I267" s="251">
        <f t="shared" si="36"/>
        <v>33</v>
      </c>
      <c r="J267" s="252"/>
      <c r="K267" s="283"/>
      <c r="L267" s="284"/>
      <c r="M267" s="257"/>
      <c r="N267" s="257"/>
      <c r="O267" s="257"/>
      <c r="P267" s="257"/>
      <c r="Q267" s="257"/>
    </row>
    <row r="268" spans="1:17" s="3" customFormat="1" ht="25" customHeight="1" x14ac:dyDescent="0.25">
      <c r="A268" s="358" t="s">
        <v>400</v>
      </c>
      <c r="B268" s="350" t="s">
        <v>453</v>
      </c>
      <c r="C268" s="352">
        <v>2</v>
      </c>
      <c r="D268" s="352">
        <v>1.3</v>
      </c>
      <c r="E268" s="352">
        <v>1</v>
      </c>
      <c r="F268" s="254">
        <f t="shared" si="34"/>
        <v>33</v>
      </c>
      <c r="G268" s="249">
        <v>40</v>
      </c>
      <c r="H268" s="249">
        <f t="shared" si="35"/>
        <v>104</v>
      </c>
      <c r="I268" s="251">
        <f t="shared" si="36"/>
        <v>33</v>
      </c>
      <c r="J268" s="252"/>
      <c r="K268" s="283"/>
      <c r="L268" s="284"/>
      <c r="M268" s="257"/>
      <c r="N268" s="257"/>
      <c r="O268" s="257"/>
      <c r="P268" s="257"/>
      <c r="Q268" s="257"/>
    </row>
    <row r="269" spans="1:17" s="3" customFormat="1" ht="25" customHeight="1" x14ac:dyDescent="0.25">
      <c r="A269" s="358" t="s">
        <v>401</v>
      </c>
      <c r="B269" s="350" t="s">
        <v>454</v>
      </c>
      <c r="C269" s="352">
        <v>4</v>
      </c>
      <c r="D269" s="352">
        <v>1</v>
      </c>
      <c r="E269" s="352">
        <v>1</v>
      </c>
      <c r="F269" s="254">
        <f t="shared" si="34"/>
        <v>66</v>
      </c>
      <c r="G269" s="249">
        <v>40</v>
      </c>
      <c r="H269" s="249">
        <f t="shared" si="35"/>
        <v>160</v>
      </c>
      <c r="I269" s="251">
        <f t="shared" si="36"/>
        <v>66</v>
      </c>
      <c r="J269" s="252"/>
      <c r="K269" s="283"/>
      <c r="L269" s="284"/>
      <c r="M269" s="257"/>
      <c r="N269" s="257"/>
      <c r="O269" s="257"/>
      <c r="P269" s="257"/>
      <c r="Q269" s="257"/>
    </row>
    <row r="270" spans="1:17" s="3" customFormat="1" ht="25" customHeight="1" x14ac:dyDescent="0.25">
      <c r="A270" s="358" t="s">
        <v>402</v>
      </c>
      <c r="B270" s="350" t="s">
        <v>455</v>
      </c>
      <c r="C270" s="352">
        <v>4</v>
      </c>
      <c r="D270" s="352">
        <v>1</v>
      </c>
      <c r="E270" s="352">
        <v>1</v>
      </c>
      <c r="F270" s="254">
        <f t="shared" si="34"/>
        <v>66</v>
      </c>
      <c r="G270" s="249">
        <v>40</v>
      </c>
      <c r="H270" s="249">
        <f t="shared" si="35"/>
        <v>160</v>
      </c>
      <c r="I270" s="251">
        <f t="shared" si="36"/>
        <v>66</v>
      </c>
      <c r="J270" s="252"/>
      <c r="K270" s="283"/>
      <c r="L270" s="284"/>
      <c r="M270" s="257"/>
      <c r="N270" s="257"/>
      <c r="O270" s="257"/>
      <c r="P270" s="257"/>
      <c r="Q270" s="257"/>
    </row>
    <row r="271" spans="1:17" s="3" customFormat="1" ht="25" customHeight="1" x14ac:dyDescent="0.25">
      <c r="A271" s="358" t="s">
        <v>403</v>
      </c>
      <c r="B271" s="350" t="s">
        <v>456</v>
      </c>
      <c r="C271" s="352">
        <v>3</v>
      </c>
      <c r="D271" s="352">
        <v>1</v>
      </c>
      <c r="E271" s="352">
        <v>1</v>
      </c>
      <c r="F271" s="254">
        <f t="shared" si="34"/>
        <v>49.5</v>
      </c>
      <c r="G271" s="249">
        <v>40</v>
      </c>
      <c r="H271" s="249">
        <f t="shared" si="35"/>
        <v>120</v>
      </c>
      <c r="I271" s="251">
        <f t="shared" si="36"/>
        <v>49.5</v>
      </c>
      <c r="J271" s="252"/>
      <c r="K271" s="283"/>
      <c r="L271" s="284"/>
      <c r="M271" s="257"/>
      <c r="N271" s="257"/>
      <c r="O271" s="257"/>
      <c r="P271" s="257"/>
      <c r="Q271" s="257"/>
    </row>
    <row r="272" spans="1:17" s="3" customFormat="1" ht="25" customHeight="1" x14ac:dyDescent="0.25">
      <c r="A272" s="358" t="s">
        <v>404</v>
      </c>
      <c r="B272" s="350" t="s">
        <v>457</v>
      </c>
      <c r="C272" s="352">
        <v>1</v>
      </c>
      <c r="D272" s="352">
        <v>1.3</v>
      </c>
      <c r="E272" s="352">
        <v>1</v>
      </c>
      <c r="F272" s="254">
        <f t="shared" si="34"/>
        <v>16.5</v>
      </c>
      <c r="G272" s="249">
        <v>40</v>
      </c>
      <c r="H272" s="249">
        <f>C272*D272*E272*G272</f>
        <v>52</v>
      </c>
      <c r="I272" s="251">
        <f t="shared" si="36"/>
        <v>16.5</v>
      </c>
      <c r="J272" s="252"/>
      <c r="K272" s="283"/>
      <c r="L272" s="284"/>
      <c r="M272" s="257"/>
      <c r="N272" s="257"/>
      <c r="O272" s="257"/>
      <c r="P272" s="257"/>
      <c r="Q272" s="257"/>
    </row>
    <row r="273" spans="1:17" s="3" customFormat="1" ht="25" customHeight="1" x14ac:dyDescent="0.25">
      <c r="A273" s="349"/>
      <c r="B273" s="392" t="s">
        <v>380</v>
      </c>
      <c r="C273" s="351">
        <f t="shared" ref="C273:I273" si="37">SUM(C247:C272)</f>
        <v>68</v>
      </c>
      <c r="D273" s="351">
        <f t="shared" si="37"/>
        <v>26.6</v>
      </c>
      <c r="E273" s="351">
        <f t="shared" si="37"/>
        <v>29</v>
      </c>
      <c r="F273" s="269">
        <f t="shared" si="37"/>
        <v>1344.75</v>
      </c>
      <c r="G273" s="269">
        <f t="shared" si="37"/>
        <v>1359</v>
      </c>
      <c r="H273" s="269">
        <f t="shared" si="37"/>
        <v>3844</v>
      </c>
      <c r="I273" s="269">
        <f t="shared" si="37"/>
        <v>1344.75</v>
      </c>
      <c r="J273" s="252"/>
      <c r="K273" s="283"/>
      <c r="L273" s="284"/>
      <c r="M273" s="257"/>
      <c r="N273" s="257"/>
      <c r="O273" s="257"/>
      <c r="P273" s="257"/>
      <c r="Q273" s="257"/>
    </row>
    <row r="274" spans="1:17" s="3" customFormat="1" ht="25" customHeight="1" x14ac:dyDescent="0.25">
      <c r="A274" s="359" t="s">
        <v>148</v>
      </c>
      <c r="B274" s="360" t="s">
        <v>151</v>
      </c>
      <c r="C274" s="352"/>
      <c r="D274" s="352"/>
      <c r="E274" s="352"/>
      <c r="F274" s="249"/>
      <c r="G274" s="249"/>
      <c r="H274" s="249"/>
      <c r="I274" s="252"/>
      <c r="J274" s="252"/>
      <c r="K274" s="283"/>
      <c r="L274" s="284"/>
      <c r="M274" s="257"/>
      <c r="N274" s="257"/>
      <c r="O274" s="257"/>
      <c r="P274" s="257"/>
      <c r="Q274" s="257"/>
    </row>
    <row r="275" spans="1:17" s="3" customFormat="1" ht="25" customHeight="1" x14ac:dyDescent="0.25">
      <c r="A275" s="354" t="s">
        <v>232</v>
      </c>
      <c r="B275" s="349" t="s">
        <v>154</v>
      </c>
      <c r="C275" s="352"/>
      <c r="D275" s="352"/>
      <c r="E275" s="352"/>
      <c r="F275" s="249"/>
      <c r="G275" s="249"/>
      <c r="H275" s="249"/>
      <c r="I275" s="252"/>
      <c r="J275" s="252"/>
      <c r="K275" s="283"/>
      <c r="L275" s="284"/>
      <c r="M275" s="257"/>
      <c r="N275" s="257"/>
      <c r="O275" s="257"/>
      <c r="P275" s="257"/>
      <c r="Q275" s="257"/>
    </row>
    <row r="276" spans="1:17" s="3" customFormat="1" ht="25" customHeight="1" x14ac:dyDescent="0.25">
      <c r="A276" s="354" t="s">
        <v>233</v>
      </c>
      <c r="B276" s="349" t="s">
        <v>153</v>
      </c>
      <c r="C276" s="352"/>
      <c r="D276" s="352"/>
      <c r="E276" s="352"/>
      <c r="F276" s="249"/>
      <c r="G276" s="249"/>
      <c r="H276" s="249"/>
      <c r="I276" s="252"/>
      <c r="J276" s="252"/>
      <c r="K276" s="283"/>
      <c r="L276" s="284"/>
      <c r="M276" s="257"/>
      <c r="N276" s="257"/>
      <c r="O276" s="257"/>
      <c r="P276" s="257"/>
      <c r="Q276" s="257"/>
    </row>
    <row r="277" spans="1:17" s="3" customFormat="1" ht="25" customHeight="1" x14ac:dyDescent="0.25">
      <c r="A277" s="393" t="s">
        <v>234</v>
      </c>
      <c r="B277" s="394" t="s">
        <v>155</v>
      </c>
      <c r="C277" s="395">
        <v>5</v>
      </c>
      <c r="D277" s="395" t="s">
        <v>665</v>
      </c>
      <c r="E277" s="395">
        <v>21</v>
      </c>
      <c r="F277" s="249"/>
      <c r="G277" s="249"/>
      <c r="H277" s="249"/>
      <c r="I277" s="252"/>
      <c r="J277" s="252"/>
      <c r="K277" s="283"/>
      <c r="L277" s="284"/>
      <c r="M277" s="257"/>
      <c r="N277" s="257"/>
      <c r="O277" s="257"/>
      <c r="P277" s="257"/>
      <c r="Q277" s="257"/>
    </row>
    <row r="278" spans="1:17" s="3" customFormat="1" ht="25" customHeight="1" x14ac:dyDescent="0.25">
      <c r="A278" s="393" t="s">
        <v>235</v>
      </c>
      <c r="B278" s="394" t="s">
        <v>156</v>
      </c>
      <c r="C278" s="395">
        <v>5</v>
      </c>
      <c r="D278" s="395" t="s">
        <v>665</v>
      </c>
      <c r="E278" s="395">
        <v>21</v>
      </c>
      <c r="F278" s="249"/>
      <c r="G278" s="249"/>
      <c r="H278" s="249"/>
      <c r="I278" s="252"/>
      <c r="J278" s="252"/>
      <c r="K278" s="283"/>
      <c r="L278" s="284"/>
      <c r="M278" s="257"/>
      <c r="N278" s="257"/>
      <c r="O278" s="257"/>
      <c r="P278" s="257"/>
      <c r="Q278" s="257"/>
    </row>
    <row r="279" spans="1:17" s="3" customFormat="1" ht="25" customHeight="1" x14ac:dyDescent="0.25">
      <c r="A279" s="354" t="s">
        <v>236</v>
      </c>
      <c r="B279" s="349" t="s">
        <v>157</v>
      </c>
      <c r="C279" s="352"/>
      <c r="D279" s="352"/>
      <c r="E279" s="352"/>
      <c r="F279" s="249"/>
      <c r="G279" s="249"/>
      <c r="H279" s="249"/>
      <c r="I279" s="252"/>
      <c r="J279" s="252"/>
      <c r="K279" s="283"/>
      <c r="L279" s="284"/>
      <c r="M279" s="257"/>
      <c r="N279" s="257"/>
      <c r="O279" s="257"/>
      <c r="P279" s="257"/>
      <c r="Q279" s="257"/>
    </row>
    <row r="280" spans="1:17" s="3" customFormat="1" ht="25" customHeight="1" x14ac:dyDescent="0.25">
      <c r="A280" s="385">
        <v>2</v>
      </c>
      <c r="B280" s="385" t="s">
        <v>164</v>
      </c>
      <c r="C280" s="352"/>
      <c r="D280" s="352"/>
      <c r="E280" s="352"/>
      <c r="F280" s="249"/>
      <c r="G280" s="249"/>
      <c r="H280" s="249"/>
      <c r="I280" s="252"/>
      <c r="J280" s="252"/>
      <c r="K280" s="283"/>
      <c r="L280" s="284"/>
      <c r="M280" s="257"/>
      <c r="N280" s="257"/>
      <c r="O280" s="257"/>
      <c r="P280" s="257"/>
      <c r="Q280" s="257"/>
    </row>
    <row r="281" spans="1:17" s="3" customFormat="1" ht="25" customHeight="1" x14ac:dyDescent="0.25">
      <c r="A281" s="356" t="s">
        <v>147</v>
      </c>
      <c r="B281" s="357" t="s">
        <v>165</v>
      </c>
      <c r="C281" s="352"/>
      <c r="D281" s="352"/>
      <c r="E281" s="352"/>
      <c r="F281" s="249"/>
      <c r="G281" s="249"/>
      <c r="H281" s="249"/>
      <c r="I281" s="252"/>
      <c r="J281" s="252"/>
      <c r="K281" s="283"/>
      <c r="L281" s="284"/>
      <c r="M281" s="257"/>
      <c r="N281" s="257"/>
      <c r="O281" s="257"/>
      <c r="P281" s="257"/>
      <c r="Q281" s="257"/>
    </row>
    <row r="282" spans="1:17" s="3" customFormat="1" ht="25" customHeight="1" x14ac:dyDescent="0.25">
      <c r="A282" s="349" t="s">
        <v>226</v>
      </c>
      <c r="B282" s="350" t="s">
        <v>458</v>
      </c>
      <c r="C282" s="352">
        <v>3</v>
      </c>
      <c r="D282" s="352">
        <v>1</v>
      </c>
      <c r="E282" s="352">
        <v>6</v>
      </c>
      <c r="F282" s="254">
        <f t="shared" ref="F282:F294" si="38">I282+J282+K282</f>
        <v>445.5</v>
      </c>
      <c r="G282" s="249">
        <v>30</v>
      </c>
      <c r="H282" s="249">
        <f t="shared" ref="H282:H294" si="39">C282*D282*E282*G282</f>
        <v>540</v>
      </c>
      <c r="I282" s="251">
        <f>IF(G282&lt;70, C282*E282*16.5*1.5, C282*E282*16.5*1.5)</f>
        <v>445.5</v>
      </c>
      <c r="J282" s="252"/>
      <c r="K282" s="283"/>
      <c r="L282" s="284"/>
      <c r="M282" s="257"/>
      <c r="N282" s="257"/>
      <c r="O282" s="257"/>
      <c r="P282" s="257"/>
      <c r="Q282" s="257"/>
    </row>
    <row r="283" spans="1:17" s="3" customFormat="1" ht="25" customHeight="1" x14ac:dyDescent="0.25">
      <c r="A283" s="349" t="s">
        <v>227</v>
      </c>
      <c r="B283" s="350" t="s">
        <v>459</v>
      </c>
      <c r="C283" s="352">
        <v>3</v>
      </c>
      <c r="D283" s="352">
        <v>1</v>
      </c>
      <c r="E283" s="352">
        <v>6</v>
      </c>
      <c r="F283" s="254">
        <f t="shared" si="38"/>
        <v>445.5</v>
      </c>
      <c r="G283" s="249">
        <v>30</v>
      </c>
      <c r="H283" s="249">
        <f t="shared" si="39"/>
        <v>540</v>
      </c>
      <c r="I283" s="251">
        <f t="shared" ref="I283:I289" si="40">IF(G283&lt;70, C283*E283*16.5*1.5, C283*E283*16.5*1.5)</f>
        <v>445.5</v>
      </c>
      <c r="J283" s="252"/>
      <c r="K283" s="283"/>
      <c r="L283" s="284"/>
      <c r="M283" s="257"/>
      <c r="N283" s="257"/>
      <c r="O283" s="257"/>
      <c r="P283" s="257"/>
      <c r="Q283" s="257"/>
    </row>
    <row r="284" spans="1:17" s="3" customFormat="1" ht="25" customHeight="1" x14ac:dyDescent="0.25">
      <c r="A284" s="349" t="s">
        <v>228</v>
      </c>
      <c r="B284" s="350" t="s">
        <v>460</v>
      </c>
      <c r="C284" s="352">
        <v>3</v>
      </c>
      <c r="D284" s="352">
        <v>1</v>
      </c>
      <c r="E284" s="352">
        <v>1</v>
      </c>
      <c r="F284" s="254">
        <f t="shared" si="38"/>
        <v>74.25</v>
      </c>
      <c r="G284" s="249">
        <v>30</v>
      </c>
      <c r="H284" s="249">
        <f t="shared" si="39"/>
        <v>90</v>
      </c>
      <c r="I284" s="251">
        <f t="shared" si="40"/>
        <v>74.25</v>
      </c>
      <c r="J284" s="252"/>
      <c r="K284" s="283"/>
      <c r="L284" s="284"/>
      <c r="M284" s="257"/>
      <c r="N284" s="257"/>
      <c r="O284" s="257"/>
      <c r="P284" s="257"/>
      <c r="Q284" s="257"/>
    </row>
    <row r="285" spans="1:17" s="3" customFormat="1" ht="25" customHeight="1" x14ac:dyDescent="0.25">
      <c r="A285" s="349" t="s">
        <v>229</v>
      </c>
      <c r="B285" s="350" t="s">
        <v>461</v>
      </c>
      <c r="C285" s="352">
        <v>3</v>
      </c>
      <c r="D285" s="352">
        <v>1</v>
      </c>
      <c r="E285" s="352">
        <v>1</v>
      </c>
      <c r="F285" s="254">
        <f t="shared" si="38"/>
        <v>74.25</v>
      </c>
      <c r="G285" s="249">
        <v>30</v>
      </c>
      <c r="H285" s="249">
        <f t="shared" si="39"/>
        <v>90</v>
      </c>
      <c r="I285" s="251">
        <f t="shared" si="40"/>
        <v>74.25</v>
      </c>
      <c r="J285" s="252"/>
      <c r="K285" s="283"/>
      <c r="L285" s="284"/>
      <c r="M285" s="257"/>
      <c r="N285" s="257"/>
      <c r="O285" s="257"/>
      <c r="P285" s="257"/>
      <c r="Q285" s="257"/>
    </row>
    <row r="286" spans="1:17" s="3" customFormat="1" ht="25" customHeight="1" x14ac:dyDescent="0.25">
      <c r="A286" s="349" t="s">
        <v>230</v>
      </c>
      <c r="B286" s="353" t="s">
        <v>462</v>
      </c>
      <c r="C286" s="352">
        <v>3</v>
      </c>
      <c r="D286" s="352">
        <v>1</v>
      </c>
      <c r="E286" s="352">
        <v>6</v>
      </c>
      <c r="F286" s="254">
        <f t="shared" si="38"/>
        <v>445.5</v>
      </c>
      <c r="G286" s="249">
        <v>30</v>
      </c>
      <c r="H286" s="249">
        <f t="shared" si="39"/>
        <v>540</v>
      </c>
      <c r="I286" s="251">
        <f t="shared" si="40"/>
        <v>445.5</v>
      </c>
      <c r="J286" s="252"/>
      <c r="K286" s="283"/>
      <c r="L286" s="284"/>
      <c r="M286" s="257"/>
      <c r="N286" s="257"/>
      <c r="O286" s="257"/>
      <c r="P286" s="257"/>
      <c r="Q286" s="257"/>
    </row>
    <row r="287" spans="1:17" s="3" customFormat="1" ht="25" customHeight="1" x14ac:dyDescent="0.25">
      <c r="A287" s="349" t="s">
        <v>231</v>
      </c>
      <c r="B287" s="353" t="s">
        <v>463</v>
      </c>
      <c r="C287" s="352">
        <v>3</v>
      </c>
      <c r="D287" s="352">
        <v>1</v>
      </c>
      <c r="E287" s="352">
        <v>6</v>
      </c>
      <c r="F287" s="254">
        <f t="shared" si="38"/>
        <v>445.5</v>
      </c>
      <c r="G287" s="249">
        <v>30</v>
      </c>
      <c r="H287" s="249">
        <f t="shared" si="39"/>
        <v>540</v>
      </c>
      <c r="I287" s="251">
        <f t="shared" si="40"/>
        <v>445.5</v>
      </c>
      <c r="J287" s="252"/>
      <c r="K287" s="256"/>
      <c r="L287" s="245"/>
      <c r="M287" s="302"/>
      <c r="N287" s="302"/>
      <c r="O287" s="302"/>
      <c r="P287" s="302"/>
      <c r="Q287" s="302"/>
    </row>
    <row r="288" spans="1:17" s="3" customFormat="1" ht="25" customHeight="1" x14ac:dyDescent="0.25">
      <c r="A288" s="349" t="s">
        <v>282</v>
      </c>
      <c r="B288" s="353" t="s">
        <v>464</v>
      </c>
      <c r="C288" s="352">
        <v>3</v>
      </c>
      <c r="D288" s="352">
        <v>1</v>
      </c>
      <c r="E288" s="352">
        <v>1</v>
      </c>
      <c r="F288" s="254">
        <f t="shared" si="38"/>
        <v>74.25</v>
      </c>
      <c r="G288" s="249">
        <v>30</v>
      </c>
      <c r="H288" s="249">
        <f t="shared" si="39"/>
        <v>90</v>
      </c>
      <c r="I288" s="251">
        <f t="shared" si="40"/>
        <v>74.25</v>
      </c>
      <c r="J288" s="252"/>
      <c r="K288" s="242"/>
      <c r="L288" s="242"/>
      <c r="M288" s="302"/>
      <c r="N288" s="302"/>
      <c r="O288" s="302"/>
      <c r="P288" s="302"/>
      <c r="Q288" s="302"/>
    </row>
    <row r="289" spans="1:17" s="3" customFormat="1" ht="25" customHeight="1" x14ac:dyDescent="0.25">
      <c r="A289" s="349" t="s">
        <v>283</v>
      </c>
      <c r="B289" s="353" t="s">
        <v>465</v>
      </c>
      <c r="C289" s="352">
        <v>3</v>
      </c>
      <c r="D289" s="352">
        <v>1</v>
      </c>
      <c r="E289" s="352">
        <v>1</v>
      </c>
      <c r="F289" s="254">
        <f t="shared" si="38"/>
        <v>74.25</v>
      </c>
      <c r="G289" s="249">
        <v>30</v>
      </c>
      <c r="H289" s="249">
        <f t="shared" si="39"/>
        <v>90</v>
      </c>
      <c r="I289" s="251">
        <f t="shared" si="40"/>
        <v>74.25</v>
      </c>
      <c r="J289" s="252"/>
      <c r="K289" s="256"/>
      <c r="L289" s="242"/>
      <c r="M289" s="302"/>
      <c r="N289" s="302"/>
      <c r="O289" s="302"/>
      <c r="P289" s="302"/>
      <c r="Q289" s="302"/>
    </row>
    <row r="290" spans="1:17" s="3" customFormat="1" ht="25" customHeight="1" x14ac:dyDescent="0.25">
      <c r="A290" s="349" t="s">
        <v>284</v>
      </c>
      <c r="B290" s="353" t="s">
        <v>466</v>
      </c>
      <c r="C290" s="352">
        <v>3</v>
      </c>
      <c r="D290" s="352">
        <v>1</v>
      </c>
      <c r="E290" s="352">
        <v>6</v>
      </c>
      <c r="F290" s="254">
        <f t="shared" si="38"/>
        <v>445.5</v>
      </c>
      <c r="G290" s="249">
        <v>30</v>
      </c>
      <c r="H290" s="249">
        <f t="shared" si="39"/>
        <v>540</v>
      </c>
      <c r="I290" s="300"/>
      <c r="J290" s="251">
        <f>IF(G290&lt;70, C290*E290*16.5*1.5, C290*E290*16.5*1.5)</f>
        <v>445.5</v>
      </c>
      <c r="K290" s="242"/>
      <c r="L290" s="242"/>
      <c r="M290" s="302"/>
      <c r="N290" s="302"/>
      <c r="O290" s="302"/>
      <c r="P290" s="302"/>
      <c r="Q290" s="302"/>
    </row>
    <row r="291" spans="1:17" s="3" customFormat="1" ht="25" customHeight="1" x14ac:dyDescent="0.25">
      <c r="A291" s="349" t="s">
        <v>285</v>
      </c>
      <c r="B291" s="353" t="s">
        <v>467</v>
      </c>
      <c r="C291" s="352">
        <v>3</v>
      </c>
      <c r="D291" s="352">
        <v>1</v>
      </c>
      <c r="E291" s="352">
        <v>6</v>
      </c>
      <c r="F291" s="254">
        <f t="shared" si="38"/>
        <v>445.5</v>
      </c>
      <c r="G291" s="249">
        <v>30</v>
      </c>
      <c r="H291" s="249">
        <f t="shared" si="39"/>
        <v>540</v>
      </c>
      <c r="I291" s="300"/>
      <c r="J291" s="251">
        <f>IF(G291&lt;70, C291*E291*16.5*1.5, C291*E291*16.5*1.5)</f>
        <v>445.5</v>
      </c>
      <c r="K291" s="242"/>
      <c r="L291" s="242"/>
      <c r="M291" s="302"/>
      <c r="N291" s="302"/>
      <c r="O291" s="302"/>
      <c r="P291" s="302"/>
      <c r="Q291" s="302"/>
    </row>
    <row r="292" spans="1:17" s="324" customFormat="1" ht="25" customHeight="1" x14ac:dyDescent="0.25">
      <c r="A292" s="349" t="s">
        <v>286</v>
      </c>
      <c r="B292" s="353" t="s">
        <v>468</v>
      </c>
      <c r="C292" s="352">
        <v>3</v>
      </c>
      <c r="D292" s="352">
        <v>1</v>
      </c>
      <c r="E292" s="352">
        <v>1</v>
      </c>
      <c r="F292" s="254">
        <f t="shared" si="38"/>
        <v>74.25</v>
      </c>
      <c r="G292" s="249">
        <v>30</v>
      </c>
      <c r="H292" s="249">
        <f t="shared" si="39"/>
        <v>90</v>
      </c>
      <c r="I292" s="322"/>
      <c r="J292" s="251">
        <f>IF(G292&lt;70, C292*E292*16.5*1.5, C292*E292*16.5*1.5)</f>
        <v>74.25</v>
      </c>
      <c r="K292" s="238"/>
      <c r="L292" s="258"/>
      <c r="M292" s="302"/>
      <c r="N292" s="302"/>
      <c r="O292" s="302"/>
      <c r="P292" s="302"/>
      <c r="Q292" s="302"/>
    </row>
    <row r="293" spans="1:17" s="324" customFormat="1" ht="25" customHeight="1" x14ac:dyDescent="0.25">
      <c r="A293" s="349" t="s">
        <v>289</v>
      </c>
      <c r="B293" s="353" t="s">
        <v>469</v>
      </c>
      <c r="C293" s="352">
        <v>3</v>
      </c>
      <c r="D293" s="352">
        <v>1</v>
      </c>
      <c r="E293" s="352">
        <v>1</v>
      </c>
      <c r="F293" s="254">
        <f t="shared" si="38"/>
        <v>74.25</v>
      </c>
      <c r="G293" s="249">
        <v>30</v>
      </c>
      <c r="H293" s="249">
        <f t="shared" si="39"/>
        <v>90</v>
      </c>
      <c r="I293" s="322"/>
      <c r="J293" s="251">
        <f>IF(G293&lt;70, C293*E293*16.5*1.5, C293*E293*16.5*1.5)</f>
        <v>74.25</v>
      </c>
      <c r="K293" s="238"/>
      <c r="L293" s="258"/>
      <c r="M293" s="302"/>
      <c r="N293" s="302"/>
      <c r="O293" s="302"/>
      <c r="P293" s="302"/>
      <c r="Q293" s="302"/>
    </row>
    <row r="294" spans="1:17" s="324" customFormat="1" ht="25" customHeight="1" x14ac:dyDescent="0.3">
      <c r="A294" s="349" t="s">
        <v>290</v>
      </c>
      <c r="B294" s="353" t="s">
        <v>463</v>
      </c>
      <c r="C294" s="352">
        <v>3</v>
      </c>
      <c r="D294" s="352">
        <v>1</v>
      </c>
      <c r="E294" s="352">
        <v>1</v>
      </c>
      <c r="F294" s="254">
        <f t="shared" si="38"/>
        <v>74.25</v>
      </c>
      <c r="G294" s="249">
        <v>30</v>
      </c>
      <c r="H294" s="249">
        <f t="shared" si="39"/>
        <v>90</v>
      </c>
      <c r="I294" s="252"/>
      <c r="J294" s="251">
        <f>IF(G294&lt;70, C294*E294*16.5*1.5, C294*E294*16.5*1.5)</f>
        <v>74.25</v>
      </c>
      <c r="K294" s="303"/>
      <c r="L294" s="303"/>
      <c r="M294" s="304"/>
      <c r="N294" s="304"/>
      <c r="O294" s="304"/>
      <c r="P294" s="304"/>
      <c r="Q294" s="304"/>
    </row>
    <row r="295" spans="1:17" s="324" customFormat="1" ht="25" customHeight="1" x14ac:dyDescent="0.3">
      <c r="A295" s="396"/>
      <c r="B295" s="361" t="s">
        <v>380</v>
      </c>
      <c r="C295" s="364">
        <f t="shared" ref="C295:J295" si="41">SUM(C282:C294)</f>
        <v>39</v>
      </c>
      <c r="D295" s="364">
        <f t="shared" si="41"/>
        <v>13</v>
      </c>
      <c r="E295" s="364">
        <f t="shared" si="41"/>
        <v>43</v>
      </c>
      <c r="F295" s="246">
        <f t="shared" si="41"/>
        <v>3192.75</v>
      </c>
      <c r="G295" s="246">
        <f t="shared" si="41"/>
        <v>390</v>
      </c>
      <c r="H295" s="246">
        <f t="shared" si="41"/>
        <v>3870</v>
      </c>
      <c r="I295" s="246">
        <f t="shared" si="41"/>
        <v>2079</v>
      </c>
      <c r="J295" s="246">
        <f t="shared" si="41"/>
        <v>1113.75</v>
      </c>
      <c r="K295" s="303"/>
      <c r="L295" s="303"/>
      <c r="M295" s="304"/>
      <c r="N295" s="304"/>
      <c r="O295" s="304"/>
      <c r="P295" s="304"/>
      <c r="Q295" s="304"/>
    </row>
    <row r="296" spans="1:17" s="324" customFormat="1" ht="25" customHeight="1" x14ac:dyDescent="0.3">
      <c r="A296" s="359" t="s">
        <v>148</v>
      </c>
      <c r="B296" s="360" t="s">
        <v>507</v>
      </c>
      <c r="C296" s="352"/>
      <c r="D296" s="352"/>
      <c r="E296" s="352"/>
      <c r="F296" s="249"/>
      <c r="G296" s="249"/>
      <c r="H296" s="249"/>
      <c r="I296" s="252"/>
      <c r="J296" s="252"/>
      <c r="K296" s="303"/>
      <c r="L296" s="303"/>
      <c r="M296" s="304"/>
      <c r="N296" s="304"/>
      <c r="O296" s="304"/>
      <c r="P296" s="304"/>
      <c r="Q296" s="304"/>
    </row>
    <row r="297" spans="1:17" s="324" customFormat="1" ht="25" customHeight="1" x14ac:dyDescent="0.3">
      <c r="A297" s="354" t="s">
        <v>512</v>
      </c>
      <c r="B297" s="349" t="s">
        <v>471</v>
      </c>
      <c r="C297" s="352">
        <v>15</v>
      </c>
      <c r="D297" s="352">
        <v>1</v>
      </c>
      <c r="E297" s="352">
        <v>1</v>
      </c>
      <c r="F297" s="254">
        <f>I297+J297+K297</f>
        <v>175</v>
      </c>
      <c r="G297" s="249">
        <v>5</v>
      </c>
      <c r="H297" s="249">
        <f>C297*G297</f>
        <v>75</v>
      </c>
      <c r="I297" s="251">
        <f>G297*35</f>
        <v>175</v>
      </c>
      <c r="J297" s="252"/>
      <c r="K297" s="303"/>
      <c r="L297" s="305"/>
      <c r="M297" s="305"/>
      <c r="N297" s="305"/>
      <c r="O297" s="305"/>
      <c r="P297" s="305"/>
      <c r="Q297" s="305"/>
    </row>
    <row r="298" spans="1:17" s="324" customFormat="1" ht="25" customHeight="1" x14ac:dyDescent="0.3">
      <c r="A298" s="354" t="s">
        <v>513</v>
      </c>
      <c r="B298" s="349" t="s">
        <v>666</v>
      </c>
      <c r="C298" s="352">
        <v>15</v>
      </c>
      <c r="D298" s="352">
        <v>1</v>
      </c>
      <c r="E298" s="352">
        <v>1</v>
      </c>
      <c r="F298" s="254">
        <f t="shared" ref="F298:F307" si="42">I298+J298+K298</f>
        <v>175</v>
      </c>
      <c r="G298" s="249">
        <v>5</v>
      </c>
      <c r="H298" s="249">
        <f>C298*G298</f>
        <v>75</v>
      </c>
      <c r="I298" s="251"/>
      <c r="J298" s="251">
        <f>G298*35</f>
        <v>175</v>
      </c>
      <c r="K298" s="303"/>
      <c r="L298" s="306"/>
      <c r="M298" s="306"/>
      <c r="N298" s="306"/>
      <c r="O298" s="306"/>
      <c r="P298" s="306"/>
      <c r="Q298" s="306"/>
    </row>
    <row r="299" spans="1:17" s="324" customFormat="1" ht="25" customHeight="1" x14ac:dyDescent="0.3">
      <c r="A299" s="354" t="s">
        <v>514</v>
      </c>
      <c r="B299" s="349" t="s">
        <v>472</v>
      </c>
      <c r="C299" s="352">
        <v>15</v>
      </c>
      <c r="D299" s="352">
        <v>1</v>
      </c>
      <c r="E299" s="352">
        <v>1</v>
      </c>
      <c r="F299" s="254">
        <f t="shared" si="42"/>
        <v>175</v>
      </c>
      <c r="G299" s="249">
        <v>5</v>
      </c>
      <c r="H299" s="249">
        <f>C299*G299*E299*D299</f>
        <v>75</v>
      </c>
      <c r="I299" s="251">
        <f>G299*35</f>
        <v>175</v>
      </c>
      <c r="J299" s="251"/>
      <c r="K299" s="303"/>
      <c r="L299" s="307"/>
      <c r="M299" s="307"/>
      <c r="N299" s="307"/>
      <c r="O299" s="307"/>
      <c r="P299" s="307"/>
      <c r="Q299" s="307"/>
    </row>
    <row r="300" spans="1:17" s="324" customFormat="1" ht="25" customHeight="1" x14ac:dyDescent="0.3">
      <c r="A300" s="354" t="s">
        <v>515</v>
      </c>
      <c r="B300" s="349" t="s">
        <v>473</v>
      </c>
      <c r="C300" s="352">
        <v>15</v>
      </c>
      <c r="D300" s="352">
        <v>1</v>
      </c>
      <c r="E300" s="352">
        <v>1</v>
      </c>
      <c r="F300" s="254">
        <f t="shared" si="42"/>
        <v>175</v>
      </c>
      <c r="G300" s="249">
        <v>5</v>
      </c>
      <c r="H300" s="249">
        <f t="shared" ref="H300:H307" si="43">C300*G300*E300*D300</f>
        <v>75</v>
      </c>
      <c r="I300" s="252"/>
      <c r="J300" s="251">
        <f>G300*35</f>
        <v>175</v>
      </c>
      <c r="K300" s="303"/>
      <c r="L300" s="303"/>
      <c r="M300" s="1449"/>
      <c r="N300" s="1449"/>
      <c r="O300" s="1449"/>
      <c r="P300" s="1449"/>
      <c r="Q300" s="1449"/>
    </row>
    <row r="301" spans="1:17" s="324" customFormat="1" ht="25" customHeight="1" x14ac:dyDescent="0.3">
      <c r="A301" s="354" t="s">
        <v>516</v>
      </c>
      <c r="B301" s="349" t="s">
        <v>474</v>
      </c>
      <c r="C301" s="352">
        <v>15</v>
      </c>
      <c r="D301" s="352">
        <v>1</v>
      </c>
      <c r="E301" s="352">
        <v>1</v>
      </c>
      <c r="F301" s="254">
        <f t="shared" si="42"/>
        <v>175</v>
      </c>
      <c r="G301" s="249">
        <v>5</v>
      </c>
      <c r="H301" s="249">
        <f t="shared" si="43"/>
        <v>75</v>
      </c>
      <c r="I301" s="252"/>
      <c r="J301" s="251">
        <f>G301*35</f>
        <v>175</v>
      </c>
      <c r="K301" s="303"/>
      <c r="L301" s="303"/>
      <c r="M301" s="304"/>
      <c r="N301" s="304"/>
      <c r="O301" s="304"/>
      <c r="P301" s="304"/>
      <c r="Q301" s="304"/>
    </row>
    <row r="302" spans="1:17" ht="25" customHeight="1" x14ac:dyDescent="0.3">
      <c r="A302" s="354" t="s">
        <v>517</v>
      </c>
      <c r="B302" s="349" t="s">
        <v>508</v>
      </c>
      <c r="C302" s="352">
        <v>15</v>
      </c>
      <c r="D302" s="352">
        <v>1</v>
      </c>
      <c r="E302" s="352">
        <v>1</v>
      </c>
      <c r="F302" s="254">
        <f t="shared" si="42"/>
        <v>175</v>
      </c>
      <c r="G302" s="249">
        <v>5</v>
      </c>
      <c r="H302" s="249">
        <f t="shared" si="43"/>
        <v>75</v>
      </c>
      <c r="I302" s="251">
        <f>G302*35</f>
        <v>175</v>
      </c>
      <c r="J302" s="325"/>
      <c r="K302" s="303"/>
      <c r="L302" s="303"/>
      <c r="M302" s="304"/>
      <c r="N302" s="304"/>
      <c r="O302" s="304"/>
      <c r="P302" s="304"/>
      <c r="Q302" s="304"/>
    </row>
    <row r="303" spans="1:17" ht="25" customHeight="1" x14ac:dyDescent="0.3">
      <c r="A303" s="354" t="s">
        <v>518</v>
      </c>
      <c r="B303" s="349" t="s">
        <v>509</v>
      </c>
      <c r="C303" s="352">
        <v>15</v>
      </c>
      <c r="D303" s="352">
        <v>1</v>
      </c>
      <c r="E303" s="352">
        <v>1</v>
      </c>
      <c r="F303" s="254">
        <f t="shared" si="42"/>
        <v>175</v>
      </c>
      <c r="G303" s="249">
        <v>5</v>
      </c>
      <c r="H303" s="249">
        <f t="shared" si="43"/>
        <v>75</v>
      </c>
      <c r="I303" s="251">
        <f>G303*35</f>
        <v>175</v>
      </c>
      <c r="J303" s="325"/>
      <c r="K303" s="303"/>
      <c r="L303" s="303"/>
      <c r="M303" s="308"/>
      <c r="N303" s="308"/>
      <c r="O303" s="308"/>
      <c r="P303" s="308"/>
      <c r="Q303" s="308"/>
    </row>
    <row r="304" spans="1:17" ht="25" customHeight="1" x14ac:dyDescent="0.3">
      <c r="A304" s="354" t="s">
        <v>519</v>
      </c>
      <c r="B304" s="349" t="s">
        <v>510</v>
      </c>
      <c r="C304" s="352">
        <v>15</v>
      </c>
      <c r="D304" s="352">
        <v>1</v>
      </c>
      <c r="E304" s="352">
        <v>1</v>
      </c>
      <c r="F304" s="254">
        <f t="shared" si="42"/>
        <v>175</v>
      </c>
      <c r="G304" s="249">
        <v>5</v>
      </c>
      <c r="H304" s="249">
        <f t="shared" si="43"/>
        <v>75</v>
      </c>
      <c r="I304" s="251">
        <f>G304*35</f>
        <v>175</v>
      </c>
      <c r="J304" s="326"/>
      <c r="K304" s="303"/>
      <c r="L304" s="303"/>
      <c r="M304" s="308"/>
      <c r="N304" s="308"/>
      <c r="O304" s="308"/>
      <c r="P304" s="308"/>
      <c r="Q304" s="308"/>
    </row>
    <row r="305" spans="1:17" ht="25" customHeight="1" x14ac:dyDescent="0.3">
      <c r="A305" s="354" t="s">
        <v>520</v>
      </c>
      <c r="B305" s="349" t="s">
        <v>511</v>
      </c>
      <c r="C305" s="352">
        <v>15</v>
      </c>
      <c r="D305" s="352">
        <v>1</v>
      </c>
      <c r="E305" s="352">
        <v>1</v>
      </c>
      <c r="F305" s="254">
        <f t="shared" si="42"/>
        <v>175</v>
      </c>
      <c r="G305" s="249">
        <v>5</v>
      </c>
      <c r="H305" s="249">
        <f t="shared" si="43"/>
        <v>75</v>
      </c>
      <c r="I305" s="251">
        <f>G305*35</f>
        <v>175</v>
      </c>
      <c r="J305" s="251"/>
      <c r="K305" s="303"/>
      <c r="L305" s="303"/>
      <c r="M305" s="308"/>
      <c r="N305" s="308"/>
      <c r="O305" s="308"/>
      <c r="P305" s="308"/>
      <c r="Q305" s="308"/>
    </row>
    <row r="306" spans="1:17" ht="25" customHeight="1" x14ac:dyDescent="0.3">
      <c r="A306" s="354" t="s">
        <v>521</v>
      </c>
      <c r="B306" s="349" t="s">
        <v>566</v>
      </c>
      <c r="C306" s="352">
        <v>15</v>
      </c>
      <c r="D306" s="352">
        <v>1</v>
      </c>
      <c r="E306" s="352">
        <v>1</v>
      </c>
      <c r="F306" s="254">
        <f t="shared" si="42"/>
        <v>175</v>
      </c>
      <c r="G306" s="249">
        <v>5</v>
      </c>
      <c r="H306" s="249">
        <f t="shared" si="43"/>
        <v>75</v>
      </c>
      <c r="I306" s="251">
        <f>G306*35</f>
        <v>175</v>
      </c>
      <c r="J306" s="251"/>
      <c r="K306" s="303"/>
      <c r="L306" s="303"/>
      <c r="M306" s="308"/>
      <c r="N306" s="308"/>
      <c r="O306" s="308"/>
      <c r="P306" s="308"/>
      <c r="Q306" s="308"/>
    </row>
    <row r="307" spans="1:17" ht="25" customHeight="1" x14ac:dyDescent="0.3">
      <c r="A307" s="354" t="s">
        <v>667</v>
      </c>
      <c r="B307" s="349" t="s">
        <v>668</v>
      </c>
      <c r="C307" s="352">
        <v>15</v>
      </c>
      <c r="D307" s="352">
        <v>1</v>
      </c>
      <c r="E307" s="352">
        <v>1</v>
      </c>
      <c r="F307" s="254">
        <f t="shared" si="42"/>
        <v>4515</v>
      </c>
      <c r="G307" s="249">
        <v>129</v>
      </c>
      <c r="H307" s="249">
        <f t="shared" si="43"/>
        <v>1935</v>
      </c>
      <c r="I307" s="326"/>
      <c r="J307" s="251"/>
      <c r="K307" s="251">
        <f>G307*35</f>
        <v>4515</v>
      </c>
      <c r="L307" s="303"/>
      <c r="M307" s="308"/>
      <c r="N307" s="308"/>
      <c r="O307" s="308"/>
      <c r="P307" s="308"/>
      <c r="Q307" s="308"/>
    </row>
    <row r="308" spans="1:17" ht="25" customHeight="1" x14ac:dyDescent="0.3">
      <c r="A308" s="354" t="s">
        <v>669</v>
      </c>
      <c r="B308" s="349" t="s">
        <v>670</v>
      </c>
      <c r="C308" s="352">
        <v>15</v>
      </c>
      <c r="D308" s="352">
        <v>1</v>
      </c>
      <c r="E308" s="352">
        <v>1</v>
      </c>
      <c r="F308" s="246">
        <f t="shared" ref="F308:K308" si="44">SUM(F297:F307)</f>
        <v>6265</v>
      </c>
      <c r="G308" s="246">
        <f t="shared" si="44"/>
        <v>179</v>
      </c>
      <c r="H308" s="246">
        <f t="shared" si="44"/>
        <v>2685</v>
      </c>
      <c r="I308" s="246">
        <f t="shared" si="44"/>
        <v>1225</v>
      </c>
      <c r="J308" s="246">
        <f t="shared" si="44"/>
        <v>525</v>
      </c>
      <c r="K308" s="246">
        <f t="shared" si="44"/>
        <v>4515</v>
      </c>
      <c r="L308" s="303"/>
      <c r="M308" s="308"/>
      <c r="N308" s="308"/>
      <c r="O308" s="308"/>
      <c r="P308" s="308"/>
      <c r="Q308" s="308"/>
    </row>
    <row r="309" spans="1:17" ht="25" customHeight="1" x14ac:dyDescent="0.3">
      <c r="A309" s="354" t="s">
        <v>671</v>
      </c>
      <c r="B309" s="349" t="s">
        <v>672</v>
      </c>
      <c r="C309" s="352">
        <v>15</v>
      </c>
      <c r="D309" s="352">
        <v>1</v>
      </c>
      <c r="E309" s="352">
        <v>1</v>
      </c>
      <c r="F309" s="249"/>
      <c r="G309" s="249"/>
      <c r="H309" s="249"/>
      <c r="I309" s="252"/>
      <c r="J309" s="252"/>
      <c r="K309" s="303"/>
      <c r="L309" s="303"/>
      <c r="M309" s="309"/>
      <c r="N309" s="309"/>
      <c r="O309" s="309"/>
      <c r="P309" s="309"/>
      <c r="Q309" s="309"/>
    </row>
    <row r="310" spans="1:17" ht="25" customHeight="1" x14ac:dyDescent="0.3">
      <c r="A310" s="393"/>
      <c r="B310" s="394" t="s">
        <v>673</v>
      </c>
      <c r="C310" s="352">
        <v>15</v>
      </c>
      <c r="D310" s="352">
        <v>1</v>
      </c>
      <c r="E310" s="352">
        <v>1</v>
      </c>
      <c r="F310" s="249"/>
      <c r="G310" s="249"/>
      <c r="H310" s="249"/>
      <c r="I310" s="252"/>
      <c r="J310" s="252"/>
      <c r="K310" s="303"/>
      <c r="L310" s="303"/>
      <c r="M310" s="304"/>
      <c r="N310" s="304"/>
      <c r="O310" s="304"/>
      <c r="P310" s="304"/>
      <c r="Q310" s="304"/>
    </row>
    <row r="311" spans="1:17" ht="25" customHeight="1" x14ac:dyDescent="0.3">
      <c r="A311" s="354"/>
      <c r="B311" s="361" t="s">
        <v>380</v>
      </c>
      <c r="C311" s="364">
        <f>SUM(C297:C310)</f>
        <v>210</v>
      </c>
      <c r="D311" s="364">
        <f>SUM(D297:D310)</f>
        <v>14</v>
      </c>
      <c r="E311" s="364">
        <f>SUM(E297:E310)</f>
        <v>14</v>
      </c>
      <c r="F311" s="254">
        <f>I311+J311+K311</f>
        <v>97020</v>
      </c>
      <c r="G311" s="249">
        <v>11</v>
      </c>
      <c r="H311" s="249">
        <f>C311*D311*E311*G311</f>
        <v>452760</v>
      </c>
      <c r="I311" s="251">
        <f>IF(G311&lt;70, C311*E311*16.5*1*2, C311*E311*16.5*1.3*2)</f>
        <v>97020</v>
      </c>
      <c r="J311" s="252"/>
      <c r="K311" s="303"/>
      <c r="L311" s="303"/>
      <c r="M311" s="304"/>
      <c r="N311" s="304"/>
      <c r="O311" s="304"/>
      <c r="P311" s="304"/>
      <c r="Q311" s="304"/>
    </row>
    <row r="312" spans="1:17" ht="25" customHeight="1" x14ac:dyDescent="0.3">
      <c r="A312" s="385">
        <v>3</v>
      </c>
      <c r="B312" s="385" t="s">
        <v>166</v>
      </c>
      <c r="C312" s="352"/>
      <c r="D312" s="352"/>
      <c r="E312" s="352"/>
      <c r="F312" s="254">
        <f>I312+J312+K312</f>
        <v>0</v>
      </c>
      <c r="G312" s="249">
        <v>11</v>
      </c>
      <c r="H312" s="249">
        <f>C312*D312*E312*G312</f>
        <v>0</v>
      </c>
      <c r="I312" s="251">
        <f>IF(G312&lt;70, C312*E312*16.5*1*2, C312*E312*16.5*1.3*2)</f>
        <v>0</v>
      </c>
      <c r="J312" s="252"/>
      <c r="K312" s="303"/>
      <c r="L312" s="303"/>
      <c r="M312" s="304"/>
      <c r="N312" s="304"/>
      <c r="O312" s="304"/>
      <c r="P312" s="304"/>
      <c r="Q312" s="304"/>
    </row>
    <row r="313" spans="1:17" ht="25" customHeight="1" x14ac:dyDescent="0.3">
      <c r="A313" s="356" t="s">
        <v>147</v>
      </c>
      <c r="B313" s="357" t="s">
        <v>167</v>
      </c>
      <c r="C313" s="352"/>
      <c r="D313" s="352"/>
      <c r="E313" s="352"/>
      <c r="F313" s="254">
        <f>I313+J313+K313</f>
        <v>0</v>
      </c>
      <c r="G313" s="249">
        <v>11</v>
      </c>
      <c r="H313" s="249">
        <f>C313*D313*E313*G313</f>
        <v>0</v>
      </c>
      <c r="I313" s="251">
        <f>IF(G313&lt;70, C313*E313*16.5*1*2, C313*E313*16.5*1.3*2)</f>
        <v>0</v>
      </c>
      <c r="J313" s="252"/>
      <c r="K313" s="303"/>
      <c r="L313" s="303"/>
      <c r="M313" s="304"/>
      <c r="N313" s="304"/>
      <c r="O313" s="304"/>
      <c r="P313" s="304"/>
      <c r="Q313" s="304"/>
    </row>
    <row r="314" spans="1:17" ht="25" customHeight="1" x14ac:dyDescent="0.3">
      <c r="A314" s="349" t="s">
        <v>226</v>
      </c>
      <c r="B314" s="350" t="s">
        <v>475</v>
      </c>
      <c r="C314" s="352">
        <v>3</v>
      </c>
      <c r="D314" s="352">
        <v>1</v>
      </c>
      <c r="E314" s="352">
        <v>1</v>
      </c>
      <c r="F314" s="249"/>
      <c r="G314" s="249"/>
      <c r="H314" s="249"/>
      <c r="I314" s="252"/>
      <c r="J314" s="252"/>
      <c r="K314" s="303"/>
      <c r="L314" s="303"/>
      <c r="M314" s="304"/>
      <c r="N314" s="304"/>
      <c r="O314" s="304"/>
      <c r="P314" s="304"/>
      <c r="Q314" s="304"/>
    </row>
    <row r="315" spans="1:17" ht="25" customHeight="1" x14ac:dyDescent="0.3">
      <c r="A315" s="349" t="s">
        <v>227</v>
      </c>
      <c r="B315" s="350" t="s">
        <v>476</v>
      </c>
      <c r="C315" s="352">
        <v>3</v>
      </c>
      <c r="D315" s="352">
        <v>1</v>
      </c>
      <c r="E315" s="352">
        <v>1</v>
      </c>
      <c r="F315" s="249"/>
      <c r="G315" s="249"/>
      <c r="H315" s="249"/>
      <c r="I315" s="252"/>
      <c r="J315" s="252"/>
      <c r="K315" s="303"/>
      <c r="L315" s="303"/>
      <c r="M315" s="304"/>
      <c r="N315" s="304"/>
      <c r="O315" s="304"/>
      <c r="P315" s="304"/>
      <c r="Q315" s="304"/>
    </row>
    <row r="316" spans="1:17" ht="25" customHeight="1" x14ac:dyDescent="0.3">
      <c r="A316" s="354" t="s">
        <v>477</v>
      </c>
      <c r="B316" s="349" t="s">
        <v>478</v>
      </c>
      <c r="C316" s="352">
        <v>3</v>
      </c>
      <c r="D316" s="352">
        <v>1</v>
      </c>
      <c r="E316" s="352">
        <v>1</v>
      </c>
      <c r="F316" s="249"/>
      <c r="G316" s="249"/>
      <c r="H316" s="249"/>
      <c r="I316" s="252"/>
      <c r="J316" s="252"/>
      <c r="K316" s="303"/>
      <c r="L316" s="303"/>
      <c r="M316" s="304"/>
      <c r="N316" s="304"/>
      <c r="O316" s="304"/>
      <c r="P316" s="304"/>
      <c r="Q316" s="304"/>
    </row>
    <row r="317" spans="1:17" ht="25" customHeight="1" x14ac:dyDescent="0.3">
      <c r="A317" s="359" t="s">
        <v>148</v>
      </c>
      <c r="B317" s="360" t="s">
        <v>168</v>
      </c>
      <c r="C317" s="352"/>
      <c r="D317" s="352"/>
      <c r="E317" s="352"/>
      <c r="F317" s="254">
        <f>I317+J317+K317</f>
        <v>600</v>
      </c>
      <c r="G317" s="249"/>
      <c r="H317" s="249"/>
      <c r="I317" s="252">
        <v>600</v>
      </c>
      <c r="J317" s="252"/>
      <c r="K317" s="303"/>
      <c r="L317" s="303"/>
      <c r="M317" s="304"/>
      <c r="N317" s="304"/>
      <c r="O317" s="304"/>
      <c r="P317" s="304"/>
      <c r="Q317" s="304"/>
    </row>
    <row r="318" spans="1:17" ht="25" customHeight="1" x14ac:dyDescent="0.3">
      <c r="A318" s="359"/>
      <c r="B318" s="360" t="s">
        <v>674</v>
      </c>
      <c r="C318" s="352"/>
      <c r="D318" s="352"/>
      <c r="E318" s="352"/>
      <c r="F318" s="254">
        <f>I318+J318+K318</f>
        <v>300</v>
      </c>
      <c r="G318" s="249"/>
      <c r="H318" s="249"/>
      <c r="I318" s="252"/>
      <c r="J318" s="252">
        <v>300</v>
      </c>
      <c r="K318" s="303"/>
      <c r="L318" s="303"/>
      <c r="M318" s="304"/>
      <c r="N318" s="304"/>
      <c r="O318" s="304"/>
      <c r="P318" s="304"/>
      <c r="Q318" s="304"/>
    </row>
    <row r="319" spans="1:17" ht="25" customHeight="1" x14ac:dyDescent="0.3">
      <c r="A319" s="359"/>
      <c r="B319" s="360" t="s">
        <v>675</v>
      </c>
      <c r="C319" s="352"/>
      <c r="D319" s="352"/>
      <c r="E319" s="352"/>
      <c r="F319" s="249"/>
      <c r="G319" s="249"/>
      <c r="H319" s="249"/>
      <c r="I319" s="252"/>
      <c r="J319" s="252"/>
      <c r="K319" s="303"/>
      <c r="L319" s="303"/>
      <c r="M319" s="304"/>
      <c r="N319" s="304"/>
      <c r="O319" s="304"/>
      <c r="P319" s="304"/>
      <c r="Q319" s="304"/>
    </row>
    <row r="320" spans="1:17" ht="25" customHeight="1" x14ac:dyDescent="0.3">
      <c r="A320" s="359"/>
      <c r="B320" s="360" t="s">
        <v>479</v>
      </c>
      <c r="C320" s="352"/>
      <c r="D320" s="352"/>
      <c r="E320" s="352"/>
      <c r="F320" s="249"/>
      <c r="G320" s="249"/>
      <c r="H320" s="249"/>
      <c r="I320" s="252"/>
      <c r="J320" s="252"/>
      <c r="K320" s="303"/>
      <c r="L320" s="303"/>
      <c r="M320" s="304"/>
      <c r="N320" s="304"/>
      <c r="O320" s="304"/>
      <c r="P320" s="304"/>
      <c r="Q320" s="304"/>
    </row>
    <row r="321" spans="1:17" ht="25" customHeight="1" x14ac:dyDescent="0.3">
      <c r="A321" s="354"/>
      <c r="B321" s="349" t="s">
        <v>480</v>
      </c>
      <c r="C321" s="352"/>
      <c r="D321" s="352"/>
      <c r="E321" s="352"/>
      <c r="F321" s="254">
        <f>I321+J321+K321</f>
        <v>1120</v>
      </c>
      <c r="G321" s="249"/>
      <c r="H321" s="249"/>
      <c r="I321" s="252">
        <v>1120</v>
      </c>
      <c r="J321" s="252"/>
      <c r="K321" s="303"/>
      <c r="L321" s="303"/>
      <c r="M321" s="304"/>
      <c r="N321" s="304"/>
      <c r="O321" s="304"/>
      <c r="P321" s="304"/>
      <c r="Q321" s="304"/>
    </row>
    <row r="322" spans="1:17" ht="25" customHeight="1" x14ac:dyDescent="0.3">
      <c r="A322" s="359" t="s">
        <v>169</v>
      </c>
      <c r="B322" s="360" t="s">
        <v>170</v>
      </c>
      <c r="C322" s="352"/>
      <c r="D322" s="352"/>
      <c r="E322" s="352"/>
      <c r="F322" s="254">
        <f>I322+J322+K322</f>
        <v>680</v>
      </c>
      <c r="G322" s="249"/>
      <c r="H322" s="249"/>
      <c r="I322" s="252"/>
      <c r="J322" s="252">
        <v>680</v>
      </c>
      <c r="K322" s="303"/>
      <c r="L322" s="303"/>
      <c r="M322" s="304"/>
      <c r="N322" s="304"/>
      <c r="O322" s="304"/>
      <c r="P322" s="304"/>
      <c r="Q322" s="304"/>
    </row>
    <row r="323" spans="1:17" ht="25" customHeight="1" x14ac:dyDescent="0.3">
      <c r="A323" s="354"/>
      <c r="B323" s="349" t="s">
        <v>676</v>
      </c>
      <c r="C323" s="352"/>
      <c r="D323" s="352"/>
      <c r="E323" s="352"/>
      <c r="F323" s="249">
        <f>SUM(F311:F322)</f>
        <v>99720</v>
      </c>
      <c r="G323" s="246">
        <f>SUM(G311:G322)</f>
        <v>33</v>
      </c>
      <c r="H323" s="246">
        <f>SUM(H311:H322)</f>
        <v>452760</v>
      </c>
      <c r="I323" s="246">
        <f>SUM(I311:I322)</f>
        <v>98740</v>
      </c>
      <c r="J323" s="246">
        <f>SUM(J311:J322)</f>
        <v>980</v>
      </c>
      <c r="K323" s="303"/>
      <c r="L323" s="303"/>
      <c r="M323" s="304"/>
      <c r="N323" s="304"/>
      <c r="O323" s="304"/>
      <c r="P323" s="304"/>
      <c r="Q323" s="304"/>
    </row>
    <row r="324" spans="1:17" ht="25" customHeight="1" x14ac:dyDescent="0.3">
      <c r="A324" s="354"/>
      <c r="B324" s="349" t="s">
        <v>481</v>
      </c>
      <c r="C324" s="352"/>
      <c r="D324" s="352"/>
      <c r="E324" s="352"/>
      <c r="F324" s="249"/>
      <c r="G324" s="249"/>
      <c r="H324" s="249"/>
      <c r="I324" s="252"/>
      <c r="J324" s="252"/>
      <c r="K324" s="303"/>
      <c r="L324" s="303"/>
      <c r="M324" s="304"/>
      <c r="N324" s="304"/>
      <c r="O324" s="304"/>
      <c r="P324" s="304"/>
      <c r="Q324" s="304"/>
    </row>
    <row r="325" spans="1:17" ht="25" customHeight="1" x14ac:dyDescent="0.3">
      <c r="A325" s="354"/>
      <c r="B325" s="349" t="s">
        <v>480</v>
      </c>
      <c r="C325" s="352"/>
      <c r="D325" s="352"/>
      <c r="E325" s="352"/>
      <c r="F325" s="249"/>
      <c r="G325" s="249"/>
      <c r="H325" s="249"/>
      <c r="I325" s="252"/>
      <c r="J325" s="252"/>
      <c r="K325" s="303"/>
      <c r="L325" s="303"/>
      <c r="M325" s="304"/>
      <c r="N325" s="304"/>
      <c r="O325" s="304"/>
      <c r="P325" s="304"/>
      <c r="Q325" s="304"/>
    </row>
    <row r="326" spans="1:17" ht="25" customHeight="1" x14ac:dyDescent="0.3">
      <c r="A326" s="354"/>
      <c r="B326" s="361" t="s">
        <v>380</v>
      </c>
      <c r="C326" s="364">
        <f>SUM(C314:C325)</f>
        <v>9</v>
      </c>
      <c r="D326" s="364">
        <f>SUM(D314:D325)</f>
        <v>3</v>
      </c>
      <c r="E326" s="364">
        <f>SUM(E314:E325)</f>
        <v>3</v>
      </c>
      <c r="F326" s="249"/>
      <c r="G326" s="249"/>
      <c r="H326" s="249"/>
      <c r="I326" s="252"/>
      <c r="J326" s="252"/>
      <c r="K326" s="303"/>
      <c r="L326" s="303"/>
      <c r="M326" s="304"/>
      <c r="N326" s="304"/>
      <c r="O326" s="304"/>
      <c r="P326" s="304"/>
      <c r="Q326" s="304"/>
    </row>
    <row r="327" spans="1:17" ht="25" customHeight="1" x14ac:dyDescent="0.3">
      <c r="A327" s="355" t="s">
        <v>502</v>
      </c>
      <c r="B327" s="355" t="s">
        <v>503</v>
      </c>
      <c r="C327" s="352"/>
      <c r="D327" s="352"/>
      <c r="E327" s="352"/>
      <c r="F327" s="254">
        <f>I327+J327+K327</f>
        <v>0</v>
      </c>
      <c r="G327" s="259">
        <v>40</v>
      </c>
      <c r="H327" s="249">
        <f>C327*D327*E327*G327</f>
        <v>0</v>
      </c>
      <c r="I327" s="251">
        <f>IF(G327&lt;70, C327*E327*16.5*1, C327*E327*16.5*1.3)</f>
        <v>0</v>
      </c>
      <c r="J327" s="252"/>
      <c r="K327" s="303"/>
      <c r="L327" s="303"/>
      <c r="M327" s="304"/>
      <c r="N327" s="304"/>
      <c r="O327" s="304"/>
      <c r="P327" s="304"/>
      <c r="Q327" s="304"/>
    </row>
    <row r="328" spans="1:17" ht="25" customHeight="1" x14ac:dyDescent="0.3">
      <c r="A328" s="355">
        <v>1</v>
      </c>
      <c r="B328" s="357" t="s">
        <v>225</v>
      </c>
      <c r="C328" s="352"/>
      <c r="D328" s="352"/>
      <c r="E328" s="352"/>
      <c r="F328" s="254">
        <f>I328+J328+K328</f>
        <v>0</v>
      </c>
      <c r="G328" s="259">
        <v>40</v>
      </c>
      <c r="H328" s="249">
        <f>C328*D328*E328*G328</f>
        <v>0</v>
      </c>
      <c r="I328" s="251">
        <f>IF(G328&lt;70, C328*E328*16.5*1, C328*E328*16.5*1.3)</f>
        <v>0</v>
      </c>
      <c r="J328" s="252"/>
      <c r="K328" s="303"/>
      <c r="L328" s="303"/>
      <c r="M328" s="304"/>
      <c r="N328" s="304"/>
      <c r="O328" s="304"/>
      <c r="P328" s="304"/>
      <c r="Q328" s="304"/>
    </row>
    <row r="329" spans="1:17" ht="25" customHeight="1" x14ac:dyDescent="0.3">
      <c r="A329" s="355" t="s">
        <v>381</v>
      </c>
      <c r="B329" s="357" t="s">
        <v>163</v>
      </c>
      <c r="C329" s="352"/>
      <c r="D329" s="352"/>
      <c r="E329" s="352"/>
      <c r="F329" s="249">
        <f>SUM(F327:F328)</f>
        <v>0</v>
      </c>
      <c r="G329" s="246">
        <f>SUM(G327:G328)</f>
        <v>80</v>
      </c>
      <c r="H329" s="246">
        <f>SUM(H327:H328)</f>
        <v>0</v>
      </c>
      <c r="I329" s="246">
        <f>SUM(I327:I328)</f>
        <v>0</v>
      </c>
      <c r="J329" s="246">
        <f>SUM(J327:J328)</f>
        <v>0</v>
      </c>
      <c r="K329" s="303"/>
      <c r="L329" s="303"/>
      <c r="M329" s="304"/>
      <c r="N329" s="304"/>
      <c r="O329" s="304"/>
      <c r="P329" s="304"/>
      <c r="Q329" s="304"/>
    </row>
    <row r="330" spans="1:17" s="405" customFormat="1" ht="25" customHeight="1" x14ac:dyDescent="0.3">
      <c r="A330" s="399" t="s">
        <v>226</v>
      </c>
      <c r="B330" s="397" t="s">
        <v>677</v>
      </c>
      <c r="C330" s="400">
        <v>2</v>
      </c>
      <c r="D330" s="400">
        <v>1</v>
      </c>
      <c r="E330" s="400">
        <v>5</v>
      </c>
      <c r="F330" s="414">
        <f t="shared" ref="F330:K330" si="45">F273+F295+F308+F329+F323</f>
        <v>110522.5</v>
      </c>
      <c r="G330" s="415">
        <f t="shared" si="45"/>
        <v>2041</v>
      </c>
      <c r="H330" s="415">
        <f t="shared" si="45"/>
        <v>463159</v>
      </c>
      <c r="I330" s="415">
        <f t="shared" si="45"/>
        <v>103388.75</v>
      </c>
      <c r="J330" s="415">
        <f t="shared" si="45"/>
        <v>2618.75</v>
      </c>
      <c r="K330" s="415">
        <f t="shared" si="45"/>
        <v>4515</v>
      </c>
      <c r="L330" s="416">
        <f>'Bieu3 QLGD'!F25</f>
        <v>1890</v>
      </c>
      <c r="M330" s="417">
        <f>'Bieu3 QLGD'!N25</f>
        <v>1606.5</v>
      </c>
      <c r="N330" s="417">
        <f>I330-M330</f>
        <v>101782.25</v>
      </c>
      <c r="O330" s="417">
        <f>'Bieu3 QLGD'!O25</f>
        <v>1266.75</v>
      </c>
      <c r="P330" s="417">
        <f>'Bieu3 QLGD'!P25</f>
        <v>650</v>
      </c>
      <c r="Q330" s="417"/>
    </row>
    <row r="331" spans="1:17" s="405" customFormat="1" ht="25" customHeight="1" x14ac:dyDescent="0.3">
      <c r="A331" s="399" t="s">
        <v>226</v>
      </c>
      <c r="B331" s="397" t="s">
        <v>678</v>
      </c>
      <c r="C331" s="400">
        <v>2</v>
      </c>
      <c r="D331" s="400">
        <v>1</v>
      </c>
      <c r="E331" s="400">
        <v>4</v>
      </c>
      <c r="F331" s="418"/>
      <c r="G331" s="419"/>
      <c r="H331" s="419"/>
      <c r="I331" s="419"/>
      <c r="J331" s="419"/>
      <c r="K331" s="419"/>
      <c r="L331" s="420"/>
      <c r="M331" s="404"/>
      <c r="N331" s="404"/>
      <c r="O331" s="404"/>
      <c r="P331" s="404"/>
      <c r="Q331" s="404"/>
    </row>
    <row r="332" spans="1:17" s="405" customFormat="1" ht="25" customHeight="1" x14ac:dyDescent="0.3">
      <c r="A332" s="399" t="s">
        <v>227</v>
      </c>
      <c r="B332" s="397" t="s">
        <v>679</v>
      </c>
      <c r="C332" s="400">
        <v>2</v>
      </c>
      <c r="D332" s="400">
        <v>1</v>
      </c>
      <c r="E332" s="400">
        <v>4</v>
      </c>
      <c r="F332" s="401"/>
      <c r="G332" s="401"/>
      <c r="H332" s="401"/>
      <c r="I332" s="401"/>
      <c r="J332" s="401"/>
      <c r="K332" s="402"/>
      <c r="L332" s="403"/>
      <c r="M332" s="403"/>
      <c r="N332" s="403"/>
      <c r="O332" s="403"/>
      <c r="P332" s="403"/>
      <c r="Q332" s="404"/>
    </row>
    <row r="333" spans="1:17" s="405" customFormat="1" ht="25" customHeight="1" x14ac:dyDescent="0.3">
      <c r="A333" s="399"/>
      <c r="B333" s="406" t="s">
        <v>380</v>
      </c>
      <c r="C333" s="407">
        <f>SUM(C331:C332)</f>
        <v>4</v>
      </c>
      <c r="D333" s="407">
        <f>SUM(D331:D332)</f>
        <v>2</v>
      </c>
      <c r="E333" s="407">
        <f>SUM(E331:E332)</f>
        <v>8</v>
      </c>
      <c r="F333" s="408"/>
      <c r="G333" s="408"/>
      <c r="H333" s="408"/>
      <c r="I333" s="408"/>
      <c r="J333" s="408"/>
      <c r="K333" s="409"/>
      <c r="L333" s="410"/>
      <c r="M333" s="410"/>
      <c r="N333" s="410"/>
      <c r="O333" s="410"/>
      <c r="P333" s="410"/>
      <c r="Q333" s="404"/>
    </row>
    <row r="334" spans="1:17" s="405" customFormat="1" ht="25" customHeight="1" x14ac:dyDescent="0.3">
      <c r="A334" s="399"/>
      <c r="B334" s="406" t="s">
        <v>482</v>
      </c>
      <c r="C334" s="407">
        <f>C273+C295+C311+C333+C326</f>
        <v>330</v>
      </c>
      <c r="D334" s="407">
        <f>D273+D295+D311+D333+D326</f>
        <v>58.6</v>
      </c>
      <c r="E334" s="407">
        <f>E273+E295+E311+E333+E326</f>
        <v>97</v>
      </c>
      <c r="F334" s="408"/>
      <c r="G334" s="408"/>
      <c r="H334" s="408"/>
      <c r="I334" s="408"/>
      <c r="J334" s="408"/>
      <c r="K334" s="409"/>
      <c r="L334" s="410"/>
      <c r="M334" s="410"/>
      <c r="N334" s="410"/>
      <c r="O334" s="410"/>
      <c r="P334" s="410"/>
      <c r="Q334" s="404"/>
    </row>
    <row r="335" spans="1:17" s="405" customFormat="1" ht="25" customHeight="1" x14ac:dyDescent="0.3">
      <c r="A335" s="411"/>
      <c r="B335" s="412"/>
      <c r="C335" s="408"/>
      <c r="D335" s="408"/>
      <c r="E335" s="413"/>
      <c r="F335" s="408"/>
      <c r="G335" s="408"/>
      <c r="H335" s="408"/>
      <c r="I335" s="408"/>
      <c r="J335" s="408"/>
      <c r="K335" s="409"/>
      <c r="L335" s="410"/>
      <c r="M335" s="410"/>
      <c r="N335" s="410"/>
      <c r="O335" s="410"/>
      <c r="P335" s="410"/>
      <c r="Q335" s="404"/>
    </row>
    <row r="336" spans="1:17" ht="25" customHeight="1" x14ac:dyDescent="0.25">
      <c r="A336" s="242" t="s">
        <v>7</v>
      </c>
      <c r="B336" s="242" t="s">
        <v>162</v>
      </c>
      <c r="C336" s="246">
        <f t="shared" ref="C336:K336" si="46">C48+C185+C211+C273+C126</f>
        <v>76</v>
      </c>
      <c r="D336" s="246">
        <f t="shared" si="46"/>
        <v>29.6</v>
      </c>
      <c r="E336" s="246">
        <f t="shared" si="46"/>
        <v>38</v>
      </c>
      <c r="F336" s="246">
        <f t="shared" si="46"/>
        <v>45451.149999999994</v>
      </c>
      <c r="G336" s="246">
        <f t="shared" si="46"/>
        <v>5620</v>
      </c>
      <c r="H336" s="246">
        <f t="shared" si="46"/>
        <v>1371917.36</v>
      </c>
      <c r="I336" s="246">
        <f t="shared" si="46"/>
        <v>45253.149999999994</v>
      </c>
      <c r="J336" s="246">
        <f t="shared" si="46"/>
        <v>198</v>
      </c>
      <c r="K336" s="246">
        <f t="shared" si="46"/>
        <v>0</v>
      </c>
      <c r="L336" s="310" t="e">
        <f>L330+L240+#REF!+L165+L85</f>
        <v>#REF!</v>
      </c>
      <c r="M336" s="310" t="e">
        <f>M330+M240+#REF!+M165+M85</f>
        <v>#REF!</v>
      </c>
      <c r="N336" s="310" t="e">
        <f>N330+N240+#REF!+N165+N85</f>
        <v>#REF!</v>
      </c>
      <c r="O336" s="310" t="e">
        <f>O330+O240+#REF!+O165+O85</f>
        <v>#REF!</v>
      </c>
      <c r="P336" s="310" t="e">
        <f>P330+P240+#REF!+P165+P85</f>
        <v>#REF!</v>
      </c>
      <c r="Q336" s="253"/>
    </row>
    <row r="337" spans="1:17" ht="25" customHeight="1" x14ac:dyDescent="0.25">
      <c r="A337" s="256" t="s">
        <v>8</v>
      </c>
      <c r="B337" s="242" t="s">
        <v>172</v>
      </c>
      <c r="C337" s="246">
        <f t="shared" ref="C337:K337" si="47">C308+C295+C223+C195+C63+C146</f>
        <v>63</v>
      </c>
      <c r="D337" s="246">
        <f t="shared" si="47"/>
        <v>17</v>
      </c>
      <c r="E337" s="246">
        <f t="shared" si="47"/>
        <v>62</v>
      </c>
      <c r="F337" s="246">
        <f t="shared" si="47"/>
        <v>58648.25</v>
      </c>
      <c r="G337" s="246">
        <f t="shared" si="47"/>
        <v>928</v>
      </c>
      <c r="H337" s="246">
        <f t="shared" si="47"/>
        <v>217128</v>
      </c>
      <c r="I337" s="246">
        <f t="shared" si="47"/>
        <v>52494.5</v>
      </c>
      <c r="J337" s="246">
        <f t="shared" si="47"/>
        <v>1638.75</v>
      </c>
      <c r="K337" s="246">
        <f t="shared" si="47"/>
        <v>4515</v>
      </c>
      <c r="L337" s="246">
        <f>L308+L295+L223+L195+L146</f>
        <v>0</v>
      </c>
      <c r="M337" s="246">
        <f>M308+M295+M223+M195+M146</f>
        <v>0</v>
      </c>
      <c r="N337" s="246">
        <f>N308+N295+N223+N195+N146</f>
        <v>0</v>
      </c>
      <c r="O337" s="246">
        <f>O308+O295+O223+O195+O146</f>
        <v>0</v>
      </c>
      <c r="P337" s="246">
        <f>P308+P295+P223+P195+P146</f>
        <v>0</v>
      </c>
      <c r="Q337" s="253"/>
    </row>
    <row r="338" spans="1:17" ht="25" customHeight="1" x14ac:dyDescent="0.25">
      <c r="A338" s="256" t="s">
        <v>25</v>
      </c>
      <c r="B338" s="245" t="s">
        <v>166</v>
      </c>
      <c r="C338" s="246">
        <f t="shared" ref="C338:J338" si="48">C323+C229</f>
        <v>0</v>
      </c>
      <c r="D338" s="246">
        <f t="shared" si="48"/>
        <v>0</v>
      </c>
      <c r="E338" s="246">
        <f t="shared" si="48"/>
        <v>0</v>
      </c>
      <c r="F338" s="246">
        <f t="shared" si="48"/>
        <v>99720</v>
      </c>
      <c r="G338" s="246">
        <f t="shared" si="48"/>
        <v>33</v>
      </c>
      <c r="H338" s="246">
        <f t="shared" si="48"/>
        <v>452760</v>
      </c>
      <c r="I338" s="246">
        <f t="shared" si="48"/>
        <v>98740</v>
      </c>
      <c r="J338" s="246">
        <f t="shared" si="48"/>
        <v>980</v>
      </c>
      <c r="K338" s="246">
        <f t="shared" ref="K338:P338" si="49">K329+K229</f>
        <v>0</v>
      </c>
      <c r="L338" s="246">
        <f t="shared" si="49"/>
        <v>0</v>
      </c>
      <c r="M338" s="246">
        <f t="shared" si="49"/>
        <v>0</v>
      </c>
      <c r="N338" s="246">
        <f t="shared" si="49"/>
        <v>0</v>
      </c>
      <c r="O338" s="246">
        <f t="shared" si="49"/>
        <v>0</v>
      </c>
      <c r="P338" s="246">
        <f t="shared" si="49"/>
        <v>0</v>
      </c>
      <c r="Q338" s="253"/>
    </row>
    <row r="339" spans="1:17" ht="25" customHeight="1" x14ac:dyDescent="0.25">
      <c r="A339" s="256"/>
      <c r="B339" s="245" t="s">
        <v>542</v>
      </c>
      <c r="C339" s="246" t="e">
        <f>C329+C239+#REF!+C164+C83</f>
        <v>#REF!</v>
      </c>
      <c r="D339" s="246" t="e">
        <f>D329+D239+#REF!+D164+D83</f>
        <v>#REF!</v>
      </c>
      <c r="E339" s="246" t="e">
        <f>E329+E239+#REF!+E164+E83</f>
        <v>#REF!</v>
      </c>
      <c r="F339" s="246" t="e">
        <f>F329+F239+#REF!+F164+F83</f>
        <v>#REF!</v>
      </c>
      <c r="G339" s="246" t="e">
        <f>G329+G239+#REF!+G164+G83</f>
        <v>#REF!</v>
      </c>
      <c r="H339" s="246" t="e">
        <f>H329+H239+#REF!+H164+H83</f>
        <v>#REF!</v>
      </c>
      <c r="I339" s="246" t="e">
        <f>I329+I239+#REF!+I164+I83</f>
        <v>#REF!</v>
      </c>
      <c r="J339" s="246" t="e">
        <f>J329+J239+#REF!+J164+J83</f>
        <v>#REF!</v>
      </c>
      <c r="K339" s="246" t="e">
        <f>K329+K239+#REF!+K164+K83</f>
        <v>#REF!</v>
      </c>
      <c r="L339" s="246" t="e">
        <f>L329+L239+#REF!+L164+L83</f>
        <v>#REF!</v>
      </c>
      <c r="M339" s="246" t="e">
        <f>M329+M239+#REF!+M164+M83</f>
        <v>#REF!</v>
      </c>
      <c r="N339" s="246" t="e">
        <f>N329+N239+#REF!+N164+N83</f>
        <v>#REF!</v>
      </c>
      <c r="O339" s="246" t="e">
        <f>O329+O239+#REF!+O164+O83</f>
        <v>#REF!</v>
      </c>
      <c r="P339" s="246" t="e">
        <f>P329+P239+#REF!+P164+P83</f>
        <v>#REF!</v>
      </c>
      <c r="Q339" s="253"/>
    </row>
    <row r="340" spans="1:17" ht="25" customHeight="1" x14ac:dyDescent="0.25">
      <c r="A340" s="256"/>
      <c r="B340" s="245" t="s">
        <v>543</v>
      </c>
      <c r="C340" s="246"/>
      <c r="D340" s="246"/>
      <c r="E340" s="246"/>
      <c r="F340" s="246"/>
      <c r="G340" s="246"/>
      <c r="H340" s="246"/>
      <c r="I340" s="246"/>
      <c r="J340" s="246"/>
      <c r="K340" s="311"/>
      <c r="L340" s="311"/>
      <c r="M340" s="311"/>
      <c r="N340" s="311"/>
      <c r="O340" s="311"/>
      <c r="P340" s="311"/>
      <c r="Q340" s="253"/>
    </row>
    <row r="341" spans="1:17" ht="25" customHeight="1" x14ac:dyDescent="0.25">
      <c r="A341" s="238"/>
      <c r="B341" s="264" t="s">
        <v>484</v>
      </c>
      <c r="C341" s="260" t="e">
        <f>C330+C240+#REF!+C165+C85</f>
        <v>#REF!</v>
      </c>
      <c r="D341" s="260" t="e">
        <f>D330+D240+#REF!+D165+D85</f>
        <v>#REF!</v>
      </c>
      <c r="E341" s="260" t="e">
        <f>E330+E240+#REF!+E165+E85</f>
        <v>#REF!</v>
      </c>
      <c r="F341" s="260" t="e">
        <f>F330+F240+#REF!+F165+F85</f>
        <v>#REF!</v>
      </c>
      <c r="G341" s="260" t="e">
        <f>G330+G240+#REF!+G165+G85</f>
        <v>#REF!</v>
      </c>
      <c r="H341" s="260" t="e">
        <f>H330+H240+#REF!+H165+H85</f>
        <v>#REF!</v>
      </c>
      <c r="I341" s="260" t="e">
        <f>I330+I240+#REF!+I165+I85</f>
        <v>#REF!</v>
      </c>
      <c r="J341" s="260" t="e">
        <f>J330+J240+#REF!+J165+J85</f>
        <v>#REF!</v>
      </c>
      <c r="K341" s="260" t="e">
        <f>K330+K240+#REF!+K165+K85</f>
        <v>#REF!</v>
      </c>
      <c r="L341" s="312" t="e">
        <f>L330+L240+#REF!+L165+L85</f>
        <v>#REF!</v>
      </c>
      <c r="M341" s="313" t="e">
        <f>M330+M240+#REF!+M165+M85</f>
        <v>#REF!</v>
      </c>
      <c r="N341" s="313" t="e">
        <f>N330+N240+#REF!+N165+N85</f>
        <v>#REF!</v>
      </c>
      <c r="O341" s="312" t="e">
        <f>O330+O240+#REF!+O165+O85</f>
        <v>#REF!</v>
      </c>
      <c r="P341" s="312" t="e">
        <f>P330+P240+#REF!+P165+P85</f>
        <v>#REF!</v>
      </c>
      <c r="Q341" s="253"/>
    </row>
    <row r="342" spans="1:17" x14ac:dyDescent="0.3">
      <c r="C342" s="174"/>
      <c r="D342" s="1450" t="s">
        <v>570</v>
      </c>
      <c r="E342" s="1450"/>
      <c r="F342" s="1450"/>
      <c r="G342" s="1450"/>
      <c r="H342" s="1450"/>
      <c r="I342" s="1450"/>
      <c r="J342" s="241" t="e">
        <f>J341+K341</f>
        <v>#REF!</v>
      </c>
      <c r="K342" s="10"/>
      <c r="L342" s="10"/>
      <c r="M342" s="10"/>
      <c r="N342" s="1451" t="s">
        <v>589</v>
      </c>
      <c r="O342" s="1451"/>
      <c r="P342" s="1451"/>
      <c r="Q342" s="1451"/>
    </row>
    <row r="343" spans="1:17" ht="12.75" customHeight="1" x14ac:dyDescent="0.3">
      <c r="A343" s="14"/>
      <c r="B343" s="14"/>
      <c r="C343" s="174"/>
      <c r="D343" s="174"/>
      <c r="E343" s="174"/>
      <c r="F343" s="174"/>
      <c r="G343" s="174"/>
      <c r="H343" s="174"/>
      <c r="I343" s="174"/>
      <c r="J343" s="174"/>
      <c r="K343" s="10"/>
      <c r="L343" s="10"/>
      <c r="M343" s="10"/>
      <c r="N343" s="1442" t="s">
        <v>548</v>
      </c>
      <c r="O343" s="1442"/>
      <c r="P343" s="1442"/>
      <c r="Q343" s="1442"/>
    </row>
    <row r="344" spans="1:17" x14ac:dyDescent="0.3">
      <c r="A344" s="14"/>
      <c r="B344" s="1452" t="s">
        <v>150</v>
      </c>
      <c r="C344" s="1452"/>
      <c r="D344" s="1452"/>
      <c r="E344" s="1452"/>
      <c r="F344" s="1452"/>
      <c r="G344" s="1452"/>
      <c r="H344" s="1452"/>
      <c r="I344" s="1452"/>
      <c r="J344" s="1452"/>
      <c r="K344" s="1452"/>
      <c r="L344" s="10"/>
      <c r="M344" s="10"/>
      <c r="N344" s="10"/>
      <c r="O344" s="10"/>
      <c r="P344" s="10"/>
      <c r="Q344" s="153"/>
    </row>
    <row r="345" spans="1:17" ht="26.25" customHeight="1" x14ac:dyDescent="0.3">
      <c r="A345" s="14"/>
      <c r="B345" s="1463" t="s">
        <v>237</v>
      </c>
      <c r="C345" s="1463"/>
      <c r="D345" s="1463"/>
      <c r="E345" s="1463"/>
      <c r="F345" s="1463"/>
      <c r="G345" s="1463"/>
      <c r="H345" s="1463"/>
      <c r="I345" s="1463"/>
      <c r="J345" s="1463"/>
      <c r="K345" s="1463"/>
      <c r="L345" s="10"/>
      <c r="M345" s="10"/>
      <c r="N345" s="10"/>
      <c r="O345" s="10"/>
      <c r="P345" s="10"/>
      <c r="Q345" s="153"/>
    </row>
    <row r="346" spans="1:17" ht="30" customHeight="1" x14ac:dyDescent="0.3">
      <c r="A346" s="14"/>
      <c r="B346" s="1448" t="s">
        <v>74</v>
      </c>
      <c r="C346" s="1448"/>
      <c r="D346" s="1448"/>
      <c r="E346" s="1448"/>
      <c r="F346" s="1448"/>
      <c r="G346" s="1448"/>
      <c r="H346" s="1448"/>
      <c r="I346" s="1448"/>
      <c r="J346" s="1448"/>
      <c r="K346" s="1448"/>
      <c r="L346" s="10"/>
      <c r="M346" s="10"/>
      <c r="N346" s="1435" t="s">
        <v>549</v>
      </c>
      <c r="O346" s="1435"/>
      <c r="P346" s="1435"/>
      <c r="Q346" s="1435"/>
    </row>
  </sheetData>
  <mergeCells count="30">
    <mergeCell ref="F5:F6"/>
    <mergeCell ref="G5:G6"/>
    <mergeCell ref="H5:H6"/>
    <mergeCell ref="I5:K5"/>
    <mergeCell ref="L5:L6"/>
    <mergeCell ref="O5:O6"/>
    <mergeCell ref="P5:P6"/>
    <mergeCell ref="Q5:Q6"/>
    <mergeCell ref="M300:Q300"/>
    <mergeCell ref="N5:N6"/>
    <mergeCell ref="M5:M6"/>
    <mergeCell ref="Q50:Q52"/>
    <mergeCell ref="Q128:Q134"/>
    <mergeCell ref="A1:C1"/>
    <mergeCell ref="I1:N1"/>
    <mergeCell ref="A2:C2"/>
    <mergeCell ref="I2:N2"/>
    <mergeCell ref="A3:Q3"/>
    <mergeCell ref="A5:A6"/>
    <mergeCell ref="B5:B6"/>
    <mergeCell ref="C5:C6"/>
    <mergeCell ref="D5:D6"/>
    <mergeCell ref="E5:E6"/>
    <mergeCell ref="N342:Q342"/>
    <mergeCell ref="N343:Q343"/>
    <mergeCell ref="B344:K344"/>
    <mergeCell ref="B345:K345"/>
    <mergeCell ref="B346:K346"/>
    <mergeCell ref="N346:Q346"/>
    <mergeCell ref="D342:I342"/>
  </mergeCells>
  <pageMargins left="0.2" right="0.2" top="0.5" bottom="0.42" header="0.62" footer="0.6"/>
  <pageSetup paperSize="9" scale="85" orientation="landscape"/>
  <ignoredErrors>
    <ignoredError sqref="F12 F220:F222"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387"/>
  <sheetViews>
    <sheetView zoomScale="125" zoomScaleNormal="125" zoomScalePageLayoutView="125" workbookViewId="0">
      <pane xSplit="2" ySplit="7" topLeftCell="C72" activePane="bottomRight" state="frozen"/>
      <selection pane="topRight" activeCell="C1" sqref="C1"/>
      <selection pane="bottomLeft" activeCell="A8" sqref="A8"/>
      <selection pane="bottomRight" activeCell="B12" sqref="B12"/>
    </sheetView>
  </sheetViews>
  <sheetFormatPr defaultColWidth="9.1796875" defaultRowHeight="13" x14ac:dyDescent="0.3"/>
  <cols>
    <col min="1" max="1" width="5.453125" style="1" customWidth="1"/>
    <col min="2" max="2" width="41.1796875" style="1" customWidth="1"/>
    <col min="3" max="3" width="7" style="582" customWidth="1"/>
    <col min="4" max="4" width="7" style="582" hidden="1" customWidth="1"/>
    <col min="5" max="5" width="6" style="582" customWidth="1"/>
    <col min="6" max="6" width="7.453125" style="175" customWidth="1"/>
    <col min="7" max="7" width="6.81640625" style="582" customWidth="1"/>
    <col min="8" max="8" width="11.1796875" style="582" customWidth="1"/>
    <col min="9" max="10" width="8.36328125" style="582" customWidth="1"/>
    <col min="11" max="11" width="6.453125" style="2" customWidth="1"/>
    <col min="12" max="12" width="7.6328125" style="2" customWidth="1"/>
    <col min="13" max="13" width="9.453125" style="2" customWidth="1"/>
    <col min="14" max="14" width="11" style="2" customWidth="1"/>
    <col min="15" max="15" width="6.6328125" style="2" customWidth="1"/>
    <col min="16" max="16" width="9.6328125" style="2" customWidth="1"/>
    <col min="17" max="17" width="12.6328125" customWidth="1"/>
  </cols>
  <sheetData>
    <row r="1" spans="1:17" ht="14.25" customHeight="1" x14ac:dyDescent="0.3">
      <c r="A1" s="1485" t="s">
        <v>3</v>
      </c>
      <c r="B1" s="1485"/>
      <c r="C1" s="1485"/>
      <c r="D1" s="5"/>
      <c r="E1" s="5"/>
      <c r="F1" s="5"/>
      <c r="G1" s="5"/>
      <c r="H1" s="175"/>
      <c r="I1" s="1473"/>
      <c r="J1" s="1473"/>
      <c r="K1" s="1473"/>
      <c r="L1" s="1473"/>
      <c r="M1" s="1473"/>
      <c r="N1" s="1473"/>
      <c r="O1" s="466"/>
      <c r="P1" s="466"/>
      <c r="Q1" s="467" t="s">
        <v>30</v>
      </c>
    </row>
    <row r="2" spans="1:17" x14ac:dyDescent="0.3">
      <c r="A2" s="1486" t="s">
        <v>530</v>
      </c>
      <c r="B2" s="1486"/>
      <c r="C2" s="1486"/>
      <c r="D2" s="584"/>
      <c r="E2" s="584"/>
      <c r="F2" s="5"/>
      <c r="G2" s="584"/>
      <c r="H2" s="175"/>
      <c r="I2" s="1473"/>
      <c r="J2" s="1473"/>
      <c r="K2" s="1473"/>
      <c r="L2" s="1473"/>
      <c r="M2" s="1473"/>
      <c r="N2" s="1473"/>
      <c r="O2" s="466"/>
      <c r="P2" s="466"/>
      <c r="Q2" s="466"/>
    </row>
    <row r="3" spans="1:17" ht="30" customHeight="1" x14ac:dyDescent="0.25">
      <c r="A3" s="1487" t="s">
        <v>767</v>
      </c>
      <c r="B3" s="1487"/>
      <c r="C3" s="1487"/>
      <c r="D3" s="1487"/>
      <c r="E3" s="1487"/>
      <c r="F3" s="1487"/>
      <c r="G3" s="1487"/>
      <c r="H3" s="1487"/>
      <c r="I3" s="1487"/>
      <c r="J3" s="1487"/>
      <c r="K3" s="1487"/>
      <c r="L3" s="1487"/>
      <c r="M3" s="1487"/>
      <c r="N3" s="1487"/>
      <c r="O3" s="1487"/>
      <c r="P3" s="1487"/>
      <c r="Q3" s="1487"/>
    </row>
    <row r="4" spans="1:17" x14ac:dyDescent="0.3">
      <c r="A4" s="468"/>
      <c r="B4" s="468"/>
      <c r="C4" s="469"/>
      <c r="D4" s="469"/>
      <c r="E4" s="469"/>
      <c r="F4" s="469"/>
      <c r="G4" s="469"/>
      <c r="H4" s="469"/>
      <c r="I4" s="469"/>
      <c r="J4" s="469"/>
      <c r="K4" s="468"/>
      <c r="L4" s="468"/>
      <c r="M4" s="468"/>
      <c r="N4" s="468" t="s">
        <v>20</v>
      </c>
      <c r="O4" s="468"/>
      <c r="P4" s="468"/>
      <c r="Q4" s="469"/>
    </row>
    <row r="5" spans="1:17" ht="67.5" customHeight="1" x14ac:dyDescent="0.25">
      <c r="A5" s="1488" t="s">
        <v>0</v>
      </c>
      <c r="B5" s="1474" t="s">
        <v>171</v>
      </c>
      <c r="C5" s="1474" t="s">
        <v>204</v>
      </c>
      <c r="D5" s="1474" t="s">
        <v>205</v>
      </c>
      <c r="E5" s="1474" t="s">
        <v>152</v>
      </c>
      <c r="F5" s="1474" t="s">
        <v>159</v>
      </c>
      <c r="G5" s="1474" t="s">
        <v>208</v>
      </c>
      <c r="H5" s="1474" t="s">
        <v>207</v>
      </c>
      <c r="I5" s="1479" t="s">
        <v>209</v>
      </c>
      <c r="J5" s="1480"/>
      <c r="K5" s="1481"/>
      <c r="L5" s="1474" t="s">
        <v>210</v>
      </c>
      <c r="M5" s="1474" t="s">
        <v>211</v>
      </c>
      <c r="N5" s="1474" t="s">
        <v>39</v>
      </c>
      <c r="O5" s="1474" t="s">
        <v>86</v>
      </c>
      <c r="P5" s="1474" t="s">
        <v>87</v>
      </c>
      <c r="Q5" s="1474" t="s">
        <v>2</v>
      </c>
    </row>
    <row r="6" spans="1:17" ht="50" customHeight="1" x14ac:dyDescent="0.25">
      <c r="A6" s="1489"/>
      <c r="B6" s="1475"/>
      <c r="C6" s="1475"/>
      <c r="D6" s="1475"/>
      <c r="E6" s="1475"/>
      <c r="F6" s="1475"/>
      <c r="G6" s="1475"/>
      <c r="H6" s="1475"/>
      <c r="I6" s="470" t="s">
        <v>160</v>
      </c>
      <c r="J6" s="470" t="s">
        <v>101</v>
      </c>
      <c r="K6" s="470" t="s">
        <v>158</v>
      </c>
      <c r="L6" s="1475"/>
      <c r="M6" s="1475"/>
      <c r="N6" s="1475"/>
      <c r="O6" s="1475"/>
      <c r="P6" s="1475"/>
      <c r="Q6" s="1475"/>
    </row>
    <row r="7" spans="1:17" s="475" customFormat="1" ht="30" customHeight="1" x14ac:dyDescent="0.25">
      <c r="A7" s="471" t="s">
        <v>115</v>
      </c>
      <c r="B7" s="472" t="s">
        <v>116</v>
      </c>
      <c r="C7" s="472" t="s">
        <v>117</v>
      </c>
      <c r="D7" s="473" t="s">
        <v>118</v>
      </c>
      <c r="E7" s="473" t="s">
        <v>118</v>
      </c>
      <c r="F7" s="473" t="s">
        <v>119</v>
      </c>
      <c r="G7" s="473" t="s">
        <v>120</v>
      </c>
      <c r="H7" s="473" t="s">
        <v>596</v>
      </c>
      <c r="I7" s="473" t="s">
        <v>123</v>
      </c>
      <c r="J7" s="473" t="s">
        <v>125</v>
      </c>
      <c r="K7" s="473" t="s">
        <v>134</v>
      </c>
      <c r="L7" s="473" t="s">
        <v>126</v>
      </c>
      <c r="M7" s="473" t="s">
        <v>127</v>
      </c>
      <c r="N7" s="473" t="s">
        <v>128</v>
      </c>
      <c r="O7" s="474" t="s">
        <v>129</v>
      </c>
      <c r="P7" s="474" t="s">
        <v>130</v>
      </c>
      <c r="Q7" s="473" t="s">
        <v>206</v>
      </c>
    </row>
    <row r="8" spans="1:17" ht="25" customHeight="1" x14ac:dyDescent="0.25">
      <c r="A8" s="476" t="s">
        <v>6</v>
      </c>
      <c r="B8" s="476" t="s">
        <v>294</v>
      </c>
      <c r="C8" s="477"/>
      <c r="D8" s="477"/>
      <c r="E8" s="477"/>
      <c r="F8" s="478"/>
      <c r="G8" s="477"/>
      <c r="H8" s="477"/>
      <c r="I8" s="477"/>
      <c r="J8" s="477"/>
      <c r="K8" s="476"/>
      <c r="L8" s="476"/>
      <c r="M8" s="476"/>
      <c r="N8" s="476"/>
      <c r="O8" s="476"/>
      <c r="P8" s="476"/>
      <c r="Q8" s="476"/>
    </row>
    <row r="9" spans="1:17" ht="25" customHeight="1" x14ac:dyDescent="0.25">
      <c r="A9" s="479" t="s">
        <v>7</v>
      </c>
      <c r="B9" s="479" t="s">
        <v>591</v>
      </c>
      <c r="C9" s="480"/>
      <c r="D9" s="480"/>
      <c r="E9" s="480"/>
      <c r="F9" s="481"/>
      <c r="G9" s="480"/>
      <c r="H9" s="480"/>
      <c r="I9" s="480"/>
      <c r="J9" s="480"/>
      <c r="K9" s="479"/>
      <c r="L9" s="479"/>
      <c r="M9" s="479"/>
      <c r="N9" s="479"/>
      <c r="O9" s="479"/>
      <c r="P9" s="479"/>
      <c r="Q9" s="479"/>
    </row>
    <row r="10" spans="1:17" ht="25" customHeight="1" x14ac:dyDescent="0.25">
      <c r="A10" s="479">
        <v>1</v>
      </c>
      <c r="B10" s="479" t="s">
        <v>4</v>
      </c>
      <c r="C10" s="480"/>
      <c r="D10" s="480"/>
      <c r="E10" s="480"/>
      <c r="F10" s="481"/>
      <c r="G10" s="480"/>
      <c r="H10" s="480"/>
      <c r="I10" s="480"/>
      <c r="J10" s="480"/>
      <c r="K10" s="479"/>
      <c r="L10" s="479"/>
      <c r="M10" s="479"/>
      <c r="N10" s="479"/>
      <c r="O10" s="479"/>
      <c r="P10" s="479"/>
      <c r="Q10" s="479"/>
    </row>
    <row r="11" spans="1:17" s="3" customFormat="1" ht="25" customHeight="1" x14ac:dyDescent="0.25">
      <c r="A11" s="482" t="s">
        <v>147</v>
      </c>
      <c r="B11" s="483" t="s">
        <v>161</v>
      </c>
      <c r="C11" s="279"/>
      <c r="D11" s="279"/>
      <c r="E11" s="279"/>
      <c r="F11" s="271"/>
      <c r="G11" s="279"/>
      <c r="H11" s="279"/>
      <c r="I11" s="484"/>
      <c r="J11" s="484"/>
      <c r="K11" s="484"/>
      <c r="L11" s="484"/>
      <c r="M11" s="484"/>
      <c r="N11" s="484"/>
      <c r="O11" s="484"/>
      <c r="P11" s="484"/>
      <c r="Q11" s="485"/>
    </row>
    <row r="12" spans="1:17" s="3" customFormat="1" ht="25" customHeight="1" x14ac:dyDescent="0.25">
      <c r="A12" s="444"/>
      <c r="B12" s="357" t="s">
        <v>293</v>
      </c>
      <c r="C12" s="427"/>
      <c r="D12" s="427"/>
      <c r="E12" s="427"/>
      <c r="F12" s="331"/>
      <c r="G12" s="427"/>
      <c r="H12" s="427"/>
      <c r="I12" s="443"/>
      <c r="J12" s="443"/>
      <c r="K12" s="443"/>
      <c r="L12" s="443"/>
      <c r="M12" s="443"/>
      <c r="N12" s="443"/>
      <c r="O12" s="443"/>
      <c r="P12" s="443"/>
      <c r="Q12" s="585"/>
    </row>
    <row r="13" spans="1:17" s="3" customFormat="1" ht="25" customHeight="1" x14ac:dyDescent="0.25">
      <c r="A13" s="486" t="s">
        <v>226</v>
      </c>
      <c r="B13" s="437" t="s">
        <v>250</v>
      </c>
      <c r="C13" s="331">
        <v>2</v>
      </c>
      <c r="D13" s="429">
        <v>1</v>
      </c>
      <c r="E13" s="331">
        <v>1</v>
      </c>
      <c r="F13" s="254">
        <f>I13+J13+K13</f>
        <v>33</v>
      </c>
      <c r="G13" s="331">
        <v>40</v>
      </c>
      <c r="H13" s="271">
        <f>C13*E13*G13</f>
        <v>80</v>
      </c>
      <c r="I13" s="269">
        <f>IF(G13&lt;70, C13*E13*16.5*1, C13*E13*16.5*1.3)</f>
        <v>33</v>
      </c>
      <c r="J13" s="484"/>
      <c r="K13" s="484"/>
      <c r="L13" s="484"/>
      <c r="M13" s="484"/>
      <c r="N13" s="484"/>
      <c r="O13" s="484"/>
      <c r="P13" s="484"/>
      <c r="Q13" s="485"/>
    </row>
    <row r="14" spans="1:17" s="3" customFormat="1" ht="25" customHeight="1" x14ac:dyDescent="0.25">
      <c r="A14" s="486" t="s">
        <v>227</v>
      </c>
      <c r="B14" s="437" t="s">
        <v>265</v>
      </c>
      <c r="C14" s="331">
        <v>3</v>
      </c>
      <c r="D14" s="331">
        <v>1</v>
      </c>
      <c r="E14" s="331">
        <v>6</v>
      </c>
      <c r="F14" s="254">
        <f>I14+J53+K53</f>
        <v>297</v>
      </c>
      <c r="G14" s="331">
        <v>50</v>
      </c>
      <c r="H14" s="271">
        <f>C14*E14*G14</f>
        <v>900</v>
      </c>
      <c r="I14" s="269">
        <f>IF(G14&lt;70, C14*E14*16.5*1, C14*E14*16.5*1.3)</f>
        <v>297</v>
      </c>
      <c r="J14" s="484"/>
      <c r="K14" s="484"/>
      <c r="L14" s="484"/>
      <c r="M14" s="484"/>
      <c r="N14" s="484"/>
      <c r="O14" s="484"/>
      <c r="P14" s="484"/>
      <c r="Q14" s="482" t="s">
        <v>698</v>
      </c>
    </row>
    <row r="15" spans="1:17" s="3" customFormat="1" ht="25" customHeight="1" x14ac:dyDescent="0.25">
      <c r="A15" s="486" t="s">
        <v>228</v>
      </c>
      <c r="B15" s="437" t="s">
        <v>251</v>
      </c>
      <c r="C15" s="331">
        <v>2</v>
      </c>
      <c r="D15" s="331">
        <v>1</v>
      </c>
      <c r="E15" s="331">
        <v>2</v>
      </c>
      <c r="F15" s="254">
        <f>I15+J15+K15</f>
        <v>85.8</v>
      </c>
      <c r="G15" s="331">
        <v>80</v>
      </c>
      <c r="H15" s="271">
        <f>C15*E15*G15</f>
        <v>320</v>
      </c>
      <c r="I15" s="269">
        <f>IF(G15&lt;70, C15*E15*16.5*1, C15*E15*16.5*1.3)</f>
        <v>85.8</v>
      </c>
      <c r="J15" s="484"/>
      <c r="K15" s="484"/>
      <c r="L15" s="484"/>
      <c r="M15" s="484"/>
      <c r="N15" s="484"/>
      <c r="O15" s="484"/>
      <c r="P15" s="484"/>
      <c r="Q15" s="485"/>
    </row>
    <row r="16" spans="1:17" s="3" customFormat="1" ht="25" customHeight="1" x14ac:dyDescent="0.25">
      <c r="A16" s="486" t="s">
        <v>229</v>
      </c>
      <c r="B16" s="437" t="s">
        <v>636</v>
      </c>
      <c r="C16" s="331">
        <v>2</v>
      </c>
      <c r="D16" s="331">
        <v>1</v>
      </c>
      <c r="E16" s="331">
        <v>3</v>
      </c>
      <c r="F16" s="254">
        <f>I16+J16+K16</f>
        <v>128.70000000000002</v>
      </c>
      <c r="G16" s="331">
        <v>70</v>
      </c>
      <c r="H16" s="271">
        <f>C16*E16*G16</f>
        <v>420</v>
      </c>
      <c r="I16" s="269">
        <f>IF(G16&lt;70, C16*E16*16.5*1, C16*E16*16.5*1.3)</f>
        <v>128.70000000000002</v>
      </c>
      <c r="J16" s="484"/>
      <c r="K16" s="484"/>
      <c r="L16" s="484"/>
      <c r="M16" s="484"/>
      <c r="N16" s="484"/>
      <c r="O16" s="484"/>
      <c r="P16" s="484"/>
      <c r="Q16" s="485"/>
    </row>
    <row r="17" spans="1:17" s="3" customFormat="1" ht="25" customHeight="1" x14ac:dyDescent="0.3">
      <c r="A17" s="486" t="s">
        <v>230</v>
      </c>
      <c r="B17" s="487" t="s">
        <v>637</v>
      </c>
      <c r="C17" s="331">
        <v>2</v>
      </c>
      <c r="D17" s="331">
        <v>1</v>
      </c>
      <c r="E17" s="331">
        <v>3</v>
      </c>
      <c r="F17" s="254">
        <f>I17+J17+K17</f>
        <v>128.70000000000002</v>
      </c>
      <c r="G17" s="331">
        <v>70</v>
      </c>
      <c r="H17" s="271">
        <f>C17*E17*G17</f>
        <v>420</v>
      </c>
      <c r="I17" s="269">
        <f>IF(G17&lt;70, C17*E17*16.5*1, C17*E17*16.5*1.3)</f>
        <v>128.70000000000002</v>
      </c>
      <c r="J17" s="484"/>
      <c r="K17" s="484"/>
      <c r="L17" s="484"/>
      <c r="M17" s="484"/>
      <c r="N17" s="484"/>
      <c r="O17" s="484"/>
      <c r="P17" s="484"/>
      <c r="Q17" s="485"/>
    </row>
    <row r="18" spans="1:17" s="3" customFormat="1" ht="25" customHeight="1" x14ac:dyDescent="0.3">
      <c r="A18" s="486"/>
      <c r="B18" s="586" t="s">
        <v>662</v>
      </c>
      <c r="C18" s="331"/>
      <c r="D18" s="331"/>
      <c r="E18" s="331"/>
      <c r="F18" s="489"/>
      <c r="G18" s="331"/>
      <c r="H18" s="331"/>
      <c r="I18" s="429"/>
      <c r="J18" s="443"/>
      <c r="K18" s="443"/>
      <c r="L18" s="443"/>
      <c r="M18" s="443"/>
      <c r="N18" s="443"/>
      <c r="O18" s="443"/>
      <c r="P18" s="443"/>
      <c r="Q18" s="585"/>
    </row>
    <row r="19" spans="1:17" s="3" customFormat="1" ht="25" customHeight="1" x14ac:dyDescent="0.25">
      <c r="A19" s="486"/>
      <c r="B19" s="489" t="s">
        <v>649</v>
      </c>
      <c r="C19" s="331">
        <v>2</v>
      </c>
      <c r="D19" s="331">
        <v>1</v>
      </c>
      <c r="E19" s="331">
        <v>5</v>
      </c>
      <c r="F19" s="254">
        <f>I19+J57+K57</f>
        <v>165</v>
      </c>
      <c r="G19" s="331">
        <v>50</v>
      </c>
      <c r="H19" s="271">
        <f>C19*E19*G19</f>
        <v>500</v>
      </c>
      <c r="I19" s="269">
        <f>IF(G19&lt;70, C19*E19*16.5*1, C19*E19*16.5*1.3)</f>
        <v>165</v>
      </c>
      <c r="J19" s="443"/>
      <c r="K19" s="443"/>
      <c r="L19" s="443"/>
      <c r="M19" s="443"/>
      <c r="N19" s="443"/>
      <c r="O19" s="443"/>
      <c r="P19" s="443"/>
      <c r="Q19" s="585"/>
    </row>
    <row r="20" spans="1:17" s="3" customFormat="1" ht="25" customHeight="1" x14ac:dyDescent="0.25">
      <c r="A20" s="486" t="s">
        <v>231</v>
      </c>
      <c r="B20" s="437" t="s">
        <v>644</v>
      </c>
      <c r="C20" s="331">
        <v>4</v>
      </c>
      <c r="D20" s="331">
        <v>1</v>
      </c>
      <c r="E20" s="331">
        <v>2</v>
      </c>
      <c r="F20" s="254">
        <f>I20+J47+K47</f>
        <v>171.6</v>
      </c>
      <c r="G20" s="331">
        <v>70</v>
      </c>
      <c r="H20" s="271">
        <f>C20*E20*G20</f>
        <v>560</v>
      </c>
      <c r="I20" s="269">
        <f>IF(G20&lt;70, C20*E20*16.5*1, C20*E20*16.5*1.3)</f>
        <v>171.6</v>
      </c>
      <c r="J20" s="484"/>
      <c r="K20" s="484"/>
      <c r="L20" s="484"/>
      <c r="M20" s="484"/>
      <c r="N20" s="484"/>
      <c r="O20" s="484"/>
      <c r="P20" s="484"/>
      <c r="Q20" s="485"/>
    </row>
    <row r="21" spans="1:17" s="3" customFormat="1" ht="25" customHeight="1" x14ac:dyDescent="0.25">
      <c r="A21" s="486" t="s">
        <v>282</v>
      </c>
      <c r="B21" s="437" t="s">
        <v>249</v>
      </c>
      <c r="C21" s="429">
        <v>2</v>
      </c>
      <c r="D21" s="429">
        <v>1</v>
      </c>
      <c r="E21" s="429">
        <v>1</v>
      </c>
      <c r="F21" s="254">
        <f>I21+J21+K21</f>
        <v>33</v>
      </c>
      <c r="G21" s="429">
        <v>40</v>
      </c>
      <c r="H21" s="271">
        <f>C21*E21*G21</f>
        <v>80</v>
      </c>
      <c r="I21" s="269">
        <f>IF(G21&lt;70, C21*E21*16.5*1, C21*E21*16.5*1.3)</f>
        <v>33</v>
      </c>
      <c r="J21" s="484"/>
      <c r="K21" s="484"/>
      <c r="L21" s="484"/>
      <c r="M21" s="484"/>
      <c r="N21" s="484"/>
      <c r="O21" s="484"/>
      <c r="P21" s="484"/>
      <c r="Q21" s="485"/>
    </row>
    <row r="22" spans="1:17" s="3" customFormat="1" ht="25" customHeight="1" x14ac:dyDescent="0.25">
      <c r="A22" s="486"/>
      <c r="B22" s="495" t="s">
        <v>653</v>
      </c>
      <c r="C22" s="331">
        <v>5</v>
      </c>
      <c r="D22" s="331">
        <v>1</v>
      </c>
      <c r="E22" s="331">
        <v>4</v>
      </c>
      <c r="F22" s="254">
        <f>I22+J22+K22</f>
        <v>429</v>
      </c>
      <c r="G22" s="331">
        <v>70</v>
      </c>
      <c r="H22" s="271">
        <f>C22*E22*G22</f>
        <v>1400</v>
      </c>
      <c r="I22" s="269">
        <f>IF(G22&lt;70, C22*E22*16.5*1, C22*E22*16.5*1.3)</f>
        <v>429</v>
      </c>
      <c r="J22" s="443"/>
      <c r="K22" s="443"/>
      <c r="L22" s="443"/>
      <c r="M22" s="443"/>
      <c r="N22" s="443"/>
      <c r="O22" s="443"/>
      <c r="P22" s="443"/>
      <c r="Q22" s="585"/>
    </row>
    <row r="23" spans="1:17" s="3" customFormat="1" ht="25" customHeight="1" x14ac:dyDescent="0.25">
      <c r="A23" s="486" t="s">
        <v>283</v>
      </c>
      <c r="B23" s="587" t="s">
        <v>715</v>
      </c>
      <c r="C23" s="429"/>
      <c r="D23" s="429"/>
      <c r="E23" s="429"/>
      <c r="F23" s="489"/>
      <c r="G23" s="429"/>
      <c r="H23" s="331"/>
      <c r="I23" s="429"/>
      <c r="J23" s="484"/>
      <c r="K23" s="484"/>
      <c r="L23" s="484"/>
      <c r="M23" s="484"/>
      <c r="N23" s="484"/>
      <c r="O23" s="484"/>
      <c r="P23" s="484"/>
      <c r="Q23" s="485"/>
    </row>
    <row r="24" spans="1:17" s="3" customFormat="1" ht="25" customHeight="1" x14ac:dyDescent="0.3">
      <c r="A24" s="486"/>
      <c r="B24" s="487" t="s">
        <v>638</v>
      </c>
      <c r="C24" s="331">
        <v>2</v>
      </c>
      <c r="D24" s="331">
        <v>1</v>
      </c>
      <c r="E24" s="331">
        <v>2</v>
      </c>
      <c r="F24" s="254">
        <f>I24+J23+K23</f>
        <v>85.8</v>
      </c>
      <c r="G24" s="331">
        <v>80</v>
      </c>
      <c r="H24" s="271">
        <f>C24*E24*G24</f>
        <v>320</v>
      </c>
      <c r="I24" s="269">
        <f>IF(G24&lt;70, C24*E24*16.5*1, C24*E24*16.5*1.3)</f>
        <v>85.8</v>
      </c>
      <c r="J24" s="443"/>
      <c r="K24" s="443"/>
      <c r="L24" s="443"/>
      <c r="M24" s="443"/>
      <c r="N24" s="443"/>
      <c r="O24" s="443"/>
      <c r="P24" s="443"/>
      <c r="Q24" s="585"/>
    </row>
    <row r="25" spans="1:17" s="3" customFormat="1" ht="25" customHeight="1" x14ac:dyDescent="0.3">
      <c r="A25" s="486"/>
      <c r="B25" s="488" t="s">
        <v>641</v>
      </c>
      <c r="C25" s="331">
        <v>3</v>
      </c>
      <c r="D25" s="331">
        <v>1</v>
      </c>
      <c r="E25" s="331">
        <v>4</v>
      </c>
      <c r="F25" s="254">
        <f>I25+J40+K40</f>
        <v>257.40000000000003</v>
      </c>
      <c r="G25" s="331">
        <v>70</v>
      </c>
      <c r="H25" s="271">
        <f>C25*E25*G25</f>
        <v>840</v>
      </c>
      <c r="I25" s="269">
        <f>IF(G25&lt;70, C25*E25*16.5*1, C25*E25*16.5*1.3)</f>
        <v>257.40000000000003</v>
      </c>
      <c r="J25" s="443"/>
      <c r="K25" s="443"/>
      <c r="L25" s="443"/>
      <c r="M25" s="443"/>
      <c r="N25" s="443"/>
      <c r="O25" s="443"/>
      <c r="P25" s="443"/>
      <c r="Q25" s="585"/>
    </row>
    <row r="26" spans="1:17" s="3" customFormat="1" ht="25" customHeight="1" x14ac:dyDescent="0.25">
      <c r="A26" s="486" t="s">
        <v>284</v>
      </c>
      <c r="B26" s="437" t="s">
        <v>639</v>
      </c>
      <c r="C26" s="331">
        <v>1</v>
      </c>
      <c r="D26" s="331">
        <v>1.4</v>
      </c>
      <c r="E26" s="331">
        <v>6</v>
      </c>
      <c r="F26" s="254">
        <f t="shared" ref="F26:F31" si="0">I26+J26+K26</f>
        <v>99</v>
      </c>
      <c r="G26" s="331">
        <v>20</v>
      </c>
      <c r="H26" s="271">
        <f>C26*E26*G26</f>
        <v>120</v>
      </c>
      <c r="I26" s="269">
        <f>IF(G26&lt;70, C26*E26*16.5*1, C26*E26*16.5*1.3)</f>
        <v>99</v>
      </c>
      <c r="J26" s="484"/>
      <c r="K26" s="484"/>
      <c r="L26" s="484"/>
      <c r="M26" s="484"/>
      <c r="N26" s="484"/>
      <c r="O26" s="484"/>
      <c r="P26" s="484"/>
      <c r="Q26" s="485"/>
    </row>
    <row r="27" spans="1:17" s="3" customFormat="1" ht="25" customHeight="1" x14ac:dyDescent="0.25">
      <c r="A27" s="486"/>
      <c r="B27" s="372" t="s">
        <v>661</v>
      </c>
      <c r="C27" s="331"/>
      <c r="D27" s="331"/>
      <c r="E27" s="331"/>
      <c r="F27" s="254">
        <f t="shared" si="0"/>
        <v>0</v>
      </c>
      <c r="G27" s="331"/>
      <c r="H27" s="331"/>
      <c r="I27" s="429"/>
      <c r="J27" s="443"/>
      <c r="K27" s="443"/>
      <c r="L27" s="443"/>
      <c r="M27" s="443"/>
      <c r="N27" s="443"/>
      <c r="O27" s="443"/>
      <c r="P27" s="443"/>
      <c r="Q27" s="585"/>
    </row>
    <row r="28" spans="1:17" s="3" customFormat="1" ht="25" customHeight="1" x14ac:dyDescent="0.3">
      <c r="A28" s="486" t="s">
        <v>285</v>
      </c>
      <c r="B28" s="496" t="s">
        <v>258</v>
      </c>
      <c r="C28" s="494">
        <v>2</v>
      </c>
      <c r="D28" s="331">
        <v>1</v>
      </c>
      <c r="E28" s="331">
        <v>2</v>
      </c>
      <c r="F28" s="254">
        <f t="shared" si="0"/>
        <v>85.8</v>
      </c>
      <c r="G28" s="331">
        <v>70</v>
      </c>
      <c r="H28" s="271">
        <f t="shared" ref="H28:H33" si="1">C28*E28*G28</f>
        <v>280</v>
      </c>
      <c r="I28" s="269">
        <f t="shared" ref="I28:I33" si="2">IF(G28&lt;70, C28*E28*16.5*1, C28*E28*16.5*1.3)</f>
        <v>85.8</v>
      </c>
      <c r="J28" s="270"/>
      <c r="K28" s="270"/>
      <c r="L28" s="270"/>
      <c r="M28" s="270"/>
      <c r="N28" s="270"/>
      <c r="O28" s="270"/>
      <c r="P28" s="270"/>
      <c r="Q28" s="254"/>
    </row>
    <row r="29" spans="1:17" s="3" customFormat="1" ht="25" customHeight="1" x14ac:dyDescent="0.3">
      <c r="A29" s="486" t="s">
        <v>286</v>
      </c>
      <c r="B29" s="496" t="s">
        <v>257</v>
      </c>
      <c r="C29" s="494">
        <v>2</v>
      </c>
      <c r="D29" s="331">
        <v>1</v>
      </c>
      <c r="E29" s="331">
        <v>2</v>
      </c>
      <c r="F29" s="254">
        <f t="shared" si="0"/>
        <v>85.8</v>
      </c>
      <c r="G29" s="331">
        <v>70</v>
      </c>
      <c r="H29" s="271">
        <f t="shared" si="1"/>
        <v>280</v>
      </c>
      <c r="I29" s="269">
        <f t="shared" si="2"/>
        <v>85.8</v>
      </c>
      <c r="J29" s="270"/>
      <c r="K29" s="270"/>
      <c r="L29" s="270"/>
      <c r="M29" s="270"/>
      <c r="N29" s="270"/>
      <c r="O29" s="270"/>
      <c r="P29" s="270"/>
      <c r="Q29" s="254"/>
    </row>
    <row r="30" spans="1:17" s="3" customFormat="1" ht="25" customHeight="1" x14ac:dyDescent="0.25">
      <c r="A30" s="486" t="s">
        <v>289</v>
      </c>
      <c r="B30" s="497" t="s">
        <v>658</v>
      </c>
      <c r="C30" s="494">
        <v>1</v>
      </c>
      <c r="D30" s="331">
        <v>1.4</v>
      </c>
      <c r="E30" s="331">
        <v>14</v>
      </c>
      <c r="F30" s="254">
        <f t="shared" si="0"/>
        <v>231</v>
      </c>
      <c r="G30" s="331">
        <v>20</v>
      </c>
      <c r="H30" s="271">
        <f t="shared" si="1"/>
        <v>280</v>
      </c>
      <c r="I30" s="269">
        <f t="shared" si="2"/>
        <v>231</v>
      </c>
      <c r="J30" s="270"/>
      <c r="K30" s="270"/>
      <c r="L30" s="270"/>
      <c r="M30" s="270"/>
      <c r="N30" s="270"/>
      <c r="O30" s="270"/>
      <c r="P30" s="270"/>
      <c r="Q30" s="254"/>
    </row>
    <row r="31" spans="1:17" s="3" customFormat="1" ht="25" customHeight="1" x14ac:dyDescent="0.25">
      <c r="A31" s="486"/>
      <c r="B31" s="437" t="s">
        <v>640</v>
      </c>
      <c r="C31" s="331">
        <v>3</v>
      </c>
      <c r="D31" s="331">
        <v>1</v>
      </c>
      <c r="E31" s="331">
        <v>2</v>
      </c>
      <c r="F31" s="254">
        <f t="shared" si="0"/>
        <v>128.70000000000002</v>
      </c>
      <c r="G31" s="331">
        <v>80</v>
      </c>
      <c r="H31" s="271">
        <f t="shared" si="1"/>
        <v>480</v>
      </c>
      <c r="I31" s="269">
        <f t="shared" si="2"/>
        <v>128.70000000000002</v>
      </c>
      <c r="J31" s="428"/>
      <c r="K31" s="428"/>
      <c r="L31" s="428"/>
      <c r="M31" s="428"/>
      <c r="N31" s="428"/>
      <c r="O31" s="428"/>
      <c r="P31" s="428"/>
      <c r="Q31" s="489"/>
    </row>
    <row r="32" spans="1:17" s="3" customFormat="1" ht="25" customHeight="1" x14ac:dyDescent="0.25">
      <c r="A32" s="486"/>
      <c r="B32" s="437" t="s">
        <v>252</v>
      </c>
      <c r="C32" s="331">
        <v>2</v>
      </c>
      <c r="D32" s="331">
        <v>1</v>
      </c>
      <c r="E32" s="331">
        <v>1</v>
      </c>
      <c r="F32" s="254">
        <f>I32+J29+K29</f>
        <v>33</v>
      </c>
      <c r="G32" s="331">
        <v>40</v>
      </c>
      <c r="H32" s="271">
        <f t="shared" si="1"/>
        <v>80</v>
      </c>
      <c r="I32" s="269">
        <f t="shared" si="2"/>
        <v>33</v>
      </c>
      <c r="J32" s="428"/>
      <c r="K32" s="428"/>
      <c r="L32" s="428"/>
      <c r="M32" s="428"/>
      <c r="N32" s="428"/>
      <c r="O32" s="428"/>
      <c r="P32" s="428"/>
      <c r="Q32" s="489"/>
    </row>
    <row r="33" spans="1:17" s="3" customFormat="1" ht="25" customHeight="1" x14ac:dyDescent="0.25">
      <c r="A33" s="486"/>
      <c r="B33" s="437" t="s">
        <v>266</v>
      </c>
      <c r="C33" s="331">
        <v>3</v>
      </c>
      <c r="D33" s="331">
        <v>1</v>
      </c>
      <c r="E33" s="331">
        <v>2</v>
      </c>
      <c r="F33" s="254">
        <f>I33+J54+K54</f>
        <v>128.70000000000002</v>
      </c>
      <c r="G33" s="331">
        <v>70</v>
      </c>
      <c r="H33" s="271">
        <f t="shared" si="1"/>
        <v>420</v>
      </c>
      <c r="I33" s="269">
        <f t="shared" si="2"/>
        <v>128.70000000000002</v>
      </c>
      <c r="J33" s="428"/>
      <c r="K33" s="428"/>
      <c r="L33" s="428"/>
      <c r="M33" s="428"/>
      <c r="N33" s="428"/>
      <c r="O33" s="428"/>
      <c r="P33" s="428"/>
      <c r="Q33" s="489"/>
    </row>
    <row r="34" spans="1:17" s="3" customFormat="1" ht="25" customHeight="1" x14ac:dyDescent="0.25">
      <c r="A34" s="486" t="s">
        <v>290</v>
      </c>
      <c r="B34" s="437" t="s">
        <v>254</v>
      </c>
      <c r="C34" s="331">
        <v>4</v>
      </c>
      <c r="D34" s="331">
        <v>1.4</v>
      </c>
      <c r="E34" s="331">
        <v>6</v>
      </c>
      <c r="F34" s="254">
        <f>I34+J34+K34</f>
        <v>396</v>
      </c>
      <c r="G34" s="331">
        <v>20</v>
      </c>
      <c r="H34" s="271">
        <f>C34*E34*G34</f>
        <v>480</v>
      </c>
      <c r="I34" s="269">
        <f>IF(G34&lt;70, C34*E34*16.5*1, C34*E34*16.5*1.3)</f>
        <v>396</v>
      </c>
      <c r="J34" s="270"/>
      <c r="K34" s="270"/>
      <c r="L34" s="270"/>
      <c r="M34" s="270"/>
      <c r="N34" s="270"/>
      <c r="O34" s="270"/>
      <c r="P34" s="270"/>
      <c r="Q34" s="254"/>
    </row>
    <row r="35" spans="1:17" s="3" customFormat="1" ht="25" customHeight="1" x14ac:dyDescent="0.25">
      <c r="A35" s="486" t="s">
        <v>291</v>
      </c>
      <c r="B35" s="437" t="s">
        <v>255</v>
      </c>
      <c r="C35" s="331">
        <v>3</v>
      </c>
      <c r="D35" s="331">
        <v>1.3</v>
      </c>
      <c r="E35" s="331">
        <v>6</v>
      </c>
      <c r="F35" s="254">
        <f>I35+J35+K35</f>
        <v>297</v>
      </c>
      <c r="G35" s="331">
        <v>20</v>
      </c>
      <c r="H35" s="271">
        <f>C35*E35*G35</f>
        <v>360</v>
      </c>
      <c r="I35" s="269">
        <f>IF(G35&lt;70, C35*E35*16.5*1, C35*E35*16.5*1.3)</f>
        <v>297</v>
      </c>
      <c r="J35" s="270"/>
      <c r="K35" s="270"/>
      <c r="L35" s="270"/>
      <c r="M35" s="270"/>
      <c r="N35" s="270"/>
      <c r="O35" s="270"/>
      <c r="P35" s="270"/>
      <c r="Q35" s="254"/>
    </row>
    <row r="36" spans="1:17" s="3" customFormat="1" ht="25" customHeight="1" x14ac:dyDescent="0.25">
      <c r="A36" s="486"/>
      <c r="B36" s="588" t="s">
        <v>716</v>
      </c>
      <c r="C36" s="331"/>
      <c r="D36" s="331"/>
      <c r="E36" s="331"/>
      <c r="F36" s="489"/>
      <c r="G36" s="331"/>
      <c r="H36" s="331"/>
      <c r="I36" s="429"/>
      <c r="J36" s="428"/>
      <c r="K36" s="428"/>
      <c r="L36" s="428"/>
      <c r="M36" s="428"/>
      <c r="N36" s="428"/>
      <c r="O36" s="428"/>
      <c r="P36" s="428"/>
      <c r="Q36" s="489"/>
    </row>
    <row r="37" spans="1:17" s="3" customFormat="1" ht="25" customHeight="1" x14ac:dyDescent="0.25">
      <c r="A37" s="486" t="s">
        <v>292</v>
      </c>
      <c r="B37" s="437" t="s">
        <v>256</v>
      </c>
      <c r="C37" s="331">
        <v>3</v>
      </c>
      <c r="D37" s="331">
        <v>1</v>
      </c>
      <c r="E37" s="331">
        <v>2</v>
      </c>
      <c r="F37" s="254">
        <f>I37+J37+K37</f>
        <v>128.70000000000002</v>
      </c>
      <c r="G37" s="331">
        <v>70</v>
      </c>
      <c r="H37" s="271">
        <f>C37*E37*G37</f>
        <v>420</v>
      </c>
      <c r="I37" s="269">
        <f>IF(G37&lt;70, C37*E37*16.5*1, C37*E37*16.5*1.3)</f>
        <v>128.70000000000002</v>
      </c>
      <c r="J37" s="270"/>
      <c r="K37" s="270"/>
      <c r="L37" s="270"/>
      <c r="M37" s="270"/>
      <c r="N37" s="270"/>
      <c r="O37" s="270"/>
      <c r="P37" s="270"/>
      <c r="Q37" s="254"/>
    </row>
    <row r="38" spans="1:17" s="3" customFormat="1" ht="25" customHeight="1" x14ac:dyDescent="0.25">
      <c r="A38" s="486"/>
      <c r="B38" s="437" t="s">
        <v>645</v>
      </c>
      <c r="C38" s="331">
        <v>2</v>
      </c>
      <c r="D38" s="331">
        <v>1.08</v>
      </c>
      <c r="E38" s="331">
        <v>4</v>
      </c>
      <c r="F38" s="254">
        <f>I38+J48+K48</f>
        <v>132</v>
      </c>
      <c r="G38" s="331">
        <v>50</v>
      </c>
      <c r="H38" s="271">
        <f>C38*E38*G38</f>
        <v>400</v>
      </c>
      <c r="I38" s="269">
        <f>IF(G38&lt;70, C38*E38*16.5*1, C38*E38*16.5*1.3)</f>
        <v>132</v>
      </c>
      <c r="J38" s="428"/>
      <c r="K38" s="428"/>
      <c r="L38" s="428"/>
      <c r="M38" s="428"/>
      <c r="N38" s="428"/>
      <c r="O38" s="428"/>
      <c r="P38" s="428"/>
      <c r="Q38" s="489"/>
    </row>
    <row r="39" spans="1:17" s="3" customFormat="1" ht="25" customHeight="1" x14ac:dyDescent="0.25">
      <c r="A39" s="486"/>
      <c r="B39" s="587" t="s">
        <v>714</v>
      </c>
      <c r="C39" s="331"/>
      <c r="D39" s="331"/>
      <c r="E39" s="331"/>
      <c r="F39" s="489"/>
      <c r="G39" s="331"/>
      <c r="H39" s="331"/>
      <c r="I39" s="429"/>
      <c r="J39" s="428"/>
      <c r="K39" s="428"/>
      <c r="L39" s="428"/>
      <c r="M39" s="428"/>
      <c r="N39" s="428"/>
      <c r="O39" s="428"/>
      <c r="P39" s="428"/>
      <c r="Q39" s="489"/>
    </row>
    <row r="40" spans="1:17" s="3" customFormat="1" ht="25" customHeight="1" x14ac:dyDescent="0.25">
      <c r="A40" s="486" t="s">
        <v>394</v>
      </c>
      <c r="B40" s="437" t="s">
        <v>259</v>
      </c>
      <c r="C40" s="331">
        <v>5</v>
      </c>
      <c r="D40" s="331">
        <v>1</v>
      </c>
      <c r="E40" s="331">
        <v>4</v>
      </c>
      <c r="F40" s="254">
        <f>I40+J20+K20</f>
        <v>429</v>
      </c>
      <c r="G40" s="331">
        <v>70</v>
      </c>
      <c r="H40" s="271">
        <f>C40*E40*G40</f>
        <v>1400</v>
      </c>
      <c r="I40" s="269">
        <f>IF(G40&lt;70, C40*E40*16.5*1, C40*E40*16.5*1.3)</f>
        <v>429</v>
      </c>
      <c r="J40" s="270"/>
      <c r="K40" s="270"/>
      <c r="L40" s="270"/>
      <c r="M40" s="270"/>
      <c r="N40" s="270"/>
      <c r="O40" s="270"/>
      <c r="P40" s="270"/>
      <c r="Q40" s="254"/>
    </row>
    <row r="41" spans="1:17" s="3" customFormat="1" ht="25" customHeight="1" x14ac:dyDescent="0.25">
      <c r="A41" s="486"/>
      <c r="B41" s="437" t="s">
        <v>267</v>
      </c>
      <c r="C41" s="331">
        <v>2</v>
      </c>
      <c r="D41" s="331">
        <v>1</v>
      </c>
      <c r="E41" s="331">
        <v>1</v>
      </c>
      <c r="F41" s="254">
        <f>I41+J55+K55</f>
        <v>33</v>
      </c>
      <c r="G41" s="331">
        <v>50</v>
      </c>
      <c r="H41" s="271">
        <f>C41*E41*G41</f>
        <v>100</v>
      </c>
      <c r="I41" s="269">
        <f>IF(G41&lt;70, C41*E41*16.5*1, C41*E41*16.5*1.3)</f>
        <v>33</v>
      </c>
      <c r="J41" s="428"/>
      <c r="K41" s="428"/>
      <c r="L41" s="428"/>
      <c r="M41" s="428"/>
      <c r="N41" s="428"/>
      <c r="O41" s="428"/>
      <c r="P41" s="428"/>
      <c r="Q41" s="489"/>
    </row>
    <row r="42" spans="1:17" s="3" customFormat="1" ht="25" customHeight="1" x14ac:dyDescent="0.25">
      <c r="A42" s="486"/>
      <c r="B42" s="437" t="s">
        <v>268</v>
      </c>
      <c r="C42" s="331">
        <v>2</v>
      </c>
      <c r="D42" s="331">
        <v>1</v>
      </c>
      <c r="E42" s="331">
        <v>1</v>
      </c>
      <c r="F42" s="254">
        <f>I42+J56+K56</f>
        <v>33</v>
      </c>
      <c r="G42" s="331">
        <v>50</v>
      </c>
      <c r="H42" s="271">
        <f>C42*E42*G42</f>
        <v>100</v>
      </c>
      <c r="I42" s="269">
        <f>IF(G42&lt;70, C42*E42*16.5*1, C42*E42*16.5*1.3)</f>
        <v>33</v>
      </c>
      <c r="J42" s="428"/>
      <c r="K42" s="428"/>
      <c r="L42" s="428"/>
      <c r="M42" s="428"/>
      <c r="N42" s="428"/>
      <c r="O42" s="428"/>
      <c r="P42" s="428"/>
      <c r="Q42" s="489"/>
    </row>
    <row r="43" spans="1:17" s="3" customFormat="1" ht="25" customHeight="1" x14ac:dyDescent="0.25">
      <c r="A43" s="486" t="s">
        <v>395</v>
      </c>
      <c r="B43" s="437" t="s">
        <v>642</v>
      </c>
      <c r="C43" s="331">
        <v>5</v>
      </c>
      <c r="D43" s="331">
        <v>1.4</v>
      </c>
      <c r="E43" s="331">
        <v>6</v>
      </c>
      <c r="F43" s="254">
        <f>I43+J43+K43</f>
        <v>495</v>
      </c>
      <c r="G43" s="331">
        <v>20</v>
      </c>
      <c r="H43" s="271">
        <f>C43*E43*G43</f>
        <v>600</v>
      </c>
      <c r="I43" s="269">
        <f>IF(G43&lt;70, C43*E43*16.5*1, C43*E43*16.5*1.3)</f>
        <v>495</v>
      </c>
      <c r="J43" s="270"/>
      <c r="K43" s="270"/>
      <c r="L43" s="270"/>
      <c r="M43" s="270"/>
      <c r="N43" s="270"/>
      <c r="O43" s="270"/>
      <c r="P43" s="270"/>
      <c r="Q43" s="254"/>
    </row>
    <row r="44" spans="1:17" s="3" customFormat="1" ht="25" customHeight="1" x14ac:dyDescent="0.25">
      <c r="A44" s="486"/>
      <c r="B44" s="437" t="s">
        <v>253</v>
      </c>
      <c r="C44" s="331">
        <v>2</v>
      </c>
      <c r="D44" s="331">
        <v>1</v>
      </c>
      <c r="E44" s="331">
        <v>1</v>
      </c>
      <c r="F44" s="254">
        <f>I44+J30+K30</f>
        <v>33</v>
      </c>
      <c r="G44" s="331">
        <v>40</v>
      </c>
      <c r="H44" s="271">
        <f>C44*E44*G44</f>
        <v>80</v>
      </c>
      <c r="I44" s="269">
        <f>IF(G44&lt;70, C44*E44*16.5*1, C44*E44*16.5*1.3)</f>
        <v>33</v>
      </c>
      <c r="J44" s="428"/>
      <c r="K44" s="428"/>
      <c r="L44" s="428"/>
      <c r="M44" s="428"/>
      <c r="N44" s="428"/>
      <c r="O44" s="428"/>
      <c r="P44" s="428"/>
      <c r="Q44" s="489"/>
    </row>
    <row r="45" spans="1:17" s="3" customFormat="1" ht="25" customHeight="1" x14ac:dyDescent="0.25">
      <c r="A45" s="486"/>
      <c r="B45" s="588" t="s">
        <v>717</v>
      </c>
      <c r="C45" s="331"/>
      <c r="D45" s="331"/>
      <c r="E45" s="331"/>
      <c r="F45" s="489"/>
      <c r="G45" s="331"/>
      <c r="H45" s="331"/>
      <c r="I45" s="429"/>
      <c r="J45" s="428"/>
      <c r="K45" s="428"/>
      <c r="L45" s="428"/>
      <c r="M45" s="428"/>
      <c r="N45" s="428"/>
      <c r="O45" s="428"/>
      <c r="P45" s="428"/>
      <c r="Q45" s="489"/>
    </row>
    <row r="46" spans="1:17" s="3" customFormat="1" ht="25" customHeight="1" x14ac:dyDescent="0.25">
      <c r="A46" s="486" t="s">
        <v>397</v>
      </c>
      <c r="B46" s="437" t="s">
        <v>643</v>
      </c>
      <c r="C46" s="331">
        <v>2</v>
      </c>
      <c r="D46" s="331">
        <v>1</v>
      </c>
      <c r="E46" s="331">
        <v>2</v>
      </c>
      <c r="F46" s="254">
        <f>I46+J46+K46</f>
        <v>66</v>
      </c>
      <c r="G46" s="331">
        <v>65</v>
      </c>
      <c r="H46" s="271">
        <f t="shared" ref="H46:H51" si="3">C46*E46*G46</f>
        <v>260</v>
      </c>
      <c r="I46" s="269">
        <f t="shared" ref="I46:I51" si="4">IF(G46&lt;70, C46*E46*16.5*1, C46*E46*16.5*1.3)</f>
        <v>66</v>
      </c>
      <c r="J46" s="270"/>
      <c r="K46" s="270"/>
      <c r="L46" s="270"/>
      <c r="M46" s="270"/>
      <c r="N46" s="270"/>
      <c r="O46" s="270"/>
      <c r="P46" s="270"/>
      <c r="Q46" s="254"/>
    </row>
    <row r="47" spans="1:17" s="3" customFormat="1" ht="25" customHeight="1" x14ac:dyDescent="0.25">
      <c r="A47" s="486" t="s">
        <v>398</v>
      </c>
      <c r="B47" s="437" t="s">
        <v>642</v>
      </c>
      <c r="C47" s="331">
        <v>2</v>
      </c>
      <c r="D47" s="331">
        <v>1.4</v>
      </c>
      <c r="E47" s="331">
        <v>6</v>
      </c>
      <c r="F47" s="254">
        <f>I47+J47+K47</f>
        <v>198</v>
      </c>
      <c r="G47" s="331">
        <v>20</v>
      </c>
      <c r="H47" s="271">
        <f t="shared" si="3"/>
        <v>240</v>
      </c>
      <c r="I47" s="269">
        <f t="shared" si="4"/>
        <v>198</v>
      </c>
      <c r="J47" s="270"/>
      <c r="K47" s="270"/>
      <c r="L47" s="270"/>
      <c r="M47" s="270"/>
      <c r="N47" s="270"/>
      <c r="O47" s="270"/>
      <c r="P47" s="270"/>
      <c r="Q47" s="254"/>
    </row>
    <row r="48" spans="1:17" s="3" customFormat="1" ht="25" customHeight="1" x14ac:dyDescent="0.25">
      <c r="A48" s="486" t="s">
        <v>399</v>
      </c>
      <c r="B48" s="489" t="s">
        <v>262</v>
      </c>
      <c r="C48" s="490">
        <v>4</v>
      </c>
      <c r="D48" s="331">
        <v>1.08</v>
      </c>
      <c r="E48" s="491">
        <v>2</v>
      </c>
      <c r="F48" s="254">
        <f>I48+J49+K49</f>
        <v>171.6</v>
      </c>
      <c r="G48" s="491">
        <v>70</v>
      </c>
      <c r="H48" s="271">
        <f t="shared" si="3"/>
        <v>560</v>
      </c>
      <c r="I48" s="269">
        <f t="shared" si="4"/>
        <v>171.6</v>
      </c>
      <c r="J48" s="270"/>
      <c r="K48" s="270"/>
      <c r="L48" s="270"/>
      <c r="M48" s="270"/>
      <c r="N48" s="270"/>
      <c r="O48" s="270"/>
      <c r="P48" s="270"/>
      <c r="Q48" s="254"/>
    </row>
    <row r="49" spans="1:17" s="3" customFormat="1" ht="25" customHeight="1" x14ac:dyDescent="0.25">
      <c r="A49" s="486" t="s">
        <v>400</v>
      </c>
      <c r="B49" s="492" t="s">
        <v>646</v>
      </c>
      <c r="C49" s="331">
        <v>3</v>
      </c>
      <c r="D49" s="331">
        <v>1</v>
      </c>
      <c r="E49" s="331">
        <v>2</v>
      </c>
      <c r="F49" s="254">
        <f>I49+J50+K50</f>
        <v>128.70000000000002</v>
      </c>
      <c r="G49" s="331">
        <v>80</v>
      </c>
      <c r="H49" s="271">
        <f t="shared" si="3"/>
        <v>480</v>
      </c>
      <c r="I49" s="269">
        <f t="shared" si="4"/>
        <v>128.70000000000002</v>
      </c>
      <c r="J49" s="270"/>
      <c r="K49" s="270"/>
      <c r="L49" s="270"/>
      <c r="M49" s="270"/>
      <c r="N49" s="270"/>
      <c r="O49" s="270"/>
      <c r="P49" s="270"/>
      <c r="Q49" s="254"/>
    </row>
    <row r="50" spans="1:17" s="3" customFormat="1" ht="25" customHeight="1" x14ac:dyDescent="0.25">
      <c r="A50" s="486" t="s">
        <v>401</v>
      </c>
      <c r="B50" s="437" t="s">
        <v>647</v>
      </c>
      <c r="C50" s="331">
        <v>3</v>
      </c>
      <c r="D50" s="331">
        <v>1</v>
      </c>
      <c r="E50" s="331">
        <v>2</v>
      </c>
      <c r="F50" s="254">
        <f>I50+J51+K51</f>
        <v>128.70000000000002</v>
      </c>
      <c r="G50" s="331">
        <v>70</v>
      </c>
      <c r="H50" s="271">
        <f t="shared" si="3"/>
        <v>420</v>
      </c>
      <c r="I50" s="269">
        <f t="shared" si="4"/>
        <v>128.70000000000002</v>
      </c>
      <c r="J50" s="270"/>
      <c r="K50" s="270"/>
      <c r="L50" s="270"/>
      <c r="M50" s="270"/>
      <c r="N50" s="270"/>
      <c r="O50" s="270"/>
      <c r="P50" s="270"/>
      <c r="Q50" s="254"/>
    </row>
    <row r="51" spans="1:17" s="3" customFormat="1" ht="25" customHeight="1" x14ac:dyDescent="0.25">
      <c r="A51" s="486" t="s">
        <v>402</v>
      </c>
      <c r="B51" s="437" t="s">
        <v>264</v>
      </c>
      <c r="C51" s="331">
        <v>3</v>
      </c>
      <c r="D51" s="331">
        <v>1</v>
      </c>
      <c r="E51" s="331">
        <v>1</v>
      </c>
      <c r="F51" s="254">
        <f>I51+J52+K52</f>
        <v>49.5</v>
      </c>
      <c r="G51" s="331">
        <v>21</v>
      </c>
      <c r="H51" s="271">
        <f t="shared" si="3"/>
        <v>63</v>
      </c>
      <c r="I51" s="269">
        <f t="shared" si="4"/>
        <v>49.5</v>
      </c>
      <c r="J51" s="270"/>
      <c r="K51" s="270"/>
      <c r="L51" s="270"/>
      <c r="M51" s="270"/>
      <c r="N51" s="270"/>
      <c r="O51" s="270"/>
      <c r="P51" s="270"/>
      <c r="Q51" s="254"/>
    </row>
    <row r="52" spans="1:17" s="3" customFormat="1" ht="25" customHeight="1" x14ac:dyDescent="0.25">
      <c r="A52" s="486"/>
      <c r="B52" s="588" t="s">
        <v>718</v>
      </c>
      <c r="C52" s="331"/>
      <c r="D52" s="331"/>
      <c r="E52" s="331"/>
      <c r="F52" s="489"/>
      <c r="G52" s="331"/>
      <c r="H52" s="331"/>
      <c r="I52" s="429"/>
      <c r="J52" s="428"/>
      <c r="K52" s="428"/>
      <c r="L52" s="428"/>
      <c r="M52" s="428"/>
      <c r="N52" s="428"/>
      <c r="O52" s="428"/>
      <c r="P52" s="428"/>
      <c r="Q52" s="489"/>
    </row>
    <row r="53" spans="1:17" s="3" customFormat="1" ht="25" customHeight="1" x14ac:dyDescent="0.25">
      <c r="A53" s="486" t="s">
        <v>406</v>
      </c>
      <c r="B53" s="437" t="s">
        <v>635</v>
      </c>
      <c r="C53" s="331">
        <v>1</v>
      </c>
      <c r="D53" s="331">
        <v>1.4</v>
      </c>
      <c r="E53" s="331">
        <v>14</v>
      </c>
      <c r="F53" s="254">
        <f>I53+J14+K14</f>
        <v>231</v>
      </c>
      <c r="G53" s="331">
        <v>20</v>
      </c>
      <c r="H53" s="271">
        <f>C53*E53*G53</f>
        <v>280</v>
      </c>
      <c r="I53" s="269">
        <f>IF(G53&lt;70, C53*E53*16.5*1, C53*E53*16.5*1.3)</f>
        <v>231</v>
      </c>
      <c r="J53" s="270"/>
      <c r="K53" s="270"/>
      <c r="L53" s="270"/>
      <c r="M53" s="270"/>
      <c r="N53" s="270"/>
      <c r="O53" s="270"/>
      <c r="P53" s="270"/>
      <c r="Q53" s="254"/>
    </row>
    <row r="54" spans="1:17" s="3" customFormat="1" ht="25" customHeight="1" x14ac:dyDescent="0.25">
      <c r="A54" s="486" t="s">
        <v>407</v>
      </c>
      <c r="B54" s="437" t="s">
        <v>260</v>
      </c>
      <c r="C54" s="331">
        <v>2</v>
      </c>
      <c r="D54" s="331">
        <v>1</v>
      </c>
      <c r="E54" s="331">
        <v>4</v>
      </c>
      <c r="F54" s="254">
        <f>I54+J15+K15</f>
        <v>132</v>
      </c>
      <c r="G54" s="331">
        <v>40</v>
      </c>
      <c r="H54" s="271">
        <f>C54*E54*G54</f>
        <v>320</v>
      </c>
      <c r="I54" s="269">
        <f>IF(G54&lt;70, C54*E54*16.5*1, C54*E54*16.5*1.3)</f>
        <v>132</v>
      </c>
      <c r="J54" s="270"/>
      <c r="K54" s="270"/>
      <c r="L54" s="270"/>
      <c r="M54" s="270"/>
      <c r="N54" s="270"/>
      <c r="O54" s="270"/>
      <c r="P54" s="270"/>
      <c r="Q54" s="254"/>
    </row>
    <row r="55" spans="1:17" s="3" customFormat="1" ht="25" customHeight="1" x14ac:dyDescent="0.25">
      <c r="A55" s="486" t="s">
        <v>408</v>
      </c>
      <c r="B55" s="3" t="s">
        <v>719</v>
      </c>
      <c r="F55" s="254">
        <f>I55+J16+K16</f>
        <v>0</v>
      </c>
      <c r="J55" s="270"/>
      <c r="K55" s="270"/>
      <c r="L55" s="270"/>
      <c r="M55" s="270"/>
      <c r="N55" s="270"/>
      <c r="O55" s="270"/>
      <c r="P55" s="270"/>
      <c r="Q55" s="254"/>
    </row>
    <row r="56" spans="1:17" s="3" customFormat="1" ht="25" customHeight="1" x14ac:dyDescent="0.25">
      <c r="A56" s="486" t="s">
        <v>409</v>
      </c>
      <c r="B56" s="437" t="s">
        <v>648</v>
      </c>
      <c r="C56" s="331">
        <v>4</v>
      </c>
      <c r="D56" s="331">
        <v>1</v>
      </c>
      <c r="E56" s="331">
        <v>5</v>
      </c>
      <c r="F56" s="254">
        <f>I56+J17+K17</f>
        <v>429</v>
      </c>
      <c r="G56" s="331">
        <v>70</v>
      </c>
      <c r="H56" s="271">
        <f>C56*E56*G56</f>
        <v>1400</v>
      </c>
      <c r="I56" s="269">
        <f>IF(G56&lt;70, C56*E56*16.5*1, C56*E56*16.5*1.3)</f>
        <v>429</v>
      </c>
      <c r="J56" s="270"/>
      <c r="K56" s="270"/>
      <c r="L56" s="270"/>
      <c r="M56" s="270"/>
      <c r="N56" s="270"/>
      <c r="O56" s="270"/>
      <c r="P56" s="270"/>
      <c r="Q56" s="254"/>
    </row>
    <row r="57" spans="1:17" s="3" customFormat="1" ht="25" customHeight="1" x14ac:dyDescent="0.25">
      <c r="A57" s="486" t="s">
        <v>410</v>
      </c>
      <c r="B57" s="495" t="s">
        <v>261</v>
      </c>
      <c r="C57" s="494">
        <v>4</v>
      </c>
      <c r="D57" s="331">
        <v>1</v>
      </c>
      <c r="E57" s="331">
        <v>4</v>
      </c>
      <c r="F57" s="254">
        <f>I57+J18+K18</f>
        <v>343.2</v>
      </c>
      <c r="G57" s="331">
        <v>70</v>
      </c>
      <c r="H57" s="271">
        <f>C57*E57*G57</f>
        <v>1120</v>
      </c>
      <c r="I57" s="269">
        <f>IF(G57&lt;70, C57*E57*16.5*1, C57*E57*16.5*1.3)</f>
        <v>343.2</v>
      </c>
      <c r="J57" s="270"/>
      <c r="K57" s="270"/>
      <c r="L57" s="270"/>
      <c r="M57" s="270"/>
      <c r="N57" s="270"/>
      <c r="O57" s="270"/>
      <c r="P57" s="270"/>
      <c r="Q57" s="254"/>
    </row>
    <row r="58" spans="1:17" s="3" customFormat="1" ht="25" customHeight="1" x14ac:dyDescent="0.25">
      <c r="A58" s="486" t="s">
        <v>650</v>
      </c>
      <c r="B58" s="493" t="s">
        <v>651</v>
      </c>
      <c r="C58" s="494">
        <v>3</v>
      </c>
      <c r="D58" s="331">
        <v>1</v>
      </c>
      <c r="E58" s="331">
        <v>4</v>
      </c>
      <c r="F58" s="254">
        <f>I58+J58+K58</f>
        <v>257.40000000000003</v>
      </c>
      <c r="G58" s="331">
        <v>70</v>
      </c>
      <c r="H58" s="271">
        <f>C58*E58*G58</f>
        <v>840</v>
      </c>
      <c r="I58" s="269">
        <f>IF(G58&lt;70, C58*E58*16.5*1, C58*E58*16.5*1.3)</f>
        <v>257.40000000000003</v>
      </c>
      <c r="J58" s="270"/>
      <c r="K58" s="270"/>
      <c r="L58" s="270"/>
      <c r="M58" s="270"/>
      <c r="N58" s="270"/>
      <c r="O58" s="270"/>
      <c r="P58" s="270"/>
      <c r="Q58" s="254"/>
    </row>
    <row r="59" spans="1:17" s="3" customFormat="1" ht="25" customHeight="1" x14ac:dyDescent="0.25">
      <c r="A59" s="486" t="s">
        <v>659</v>
      </c>
      <c r="B59" s="498" t="s">
        <v>413</v>
      </c>
      <c r="C59" s="491">
        <v>1</v>
      </c>
      <c r="D59" s="491">
        <v>1.4</v>
      </c>
      <c r="E59" s="491">
        <v>10</v>
      </c>
      <c r="F59" s="254">
        <f>I59+J59+K59</f>
        <v>165</v>
      </c>
      <c r="G59" s="491">
        <v>40</v>
      </c>
      <c r="H59" s="271">
        <f>C59*E59*G59</f>
        <v>400</v>
      </c>
      <c r="I59" s="269">
        <f>IF(G59&lt;70, C59*E59*16.5*1, C59*E59*16.5*1.3)</f>
        <v>165</v>
      </c>
      <c r="J59" s="270"/>
      <c r="K59" s="270"/>
      <c r="L59" s="270"/>
      <c r="M59" s="270"/>
      <c r="N59" s="270"/>
      <c r="O59" s="270"/>
      <c r="P59" s="270"/>
      <c r="Q59" s="437"/>
    </row>
    <row r="60" spans="1:17" s="3" customFormat="1" ht="25" customHeight="1" x14ac:dyDescent="0.25">
      <c r="A60" s="499" t="s">
        <v>148</v>
      </c>
      <c r="B60" s="500" t="s">
        <v>151</v>
      </c>
      <c r="C60" s="331">
        <v>0</v>
      </c>
      <c r="D60" s="331">
        <v>0</v>
      </c>
      <c r="E60" s="331">
        <v>0</v>
      </c>
      <c r="F60" s="271">
        <v>0</v>
      </c>
      <c r="G60" s="331">
        <v>0</v>
      </c>
      <c r="H60" s="271">
        <v>0</v>
      </c>
      <c r="I60" s="271">
        <v>0</v>
      </c>
      <c r="J60" s="270"/>
      <c r="K60" s="270"/>
      <c r="L60" s="270"/>
      <c r="M60" s="270"/>
      <c r="N60" s="270"/>
      <c r="O60" s="270"/>
      <c r="P60" s="270"/>
      <c r="Q60" s="437"/>
    </row>
    <row r="61" spans="1:17" s="3" customFormat="1" ht="25" customHeight="1" x14ac:dyDescent="0.25">
      <c r="A61" s="501" t="s">
        <v>232</v>
      </c>
      <c r="B61" s="486" t="s">
        <v>156</v>
      </c>
      <c r="C61" s="331">
        <v>4</v>
      </c>
      <c r="D61" s="331">
        <v>1.4</v>
      </c>
      <c r="E61" s="331">
        <v>6</v>
      </c>
      <c r="F61" s="254">
        <f>I61+J61+K61</f>
        <v>240</v>
      </c>
      <c r="G61" s="331">
        <v>20</v>
      </c>
      <c r="H61" s="271">
        <f>C61*E61*G61</f>
        <v>480</v>
      </c>
      <c r="I61" s="269">
        <f>E61*G61*2</f>
        <v>240</v>
      </c>
      <c r="J61" s="270"/>
      <c r="K61" s="270"/>
      <c r="L61" s="270"/>
      <c r="M61" s="270"/>
      <c r="N61" s="270"/>
      <c r="O61" s="270"/>
      <c r="P61" s="270"/>
      <c r="Q61" s="437" t="s">
        <v>699</v>
      </c>
    </row>
    <row r="62" spans="1:17" s="3" customFormat="1" ht="25" customHeight="1" x14ac:dyDescent="0.25">
      <c r="A62" s="501" t="s">
        <v>233</v>
      </c>
      <c r="B62" s="486" t="s">
        <v>157</v>
      </c>
      <c r="C62" s="331">
        <v>0</v>
      </c>
      <c r="D62" s="331"/>
      <c r="E62" s="331">
        <v>0</v>
      </c>
      <c r="F62" s="271">
        <v>0</v>
      </c>
      <c r="G62" s="331">
        <v>0</v>
      </c>
      <c r="H62" s="271">
        <v>0</v>
      </c>
      <c r="I62" s="270">
        <v>0</v>
      </c>
      <c r="J62" s="270"/>
      <c r="K62" s="270"/>
      <c r="L62" s="270"/>
      <c r="M62" s="270"/>
      <c r="N62" s="270"/>
      <c r="O62" s="270"/>
      <c r="P62" s="270"/>
      <c r="Q62" s="254"/>
    </row>
    <row r="63" spans="1:17" s="3" customFormat="1" ht="25" customHeight="1" x14ac:dyDescent="0.25">
      <c r="A63" s="502"/>
      <c r="B63" s="503" t="s">
        <v>353</v>
      </c>
      <c r="C63" s="504">
        <f t="shared" ref="C63:K63" si="5">SUM(C13:C62)</f>
        <v>107</v>
      </c>
      <c r="D63" s="504">
        <f t="shared" si="5"/>
        <v>43.659999999999989</v>
      </c>
      <c r="E63" s="504">
        <f t="shared" si="5"/>
        <v>155</v>
      </c>
      <c r="F63" s="504">
        <f t="shared" si="5"/>
        <v>7123.7999999999993</v>
      </c>
      <c r="G63" s="504">
        <f t="shared" si="5"/>
        <v>2106</v>
      </c>
      <c r="H63" s="504">
        <f t="shared" si="5"/>
        <v>18583</v>
      </c>
      <c r="I63" s="504">
        <f t="shared" si="5"/>
        <v>7123.7999999999993</v>
      </c>
      <c r="J63" s="504">
        <f t="shared" si="5"/>
        <v>0</v>
      </c>
      <c r="K63" s="504">
        <f t="shared" si="5"/>
        <v>0</v>
      </c>
      <c r="L63" s="505"/>
      <c r="M63" s="505"/>
      <c r="N63" s="505"/>
      <c r="O63" s="505"/>
      <c r="P63" s="505"/>
      <c r="Q63" s="506"/>
    </row>
    <row r="64" spans="1:17" s="3" customFormat="1" ht="25" customHeight="1" x14ac:dyDescent="0.25">
      <c r="A64" s="507">
        <v>2</v>
      </c>
      <c r="B64" s="507" t="s">
        <v>164</v>
      </c>
      <c r="C64" s="331"/>
      <c r="D64" s="331"/>
      <c r="E64" s="331"/>
      <c r="F64" s="254"/>
      <c r="G64" s="331"/>
      <c r="H64" s="271"/>
      <c r="I64" s="269"/>
      <c r="J64" s="270"/>
      <c r="K64" s="270"/>
      <c r="L64" s="270"/>
      <c r="M64" s="270"/>
      <c r="N64" s="270"/>
      <c r="O64" s="270"/>
      <c r="P64" s="270"/>
      <c r="Q64" s="254"/>
    </row>
    <row r="65" spans="1:17" s="3" customFormat="1" ht="25" customHeight="1" x14ac:dyDescent="0.25">
      <c r="A65" s="444" t="s">
        <v>147</v>
      </c>
      <c r="B65" s="508" t="s">
        <v>165</v>
      </c>
      <c r="C65" s="331"/>
      <c r="D65" s="331"/>
      <c r="E65" s="331"/>
      <c r="F65" s="254">
        <f t="shared" ref="F65:F71" si="6">I65+J65+K65</f>
        <v>0</v>
      </c>
      <c r="G65" s="331"/>
      <c r="H65" s="271">
        <f>C65*D65*E65*G65</f>
        <v>0</v>
      </c>
      <c r="I65" s="269">
        <f>IF(G65&lt;70, C65*E65*16.5*1.5, C65*E65*16.5*1.5)</f>
        <v>0</v>
      </c>
      <c r="J65" s="270"/>
      <c r="K65" s="270"/>
      <c r="L65" s="270"/>
      <c r="M65" s="270"/>
      <c r="N65" s="270"/>
      <c r="O65" s="270"/>
      <c r="P65" s="270"/>
      <c r="Q65" s="254"/>
    </row>
    <row r="66" spans="1:17" s="3" customFormat="1" ht="25" customHeight="1" x14ac:dyDescent="0.25">
      <c r="A66" s="486" t="s">
        <v>226</v>
      </c>
      <c r="B66" s="509" t="s">
        <v>269</v>
      </c>
      <c r="C66" s="331">
        <v>3</v>
      </c>
      <c r="D66" s="331">
        <v>1</v>
      </c>
      <c r="E66" s="331">
        <v>1</v>
      </c>
      <c r="F66" s="254">
        <f t="shared" si="6"/>
        <v>74.25</v>
      </c>
      <c r="G66" s="331">
        <v>10</v>
      </c>
      <c r="H66" s="271">
        <f t="shared" ref="H66:H71" si="7">C66*E66*G66</f>
        <v>30</v>
      </c>
      <c r="I66" s="269">
        <f t="shared" ref="I66:I71" si="8">C66*E66*16.5*1.5</f>
        <v>74.25</v>
      </c>
      <c r="J66" s="270"/>
      <c r="K66" s="270"/>
      <c r="L66" s="270"/>
      <c r="M66" s="270"/>
      <c r="N66" s="270"/>
      <c r="O66" s="270"/>
      <c r="P66" s="270"/>
      <c r="Q66" s="254"/>
    </row>
    <row r="67" spans="1:17" s="3" customFormat="1" ht="25" customHeight="1" x14ac:dyDescent="0.25">
      <c r="A67" s="486" t="s">
        <v>227</v>
      </c>
      <c r="B67" s="509" t="s">
        <v>270</v>
      </c>
      <c r="C67" s="331">
        <v>3</v>
      </c>
      <c r="D67" s="331">
        <v>1</v>
      </c>
      <c r="E67" s="331">
        <v>1</v>
      </c>
      <c r="F67" s="254">
        <f t="shared" si="6"/>
        <v>74.25</v>
      </c>
      <c r="G67" s="331">
        <v>10</v>
      </c>
      <c r="H67" s="271">
        <f t="shared" si="7"/>
        <v>30</v>
      </c>
      <c r="I67" s="269">
        <f t="shared" si="8"/>
        <v>74.25</v>
      </c>
      <c r="J67" s="270"/>
      <c r="K67" s="270"/>
      <c r="L67" s="270"/>
      <c r="M67" s="270"/>
      <c r="N67" s="270"/>
      <c r="O67" s="270"/>
      <c r="P67" s="270"/>
      <c r="Q67" s="254"/>
    </row>
    <row r="68" spans="1:17" s="3" customFormat="1" ht="25" customHeight="1" x14ac:dyDescent="0.25">
      <c r="A68" s="486" t="s">
        <v>228</v>
      </c>
      <c r="B68" s="509" t="s">
        <v>271</v>
      </c>
      <c r="C68" s="331">
        <v>3</v>
      </c>
      <c r="D68" s="331">
        <v>1</v>
      </c>
      <c r="E68" s="331">
        <v>1</v>
      </c>
      <c r="F68" s="254">
        <f t="shared" si="6"/>
        <v>74.25</v>
      </c>
      <c r="G68" s="331">
        <v>10</v>
      </c>
      <c r="H68" s="271">
        <f t="shared" si="7"/>
        <v>30</v>
      </c>
      <c r="I68" s="269">
        <f t="shared" si="8"/>
        <v>74.25</v>
      </c>
      <c r="J68" s="270"/>
      <c r="K68" s="270"/>
      <c r="L68" s="270"/>
      <c r="M68" s="270"/>
      <c r="N68" s="270"/>
      <c r="O68" s="270"/>
      <c r="P68" s="270"/>
      <c r="Q68" s="254"/>
    </row>
    <row r="69" spans="1:17" s="3" customFormat="1" ht="25" customHeight="1" x14ac:dyDescent="0.25">
      <c r="A69" s="486" t="s">
        <v>229</v>
      </c>
      <c r="B69" s="509" t="s">
        <v>272</v>
      </c>
      <c r="C69" s="331">
        <v>3</v>
      </c>
      <c r="D69" s="331">
        <v>1</v>
      </c>
      <c r="E69" s="331">
        <v>1</v>
      </c>
      <c r="F69" s="254">
        <f t="shared" si="6"/>
        <v>74.25</v>
      </c>
      <c r="G69" s="331">
        <v>10</v>
      </c>
      <c r="H69" s="271">
        <f t="shared" si="7"/>
        <v>30</v>
      </c>
      <c r="I69" s="269">
        <f t="shared" si="8"/>
        <v>74.25</v>
      </c>
      <c r="J69" s="270"/>
      <c r="K69" s="270"/>
      <c r="L69" s="270"/>
      <c r="M69" s="270"/>
      <c r="N69" s="270"/>
      <c r="O69" s="270"/>
      <c r="P69" s="270"/>
      <c r="Q69" s="254"/>
    </row>
    <row r="70" spans="1:17" s="3" customFormat="1" ht="25" customHeight="1" x14ac:dyDescent="0.25">
      <c r="A70" s="486" t="s">
        <v>230</v>
      </c>
      <c r="B70" s="510" t="s">
        <v>273</v>
      </c>
      <c r="C70" s="331">
        <v>3</v>
      </c>
      <c r="D70" s="331">
        <v>1</v>
      </c>
      <c r="E70" s="331">
        <v>1</v>
      </c>
      <c r="F70" s="254">
        <f t="shared" si="6"/>
        <v>74.25</v>
      </c>
      <c r="G70" s="331">
        <v>10</v>
      </c>
      <c r="H70" s="271">
        <f t="shared" si="7"/>
        <v>30</v>
      </c>
      <c r="I70" s="269">
        <f t="shared" si="8"/>
        <v>74.25</v>
      </c>
      <c r="J70" s="270"/>
      <c r="K70" s="270"/>
      <c r="L70" s="270"/>
      <c r="M70" s="270"/>
      <c r="N70" s="270"/>
      <c r="O70" s="270"/>
      <c r="P70" s="270"/>
      <c r="Q70" s="254"/>
    </row>
    <row r="71" spans="1:17" s="3" customFormat="1" ht="25" customHeight="1" x14ac:dyDescent="0.25">
      <c r="A71" s="486" t="s">
        <v>231</v>
      </c>
      <c r="B71" s="509" t="s">
        <v>531</v>
      </c>
      <c r="C71" s="331">
        <v>3</v>
      </c>
      <c r="D71" s="331">
        <v>1</v>
      </c>
      <c r="E71" s="331">
        <v>1</v>
      </c>
      <c r="F71" s="254">
        <f t="shared" si="6"/>
        <v>74.25</v>
      </c>
      <c r="G71" s="331">
        <v>15</v>
      </c>
      <c r="H71" s="271">
        <f t="shared" si="7"/>
        <v>45</v>
      </c>
      <c r="I71" s="269">
        <f t="shared" si="8"/>
        <v>74.25</v>
      </c>
      <c r="J71" s="270"/>
      <c r="K71" s="270"/>
      <c r="L71" s="270"/>
      <c r="M71" s="270"/>
      <c r="N71" s="270"/>
      <c r="O71" s="270"/>
      <c r="P71" s="270"/>
      <c r="Q71" s="254"/>
    </row>
    <row r="72" spans="1:17" s="3" customFormat="1" ht="25" customHeight="1" x14ac:dyDescent="0.25">
      <c r="A72" s="499" t="s">
        <v>148</v>
      </c>
      <c r="B72" s="500" t="s">
        <v>470</v>
      </c>
      <c r="C72" s="331"/>
      <c r="D72" s="331"/>
      <c r="E72" s="331"/>
      <c r="F72" s="271"/>
      <c r="G72" s="331"/>
      <c r="H72" s="271"/>
      <c r="I72" s="270"/>
      <c r="J72" s="270"/>
      <c r="K72" s="270"/>
      <c r="L72" s="270"/>
      <c r="M72" s="270"/>
      <c r="N72" s="270"/>
      <c r="O72" s="270"/>
      <c r="P72" s="270"/>
      <c r="Q72" s="254"/>
    </row>
    <row r="73" spans="1:17" s="3" customFormat="1" ht="25" customHeight="1" x14ac:dyDescent="0.25">
      <c r="A73" s="499"/>
      <c r="B73" s="486" t="s">
        <v>700</v>
      </c>
      <c r="C73" s="331">
        <v>15</v>
      </c>
      <c r="D73" s="331">
        <v>1</v>
      </c>
      <c r="E73" s="331">
        <v>1</v>
      </c>
      <c r="F73" s="254">
        <f t="shared" ref="F73:F102" si="9">I73+J73+K73</f>
        <v>280</v>
      </c>
      <c r="G73" s="331">
        <v>8</v>
      </c>
      <c r="H73" s="271">
        <f>C73*E73*G73</f>
        <v>120</v>
      </c>
      <c r="I73" s="269">
        <f>8*35</f>
        <v>280</v>
      </c>
      <c r="J73" s="270"/>
      <c r="K73" s="270"/>
      <c r="L73" s="270"/>
      <c r="M73" s="270"/>
      <c r="N73" s="270"/>
      <c r="O73" s="270"/>
      <c r="P73" s="270"/>
      <c r="Q73" s="254" t="s">
        <v>701</v>
      </c>
    </row>
    <row r="74" spans="1:17" s="3" customFormat="1" ht="25" customHeight="1" x14ac:dyDescent="0.25">
      <c r="A74" s="511"/>
      <c r="B74" s="503" t="s">
        <v>353</v>
      </c>
      <c r="C74" s="504">
        <f t="shared" ref="C74:I74" si="10">SUM(C66:C73)</f>
        <v>33</v>
      </c>
      <c r="D74" s="504">
        <f t="shared" si="10"/>
        <v>7</v>
      </c>
      <c r="E74" s="504">
        <f t="shared" si="10"/>
        <v>7</v>
      </c>
      <c r="F74" s="457">
        <f t="shared" si="10"/>
        <v>725.5</v>
      </c>
      <c r="G74" s="457">
        <f t="shared" si="10"/>
        <v>73</v>
      </c>
      <c r="H74" s="457">
        <f t="shared" si="10"/>
        <v>315</v>
      </c>
      <c r="I74" s="457">
        <f t="shared" si="10"/>
        <v>725.5</v>
      </c>
      <c r="J74" s="505"/>
      <c r="K74" s="505"/>
      <c r="L74" s="505"/>
      <c r="M74" s="505"/>
      <c r="N74" s="505"/>
      <c r="O74" s="505"/>
      <c r="P74" s="505"/>
      <c r="Q74" s="506"/>
    </row>
    <row r="75" spans="1:17" s="3" customFormat="1" ht="25" customHeight="1" x14ac:dyDescent="0.25">
      <c r="A75" s="507">
        <v>3</v>
      </c>
      <c r="B75" s="507" t="s">
        <v>166</v>
      </c>
      <c r="C75" s="331">
        <v>0</v>
      </c>
      <c r="D75" s="331">
        <v>0</v>
      </c>
      <c r="E75" s="331">
        <v>0</v>
      </c>
      <c r="F75" s="254">
        <f t="shared" si="9"/>
        <v>0</v>
      </c>
      <c r="G75" s="331">
        <v>0</v>
      </c>
      <c r="H75" s="271">
        <f>C75*D75*E75*G75</f>
        <v>0</v>
      </c>
      <c r="I75" s="269">
        <f t="shared" ref="I75:I102" si="11">IF(G75&lt;70, C75*E75*16.5*1, C75*E75*16.5*1.3)</f>
        <v>0</v>
      </c>
      <c r="J75" s="270"/>
      <c r="K75" s="270"/>
      <c r="L75" s="270"/>
      <c r="M75" s="270"/>
      <c r="N75" s="270"/>
      <c r="O75" s="270"/>
      <c r="P75" s="270"/>
      <c r="Q75" s="254"/>
    </row>
    <row r="76" spans="1:17" s="3" customFormat="1" ht="25" customHeight="1" x14ac:dyDescent="0.25">
      <c r="A76" s="507" t="s">
        <v>8</v>
      </c>
      <c r="B76" s="507" t="s">
        <v>224</v>
      </c>
      <c r="C76" s="331"/>
      <c r="D76" s="331"/>
      <c r="E76" s="331"/>
      <c r="F76" s="254">
        <f t="shared" si="9"/>
        <v>0</v>
      </c>
      <c r="G76" s="331"/>
      <c r="H76" s="271">
        <f>C76*D76*E76*G76</f>
        <v>0</v>
      </c>
      <c r="I76" s="269">
        <f t="shared" si="11"/>
        <v>0</v>
      </c>
      <c r="J76" s="270"/>
      <c r="K76" s="270"/>
      <c r="L76" s="270"/>
      <c r="M76" s="270"/>
      <c r="N76" s="270"/>
      <c r="O76" s="270"/>
      <c r="P76" s="270"/>
      <c r="Q76" s="254"/>
    </row>
    <row r="77" spans="1:17" s="3" customFormat="1" ht="25" customHeight="1" x14ac:dyDescent="0.25">
      <c r="A77" s="507">
        <v>1</v>
      </c>
      <c r="B77" s="508" t="s">
        <v>225</v>
      </c>
      <c r="C77" s="331"/>
      <c r="D77" s="331"/>
      <c r="E77" s="331"/>
      <c r="F77" s="254">
        <f t="shared" si="9"/>
        <v>0</v>
      </c>
      <c r="G77" s="331"/>
      <c r="H77" s="271">
        <f>C77*D77*E77*G77</f>
        <v>0</v>
      </c>
      <c r="I77" s="269">
        <f t="shared" si="11"/>
        <v>0</v>
      </c>
      <c r="J77" s="270"/>
      <c r="K77" s="270"/>
      <c r="L77" s="270"/>
      <c r="M77" s="270"/>
      <c r="N77" s="270"/>
      <c r="O77" s="270"/>
      <c r="P77" s="270"/>
      <c r="Q77" s="254"/>
    </row>
    <row r="78" spans="1:17" s="3" customFormat="1" ht="25" customHeight="1" x14ac:dyDescent="0.25">
      <c r="A78" s="507" t="s">
        <v>147</v>
      </c>
      <c r="B78" s="508" t="s">
        <v>163</v>
      </c>
      <c r="C78" s="331"/>
      <c r="D78" s="331"/>
      <c r="E78" s="331"/>
      <c r="F78" s="254"/>
      <c r="G78" s="331"/>
      <c r="H78" s="271"/>
      <c r="I78" s="269"/>
      <c r="J78" s="270"/>
      <c r="K78" s="270"/>
      <c r="L78" s="270"/>
      <c r="M78" s="270"/>
      <c r="N78" s="270"/>
      <c r="O78" s="270"/>
      <c r="P78" s="270"/>
      <c r="Q78" s="254"/>
    </row>
    <row r="79" spans="1:17" s="3" customFormat="1" ht="25" customHeight="1" x14ac:dyDescent="0.25">
      <c r="A79" s="507"/>
      <c r="B79" s="508" t="s">
        <v>661</v>
      </c>
      <c r="C79" s="331"/>
      <c r="D79" s="331"/>
      <c r="E79" s="331"/>
      <c r="F79" s="489"/>
      <c r="G79" s="331"/>
      <c r="H79" s="331"/>
      <c r="I79" s="429"/>
      <c r="J79" s="428"/>
      <c r="K79" s="428"/>
      <c r="L79" s="428"/>
      <c r="M79" s="428"/>
      <c r="N79" s="428"/>
      <c r="O79" s="428"/>
      <c r="P79" s="428"/>
      <c r="Q79" s="489"/>
    </row>
    <row r="80" spans="1:17" s="3" customFormat="1" ht="25" customHeight="1" x14ac:dyDescent="0.25">
      <c r="A80" s="501" t="s">
        <v>226</v>
      </c>
      <c r="B80" s="510" t="s">
        <v>266</v>
      </c>
      <c r="C80" s="331">
        <v>3</v>
      </c>
      <c r="D80" s="331">
        <v>1</v>
      </c>
      <c r="E80" s="331">
        <v>3</v>
      </c>
      <c r="F80" s="254">
        <f t="shared" si="9"/>
        <v>148.5</v>
      </c>
      <c r="G80" s="331">
        <v>40</v>
      </c>
      <c r="H80" s="271">
        <f t="shared" ref="H80:H102" si="12">C80*E80*G80</f>
        <v>360</v>
      </c>
      <c r="I80" s="269">
        <f t="shared" si="11"/>
        <v>148.5</v>
      </c>
      <c r="J80" s="270"/>
      <c r="K80" s="270"/>
      <c r="L80" s="270"/>
      <c r="M80" s="270"/>
      <c r="N80" s="270"/>
      <c r="O80" s="270"/>
      <c r="P80" s="270"/>
      <c r="Q80" s="254"/>
    </row>
    <row r="81" spans="1:17" s="3" customFormat="1" ht="25" customHeight="1" x14ac:dyDescent="0.25">
      <c r="A81" s="501"/>
      <c r="B81" s="589" t="s">
        <v>714</v>
      </c>
      <c r="C81" s="331"/>
      <c r="D81" s="331"/>
      <c r="E81" s="331"/>
      <c r="F81" s="489"/>
      <c r="G81" s="331"/>
      <c r="H81" s="331"/>
      <c r="I81" s="429"/>
      <c r="J81" s="428"/>
      <c r="K81" s="428"/>
      <c r="L81" s="428"/>
      <c r="M81" s="428"/>
      <c r="N81" s="428"/>
      <c r="O81" s="428"/>
      <c r="P81" s="428"/>
      <c r="Q81" s="489"/>
    </row>
    <row r="82" spans="1:17" s="3" customFormat="1" ht="25" customHeight="1" x14ac:dyDescent="0.25">
      <c r="A82" s="501" t="s">
        <v>227</v>
      </c>
      <c r="B82" s="510" t="s">
        <v>274</v>
      </c>
      <c r="C82" s="331">
        <v>5</v>
      </c>
      <c r="D82" s="331">
        <v>1</v>
      </c>
      <c r="E82" s="331">
        <v>3</v>
      </c>
      <c r="F82" s="254">
        <f t="shared" si="9"/>
        <v>247.5</v>
      </c>
      <c r="G82" s="331">
        <v>40</v>
      </c>
      <c r="H82" s="271">
        <f t="shared" si="12"/>
        <v>600</v>
      </c>
      <c r="I82" s="269">
        <f t="shared" si="11"/>
        <v>247.5</v>
      </c>
      <c r="J82" s="270"/>
      <c r="K82" s="270"/>
      <c r="L82" s="270"/>
      <c r="M82" s="270"/>
      <c r="N82" s="270"/>
      <c r="O82" s="270"/>
      <c r="P82" s="270"/>
      <c r="Q82" s="254"/>
    </row>
    <row r="83" spans="1:17" s="3" customFormat="1" ht="25" customHeight="1" x14ac:dyDescent="0.25">
      <c r="A83" s="512" t="s">
        <v>292</v>
      </c>
      <c r="B83" s="513" t="s">
        <v>263</v>
      </c>
      <c r="C83" s="514">
        <v>3</v>
      </c>
      <c r="D83" s="514">
        <v>1</v>
      </c>
      <c r="E83" s="514">
        <v>3</v>
      </c>
      <c r="F83" s="254">
        <f t="shared" si="9"/>
        <v>148.5</v>
      </c>
      <c r="G83" s="331">
        <v>40</v>
      </c>
      <c r="H83" s="271">
        <f>C83*E83*G83</f>
        <v>360</v>
      </c>
      <c r="I83" s="269">
        <f>IF(G83&lt;70, C83*E83*16.5*1, C83*E83*16.5*1.3)</f>
        <v>148.5</v>
      </c>
      <c r="J83" s="428"/>
      <c r="K83" s="428"/>
      <c r="L83" s="428"/>
      <c r="M83" s="428"/>
      <c r="N83" s="428"/>
      <c r="O83" s="428"/>
      <c r="P83" s="428"/>
      <c r="Q83" s="489"/>
    </row>
    <row r="84" spans="1:17" s="3" customFormat="1" ht="25" customHeight="1" x14ac:dyDescent="0.25">
      <c r="A84" s="501"/>
      <c r="B84" s="589" t="s">
        <v>715</v>
      </c>
      <c r="C84" s="331"/>
      <c r="D84" s="331"/>
      <c r="E84" s="331"/>
      <c r="F84" s="489"/>
      <c r="G84" s="331"/>
      <c r="H84" s="331"/>
      <c r="I84" s="429"/>
      <c r="J84" s="428"/>
      <c r="K84" s="428"/>
      <c r="L84" s="428"/>
      <c r="M84" s="428"/>
      <c r="N84" s="428"/>
      <c r="O84" s="428"/>
      <c r="P84" s="428"/>
      <c r="Q84" s="489"/>
    </row>
    <row r="85" spans="1:17" s="3" customFormat="1" ht="25" customHeight="1" x14ac:dyDescent="0.25">
      <c r="A85" s="501" t="s">
        <v>228</v>
      </c>
      <c r="B85" s="510" t="s">
        <v>275</v>
      </c>
      <c r="C85" s="331">
        <v>3</v>
      </c>
      <c r="D85" s="331">
        <v>1</v>
      </c>
      <c r="E85" s="331">
        <v>3</v>
      </c>
      <c r="F85" s="254">
        <f t="shared" si="9"/>
        <v>148.5</v>
      </c>
      <c r="G85" s="331">
        <v>40</v>
      </c>
      <c r="H85" s="271">
        <f t="shared" si="12"/>
        <v>360</v>
      </c>
      <c r="I85" s="269">
        <f t="shared" si="11"/>
        <v>148.5</v>
      </c>
      <c r="J85" s="270"/>
      <c r="K85" s="270"/>
      <c r="L85" s="270"/>
      <c r="M85" s="270"/>
      <c r="N85" s="270"/>
      <c r="O85" s="270"/>
      <c r="P85" s="270"/>
      <c r="Q85" s="254"/>
    </row>
    <row r="86" spans="1:17" s="3" customFormat="1" ht="25" customHeight="1" x14ac:dyDescent="0.25">
      <c r="A86" s="501" t="s">
        <v>229</v>
      </c>
      <c r="B86" s="510" t="s">
        <v>276</v>
      </c>
      <c r="C86" s="331">
        <v>2</v>
      </c>
      <c r="D86" s="331">
        <v>1</v>
      </c>
      <c r="E86" s="331">
        <v>3</v>
      </c>
      <c r="F86" s="254">
        <f t="shared" si="9"/>
        <v>99</v>
      </c>
      <c r="G86" s="331">
        <v>40</v>
      </c>
      <c r="H86" s="271">
        <f t="shared" si="12"/>
        <v>240</v>
      </c>
      <c r="I86" s="269">
        <f t="shared" si="11"/>
        <v>99</v>
      </c>
      <c r="J86" s="270"/>
      <c r="K86" s="270"/>
      <c r="L86" s="270"/>
      <c r="M86" s="270"/>
      <c r="N86" s="270"/>
      <c r="O86" s="270"/>
      <c r="P86" s="270"/>
      <c r="Q86" s="254"/>
    </row>
    <row r="87" spans="1:17" s="3" customFormat="1" ht="25" customHeight="1" x14ac:dyDescent="0.25">
      <c r="A87" s="501" t="s">
        <v>230</v>
      </c>
      <c r="B87" s="510" t="s">
        <v>277</v>
      </c>
      <c r="C87" s="331">
        <v>2</v>
      </c>
      <c r="D87" s="331">
        <v>1</v>
      </c>
      <c r="E87" s="331">
        <v>3</v>
      </c>
      <c r="F87" s="254">
        <f t="shared" si="9"/>
        <v>99</v>
      </c>
      <c r="G87" s="331">
        <v>40</v>
      </c>
      <c r="H87" s="271">
        <f t="shared" si="12"/>
        <v>240</v>
      </c>
      <c r="I87" s="269">
        <f t="shared" si="11"/>
        <v>99</v>
      </c>
      <c r="J87" s="270"/>
      <c r="K87" s="270"/>
      <c r="L87" s="270"/>
      <c r="M87" s="270"/>
      <c r="N87" s="270"/>
      <c r="O87" s="270"/>
      <c r="P87" s="270"/>
      <c r="Q87" s="254"/>
    </row>
    <row r="88" spans="1:17" s="3" customFormat="1" ht="25" customHeight="1" x14ac:dyDescent="0.25">
      <c r="A88" s="501"/>
      <c r="B88" s="589" t="s">
        <v>719</v>
      </c>
      <c r="C88" s="331"/>
      <c r="D88" s="331"/>
      <c r="E88" s="331"/>
      <c r="F88" s="489"/>
      <c r="G88" s="331"/>
      <c r="H88" s="331"/>
      <c r="I88" s="429"/>
      <c r="J88" s="428"/>
      <c r="K88" s="428"/>
      <c r="L88" s="428"/>
      <c r="M88" s="428"/>
      <c r="N88" s="428"/>
      <c r="O88" s="428"/>
      <c r="P88" s="428"/>
      <c r="Q88" s="489"/>
    </row>
    <row r="89" spans="1:17" s="3" customFormat="1" ht="25" customHeight="1" x14ac:dyDescent="0.25">
      <c r="A89" s="501" t="s">
        <v>231</v>
      </c>
      <c r="B89" s="510" t="s">
        <v>278</v>
      </c>
      <c r="C89" s="331">
        <v>5</v>
      </c>
      <c r="D89" s="331">
        <v>1</v>
      </c>
      <c r="E89" s="331">
        <v>3</v>
      </c>
      <c r="F89" s="254">
        <f t="shared" si="9"/>
        <v>247.5</v>
      </c>
      <c r="G89" s="331">
        <v>40</v>
      </c>
      <c r="H89" s="271">
        <f t="shared" si="12"/>
        <v>600</v>
      </c>
      <c r="I89" s="269">
        <f t="shared" si="11"/>
        <v>247.5</v>
      </c>
      <c r="J89" s="270"/>
      <c r="K89" s="270"/>
      <c r="L89" s="270"/>
      <c r="M89" s="270"/>
      <c r="N89" s="270"/>
      <c r="O89" s="270"/>
      <c r="P89" s="270"/>
      <c r="Q89" s="254"/>
    </row>
    <row r="90" spans="1:17" s="3" customFormat="1" ht="25" customHeight="1" x14ac:dyDescent="0.25">
      <c r="A90" s="501"/>
      <c r="B90" s="589" t="s">
        <v>717</v>
      </c>
      <c r="C90" s="331"/>
      <c r="D90" s="331"/>
      <c r="E90" s="331"/>
      <c r="F90" s="489"/>
      <c r="G90" s="331"/>
      <c r="H90" s="331"/>
      <c r="I90" s="429"/>
      <c r="J90" s="428"/>
      <c r="K90" s="428"/>
      <c r="L90" s="428"/>
      <c r="M90" s="428"/>
      <c r="N90" s="428"/>
      <c r="O90" s="428"/>
      <c r="P90" s="428"/>
      <c r="Q90" s="489"/>
    </row>
    <row r="91" spans="1:17" s="3" customFormat="1" ht="25" customHeight="1" x14ac:dyDescent="0.25">
      <c r="A91" s="501" t="s">
        <v>282</v>
      </c>
      <c r="B91" s="510" t="s">
        <v>279</v>
      </c>
      <c r="C91" s="331">
        <v>2</v>
      </c>
      <c r="D91" s="331">
        <v>1</v>
      </c>
      <c r="E91" s="331">
        <v>3</v>
      </c>
      <c r="F91" s="254">
        <f t="shared" si="9"/>
        <v>99</v>
      </c>
      <c r="G91" s="331">
        <v>40</v>
      </c>
      <c r="H91" s="271">
        <f t="shared" si="12"/>
        <v>240</v>
      </c>
      <c r="I91" s="269">
        <f t="shared" si="11"/>
        <v>99</v>
      </c>
      <c r="J91" s="270"/>
      <c r="K91" s="270"/>
      <c r="L91" s="270"/>
      <c r="M91" s="270"/>
      <c r="N91" s="270"/>
      <c r="O91" s="270"/>
      <c r="P91" s="270"/>
      <c r="Q91" s="254"/>
    </row>
    <row r="92" spans="1:17" s="3" customFormat="1" ht="25" customHeight="1" x14ac:dyDescent="0.25">
      <c r="A92" s="501" t="s">
        <v>283</v>
      </c>
      <c r="B92" s="509" t="s">
        <v>256</v>
      </c>
      <c r="C92" s="331">
        <v>3</v>
      </c>
      <c r="D92" s="331">
        <v>1</v>
      </c>
      <c r="E92" s="331">
        <v>5</v>
      </c>
      <c r="F92" s="254">
        <f t="shared" si="9"/>
        <v>247.5</v>
      </c>
      <c r="G92" s="331">
        <v>40</v>
      </c>
      <c r="H92" s="271">
        <f t="shared" si="12"/>
        <v>600</v>
      </c>
      <c r="I92" s="269">
        <f t="shared" si="11"/>
        <v>247.5</v>
      </c>
      <c r="J92" s="270"/>
      <c r="K92" s="270"/>
      <c r="L92" s="270"/>
      <c r="M92" s="270"/>
      <c r="N92" s="270"/>
      <c r="O92" s="270"/>
      <c r="P92" s="270"/>
      <c r="Q92" s="254"/>
    </row>
    <row r="93" spans="1:17" s="3" customFormat="1" ht="25" customHeight="1" x14ac:dyDescent="0.25">
      <c r="A93" s="501"/>
      <c r="B93" s="508" t="s">
        <v>720</v>
      </c>
      <c r="C93" s="331"/>
      <c r="D93" s="331"/>
      <c r="E93" s="331"/>
      <c r="F93" s="489"/>
      <c r="G93" s="331"/>
      <c r="H93" s="331"/>
      <c r="I93" s="429"/>
      <c r="J93" s="428"/>
      <c r="K93" s="428"/>
      <c r="L93" s="428"/>
      <c r="M93" s="428"/>
      <c r="N93" s="428"/>
      <c r="O93" s="428"/>
      <c r="P93" s="428"/>
      <c r="Q93" s="489"/>
    </row>
    <row r="94" spans="1:17" s="3" customFormat="1" ht="25" customHeight="1" x14ac:dyDescent="0.25">
      <c r="A94" s="501" t="s">
        <v>284</v>
      </c>
      <c r="B94" s="509" t="s">
        <v>262</v>
      </c>
      <c r="C94" s="331">
        <v>5</v>
      </c>
      <c r="D94" s="331">
        <v>1</v>
      </c>
      <c r="E94" s="331">
        <v>5</v>
      </c>
      <c r="F94" s="254">
        <f t="shared" si="9"/>
        <v>412.5</v>
      </c>
      <c r="G94" s="331">
        <v>40</v>
      </c>
      <c r="H94" s="271">
        <f t="shared" si="12"/>
        <v>1000</v>
      </c>
      <c r="I94" s="269">
        <f t="shared" si="11"/>
        <v>412.5</v>
      </c>
      <c r="J94" s="270"/>
      <c r="K94" s="270"/>
      <c r="L94" s="270"/>
      <c r="M94" s="270"/>
      <c r="N94" s="270"/>
      <c r="O94" s="270"/>
      <c r="P94" s="270"/>
      <c r="Q94" s="254"/>
    </row>
    <row r="95" spans="1:17" s="3" customFormat="1" ht="25" customHeight="1" x14ac:dyDescent="0.25">
      <c r="A95" s="501" t="s">
        <v>285</v>
      </c>
      <c r="B95" s="509" t="s">
        <v>280</v>
      </c>
      <c r="C95" s="331">
        <v>2</v>
      </c>
      <c r="D95" s="331">
        <v>1</v>
      </c>
      <c r="E95" s="331">
        <v>5</v>
      </c>
      <c r="F95" s="254">
        <f t="shared" si="9"/>
        <v>165</v>
      </c>
      <c r="G95" s="331">
        <v>40</v>
      </c>
      <c r="H95" s="271">
        <f t="shared" si="12"/>
        <v>400</v>
      </c>
      <c r="I95" s="269">
        <f t="shared" si="11"/>
        <v>165</v>
      </c>
      <c r="J95" s="270"/>
      <c r="K95" s="270"/>
      <c r="L95" s="270"/>
      <c r="M95" s="270"/>
      <c r="N95" s="270"/>
      <c r="O95" s="270"/>
      <c r="P95" s="270"/>
      <c r="Q95" s="254"/>
    </row>
    <row r="96" spans="1:17" s="3" customFormat="1" ht="25" customHeight="1" x14ac:dyDescent="0.25">
      <c r="A96" s="501" t="s">
        <v>286</v>
      </c>
      <c r="B96" s="510" t="s">
        <v>281</v>
      </c>
      <c r="C96" s="331">
        <v>2</v>
      </c>
      <c r="D96" s="331">
        <v>1</v>
      </c>
      <c r="E96" s="331">
        <v>5</v>
      </c>
      <c r="F96" s="254">
        <f t="shared" si="9"/>
        <v>165</v>
      </c>
      <c r="G96" s="331">
        <v>40</v>
      </c>
      <c r="H96" s="271">
        <f t="shared" si="12"/>
        <v>400</v>
      </c>
      <c r="I96" s="269">
        <f t="shared" si="11"/>
        <v>165</v>
      </c>
      <c r="J96" s="270"/>
      <c r="K96" s="270"/>
      <c r="L96" s="270"/>
      <c r="M96" s="270"/>
      <c r="N96" s="270"/>
      <c r="O96" s="270"/>
      <c r="P96" s="270"/>
      <c r="Q96" s="254"/>
    </row>
    <row r="97" spans="1:17" s="3" customFormat="1" ht="25" customHeight="1" x14ac:dyDescent="0.25">
      <c r="A97" s="501"/>
      <c r="B97" s="589" t="s">
        <v>293</v>
      </c>
      <c r="C97" s="331"/>
      <c r="D97" s="331"/>
      <c r="E97" s="331"/>
      <c r="F97" s="489"/>
      <c r="G97" s="331"/>
      <c r="H97" s="331"/>
      <c r="I97" s="429"/>
      <c r="J97" s="590"/>
      <c r="K97" s="590"/>
      <c r="L97" s="590"/>
      <c r="M97" s="590"/>
      <c r="N97" s="590"/>
      <c r="O97" s="590"/>
      <c r="P97" s="590"/>
      <c r="Q97" s="489"/>
    </row>
    <row r="98" spans="1:17" s="456" customFormat="1" ht="25" customHeight="1" x14ac:dyDescent="0.25">
      <c r="A98" s="512" t="s">
        <v>289</v>
      </c>
      <c r="B98" s="513" t="s">
        <v>287</v>
      </c>
      <c r="C98" s="514">
        <v>3</v>
      </c>
      <c r="D98" s="514">
        <v>1</v>
      </c>
      <c r="E98" s="514">
        <v>3</v>
      </c>
      <c r="F98" s="254">
        <f t="shared" si="9"/>
        <v>148.5</v>
      </c>
      <c r="G98" s="331">
        <v>40</v>
      </c>
      <c r="H98" s="271">
        <f t="shared" si="12"/>
        <v>360</v>
      </c>
      <c r="I98" s="269">
        <f t="shared" si="11"/>
        <v>148.5</v>
      </c>
      <c r="Q98" s="515"/>
    </row>
    <row r="99" spans="1:17" s="456" customFormat="1" ht="25" customHeight="1" x14ac:dyDescent="0.25">
      <c r="A99" s="512"/>
      <c r="B99" s="591" t="s">
        <v>721</v>
      </c>
      <c r="C99" s="514"/>
      <c r="D99" s="514"/>
      <c r="E99" s="514"/>
      <c r="F99" s="489"/>
      <c r="G99" s="331"/>
      <c r="H99" s="331"/>
      <c r="I99" s="429"/>
      <c r="Q99" s="520"/>
    </row>
    <row r="100" spans="1:17" s="456" customFormat="1" ht="25" customHeight="1" x14ac:dyDescent="0.25">
      <c r="A100" s="512" t="s">
        <v>290</v>
      </c>
      <c r="B100" s="513" t="s">
        <v>265</v>
      </c>
      <c r="C100" s="514">
        <v>3</v>
      </c>
      <c r="D100" s="514">
        <v>1</v>
      </c>
      <c r="E100" s="514">
        <v>3</v>
      </c>
      <c r="F100" s="254">
        <f t="shared" si="9"/>
        <v>148.5</v>
      </c>
      <c r="G100" s="331">
        <v>40</v>
      </c>
      <c r="H100" s="271">
        <f t="shared" si="12"/>
        <v>360</v>
      </c>
      <c r="I100" s="269">
        <f t="shared" si="11"/>
        <v>148.5</v>
      </c>
      <c r="J100" s="516"/>
      <c r="K100" s="516"/>
      <c r="L100" s="517"/>
      <c r="M100" s="518"/>
      <c r="N100" s="518"/>
      <c r="O100" s="519"/>
      <c r="P100" s="519"/>
      <c r="Q100" s="520"/>
    </row>
    <row r="101" spans="1:17" s="456" customFormat="1" ht="25" customHeight="1" x14ac:dyDescent="0.25">
      <c r="A101" s="512"/>
      <c r="B101" s="591" t="s">
        <v>662</v>
      </c>
      <c r="C101" s="514"/>
      <c r="D101" s="514"/>
      <c r="E101" s="514"/>
      <c r="F101" s="489"/>
      <c r="G101" s="331"/>
      <c r="H101" s="331"/>
      <c r="I101" s="429"/>
      <c r="J101" s="516"/>
      <c r="K101" s="516"/>
      <c r="L101" s="517"/>
      <c r="M101" s="518"/>
      <c r="N101" s="518"/>
      <c r="O101" s="519"/>
      <c r="P101" s="519"/>
      <c r="Q101" s="520"/>
    </row>
    <row r="102" spans="1:17" s="456" customFormat="1" ht="25" customHeight="1" x14ac:dyDescent="0.25">
      <c r="A102" s="512" t="s">
        <v>291</v>
      </c>
      <c r="B102" s="513" t="s">
        <v>288</v>
      </c>
      <c r="C102" s="514">
        <v>5</v>
      </c>
      <c r="D102" s="514">
        <v>1</v>
      </c>
      <c r="E102" s="514">
        <v>3</v>
      </c>
      <c r="F102" s="254">
        <f t="shared" si="9"/>
        <v>247.5</v>
      </c>
      <c r="G102" s="331">
        <v>40</v>
      </c>
      <c r="H102" s="271">
        <f t="shared" si="12"/>
        <v>600</v>
      </c>
      <c r="I102" s="269">
        <f t="shared" si="11"/>
        <v>247.5</v>
      </c>
      <c r="J102" s="516"/>
      <c r="K102" s="516"/>
      <c r="L102" s="517"/>
      <c r="M102" s="518"/>
      <c r="N102" s="518"/>
      <c r="O102" s="519"/>
      <c r="P102" s="519"/>
      <c r="Q102" s="520"/>
    </row>
    <row r="103" spans="1:17" s="456" customFormat="1" ht="25" customHeight="1" x14ac:dyDescent="0.25">
      <c r="A103" s="521"/>
      <c r="B103" s="503" t="s">
        <v>353</v>
      </c>
      <c r="C103" s="504">
        <f t="shared" ref="C103:I103" si="13">SUM(C80:C102)</f>
        <v>48</v>
      </c>
      <c r="D103" s="504">
        <f t="shared" si="13"/>
        <v>15</v>
      </c>
      <c r="E103" s="504">
        <f t="shared" si="13"/>
        <v>53</v>
      </c>
      <c r="F103" s="504">
        <f t="shared" si="13"/>
        <v>2772</v>
      </c>
      <c r="G103" s="504">
        <f t="shared" si="13"/>
        <v>600</v>
      </c>
      <c r="H103" s="504">
        <f t="shared" si="13"/>
        <v>6720</v>
      </c>
      <c r="I103" s="504">
        <f t="shared" si="13"/>
        <v>2772</v>
      </c>
      <c r="J103" s="516"/>
      <c r="K103" s="516"/>
      <c r="L103" s="517"/>
      <c r="M103" s="518"/>
      <c r="N103" s="518"/>
      <c r="O103" s="519"/>
      <c r="P103" s="519"/>
      <c r="Q103" s="520"/>
    </row>
    <row r="104" spans="1:17" s="456" customFormat="1" ht="25" customHeight="1" x14ac:dyDescent="0.25">
      <c r="A104" s="522">
        <v>2</v>
      </c>
      <c r="B104" s="522" t="s">
        <v>85</v>
      </c>
      <c r="C104" s="514">
        <v>0</v>
      </c>
      <c r="D104" s="514">
        <v>0</v>
      </c>
      <c r="E104" s="514">
        <v>0</v>
      </c>
      <c r="F104" s="514"/>
      <c r="G104" s="331">
        <v>0</v>
      </c>
      <c r="H104" s="523"/>
      <c r="I104" s="523"/>
      <c r="J104" s="516"/>
      <c r="K104" s="516"/>
      <c r="L104" s="517"/>
      <c r="M104" s="518"/>
      <c r="N104" s="518"/>
      <c r="O104" s="519"/>
      <c r="P104" s="519"/>
      <c r="Q104" s="520"/>
    </row>
    <row r="105" spans="1:17" s="3" customFormat="1" ht="25" customHeight="1" x14ac:dyDescent="0.25">
      <c r="A105" s="524"/>
      <c r="B105" s="524" t="s">
        <v>374</v>
      </c>
      <c r="C105" s="438">
        <f t="shared" ref="C105:I105" si="14">C63+C74+C103</f>
        <v>188</v>
      </c>
      <c r="D105" s="438">
        <f t="shared" si="14"/>
        <v>65.66</v>
      </c>
      <c r="E105" s="438">
        <f t="shared" si="14"/>
        <v>215</v>
      </c>
      <c r="F105" s="438">
        <f t="shared" si="14"/>
        <v>10621.3</v>
      </c>
      <c r="G105" s="438">
        <f t="shared" si="14"/>
        <v>2779</v>
      </c>
      <c r="H105" s="438">
        <f t="shared" si="14"/>
        <v>25618</v>
      </c>
      <c r="I105" s="438">
        <f t="shared" si="14"/>
        <v>10621.3</v>
      </c>
      <c r="J105" s="525">
        <v>0</v>
      </c>
      <c r="K105" s="525">
        <v>0</v>
      </c>
      <c r="L105" s="526">
        <f>'Bieu3 GDTH'!F24</f>
        <v>2632</v>
      </c>
      <c r="M105" s="527">
        <f>'Bieu3 GDTH'!N24</f>
        <v>2402.5</v>
      </c>
      <c r="N105" s="527">
        <f>F105-M105</f>
        <v>8218.7999999999993</v>
      </c>
      <c r="O105" s="282">
        <f>'Bieu3 GDTH'!O24</f>
        <v>1422.25</v>
      </c>
      <c r="P105" s="282">
        <f>'Bieu3 GDTH'!P24</f>
        <v>780</v>
      </c>
      <c r="Q105" s="441" t="s">
        <v>702</v>
      </c>
    </row>
    <row r="106" spans="1:17" s="3" customFormat="1" ht="25" customHeight="1" x14ac:dyDescent="0.25">
      <c r="A106" s="479" t="s">
        <v>19</v>
      </c>
      <c r="B106" s="479" t="s">
        <v>375</v>
      </c>
      <c r="C106" s="271"/>
      <c r="D106" s="271"/>
      <c r="E106" s="271"/>
      <c r="F106" s="271"/>
      <c r="G106" s="271"/>
      <c r="H106" s="271"/>
      <c r="I106" s="270"/>
      <c r="J106" s="270"/>
      <c r="K106" s="270"/>
      <c r="L106" s="270"/>
      <c r="M106" s="270"/>
      <c r="N106" s="270"/>
      <c r="O106" s="270"/>
      <c r="P106" s="270"/>
      <c r="Q106" s="254"/>
    </row>
    <row r="107" spans="1:17" s="3" customFormat="1" ht="25" customHeight="1" x14ac:dyDescent="0.25">
      <c r="A107" s="528" t="s">
        <v>377</v>
      </c>
      <c r="B107" s="528" t="s">
        <v>378</v>
      </c>
      <c r="C107" s="271"/>
      <c r="D107" s="271"/>
      <c r="E107" s="271"/>
      <c r="F107" s="271"/>
      <c r="G107" s="271"/>
      <c r="H107" s="271"/>
      <c r="I107" s="270"/>
      <c r="J107" s="270"/>
      <c r="K107" s="270"/>
      <c r="L107" s="270"/>
      <c r="M107" s="270"/>
      <c r="N107" s="270"/>
      <c r="O107" s="270"/>
      <c r="P107" s="270"/>
      <c r="Q107" s="254"/>
    </row>
    <row r="108" spans="1:17" s="3" customFormat="1" ht="25" customHeight="1" x14ac:dyDescent="0.25">
      <c r="A108" s="528">
        <v>1</v>
      </c>
      <c r="B108" s="528" t="s">
        <v>379</v>
      </c>
      <c r="C108" s="271"/>
      <c r="D108" s="271"/>
      <c r="E108" s="271"/>
      <c r="F108" s="271"/>
      <c r="G108" s="271"/>
      <c r="H108" s="271"/>
      <c r="I108" s="270"/>
      <c r="J108" s="270"/>
      <c r="K108" s="270"/>
      <c r="L108" s="270"/>
      <c r="M108" s="270"/>
      <c r="N108" s="270"/>
      <c r="O108" s="270"/>
      <c r="P108" s="270"/>
      <c r="Q108" s="254"/>
    </row>
    <row r="109" spans="1:17" s="3" customFormat="1" ht="25" customHeight="1" x14ac:dyDescent="0.25">
      <c r="A109" s="482" t="s">
        <v>147</v>
      </c>
      <c r="B109" s="483" t="s">
        <v>161</v>
      </c>
      <c r="C109" s="271"/>
      <c r="D109" s="271"/>
      <c r="E109" s="271"/>
      <c r="F109" s="271"/>
      <c r="G109" s="271"/>
      <c r="H109" s="271"/>
      <c r="I109" s="270"/>
      <c r="J109" s="270"/>
      <c r="K109" s="270"/>
      <c r="L109" s="270"/>
      <c r="M109" s="270"/>
      <c r="N109" s="270"/>
      <c r="O109" s="270"/>
      <c r="P109" s="270"/>
      <c r="Q109" s="254"/>
    </row>
    <row r="110" spans="1:17" s="3" customFormat="1" ht="25" customHeight="1" x14ac:dyDescent="0.25">
      <c r="A110" s="444"/>
      <c r="B110" s="508" t="s">
        <v>722</v>
      </c>
      <c r="C110" s="331"/>
      <c r="D110" s="331"/>
      <c r="E110" s="331"/>
      <c r="F110" s="331"/>
      <c r="G110" s="331"/>
      <c r="H110" s="331"/>
      <c r="I110" s="428"/>
      <c r="J110" s="428"/>
      <c r="K110" s="428"/>
      <c r="L110" s="428"/>
      <c r="M110" s="428"/>
      <c r="N110" s="428"/>
      <c r="O110" s="428"/>
      <c r="P110" s="428"/>
      <c r="Q110" s="489"/>
    </row>
    <row r="111" spans="1:17" s="3" customFormat="1" ht="25" customHeight="1" x14ac:dyDescent="0.25">
      <c r="A111" s="486" t="s">
        <v>226</v>
      </c>
      <c r="B111" s="509" t="s">
        <v>597</v>
      </c>
      <c r="C111" s="429">
        <v>3</v>
      </c>
      <c r="D111" s="429">
        <v>1</v>
      </c>
      <c r="E111" s="429">
        <v>3</v>
      </c>
      <c r="F111" s="254">
        <f t="shared" ref="F111:F145" si="15">I111+J111+K111</f>
        <v>148.5</v>
      </c>
      <c r="G111" s="429">
        <v>60</v>
      </c>
      <c r="H111" s="271">
        <f t="shared" ref="H111:H159" si="16">C111*E111*G111</f>
        <v>540</v>
      </c>
      <c r="I111" s="269">
        <f t="shared" ref="I111:I149" si="17">IF(G111&lt;70, C111*E111*16.5*1, C111*E111*16.5*1.3)</f>
        <v>148.5</v>
      </c>
      <c r="J111" s="428"/>
      <c r="K111" s="428"/>
      <c r="L111" s="270"/>
      <c r="M111" s="270"/>
      <c r="N111" s="270"/>
      <c r="O111" s="270"/>
      <c r="P111" s="270"/>
      <c r="Q111" s="254"/>
    </row>
    <row r="112" spans="1:17" s="3" customFormat="1" ht="25" customHeight="1" x14ac:dyDescent="0.25">
      <c r="A112" s="486" t="s">
        <v>227</v>
      </c>
      <c r="B112" s="509" t="s">
        <v>598</v>
      </c>
      <c r="C112" s="429">
        <v>4</v>
      </c>
      <c r="D112" s="429">
        <v>1.3</v>
      </c>
      <c r="E112" s="429">
        <v>3</v>
      </c>
      <c r="F112" s="254">
        <f t="shared" si="15"/>
        <v>257.40000000000003</v>
      </c>
      <c r="G112" s="429">
        <v>70</v>
      </c>
      <c r="H112" s="271">
        <f t="shared" si="16"/>
        <v>840</v>
      </c>
      <c r="I112" s="269">
        <f t="shared" si="17"/>
        <v>257.40000000000003</v>
      </c>
      <c r="J112" s="428"/>
      <c r="K112" s="428"/>
      <c r="L112" s="270"/>
      <c r="M112" s="270"/>
      <c r="N112" s="270"/>
      <c r="O112" s="270"/>
      <c r="P112" s="270"/>
      <c r="Q112" s="254"/>
    </row>
    <row r="113" spans="1:17" s="3" customFormat="1" ht="25" customHeight="1" x14ac:dyDescent="0.25">
      <c r="A113" s="486"/>
      <c r="B113" s="508" t="s">
        <v>723</v>
      </c>
      <c r="C113" s="429"/>
      <c r="D113" s="429"/>
      <c r="E113" s="429"/>
      <c r="F113" s="489"/>
      <c r="G113" s="429"/>
      <c r="H113" s="331"/>
      <c r="I113" s="429"/>
      <c r="J113" s="428"/>
      <c r="K113" s="428"/>
      <c r="L113" s="428"/>
      <c r="M113" s="428"/>
      <c r="N113" s="428"/>
      <c r="O113" s="428"/>
      <c r="P113" s="428"/>
      <c r="Q113" s="489"/>
    </row>
    <row r="114" spans="1:17" s="3" customFormat="1" ht="25" customHeight="1" x14ac:dyDescent="0.25">
      <c r="A114" s="486" t="s">
        <v>228</v>
      </c>
      <c r="B114" s="509" t="s">
        <v>599</v>
      </c>
      <c r="C114" s="429">
        <v>1</v>
      </c>
      <c r="D114" s="429">
        <v>1.3</v>
      </c>
      <c r="E114" s="429">
        <v>8</v>
      </c>
      <c r="F114" s="254">
        <f t="shared" si="15"/>
        <v>132</v>
      </c>
      <c r="G114" s="429">
        <v>20</v>
      </c>
      <c r="H114" s="271">
        <f t="shared" si="16"/>
        <v>160</v>
      </c>
      <c r="I114" s="269">
        <f t="shared" si="17"/>
        <v>132</v>
      </c>
      <c r="J114" s="428"/>
      <c r="K114" s="428"/>
      <c r="L114" s="270"/>
      <c r="M114" s="270"/>
      <c r="N114" s="270"/>
      <c r="O114" s="270"/>
      <c r="P114" s="270"/>
      <c r="Q114" s="254"/>
    </row>
    <row r="115" spans="1:17" s="3" customFormat="1" ht="25" customHeight="1" x14ac:dyDescent="0.25">
      <c r="A115" s="486" t="s">
        <v>228</v>
      </c>
      <c r="B115" s="509" t="s">
        <v>600</v>
      </c>
      <c r="C115" s="429">
        <v>1</v>
      </c>
      <c r="D115" s="429">
        <v>1.3</v>
      </c>
      <c r="E115" s="429">
        <v>8</v>
      </c>
      <c r="F115" s="254">
        <f t="shared" si="15"/>
        <v>132</v>
      </c>
      <c r="G115" s="429">
        <v>20</v>
      </c>
      <c r="H115" s="271">
        <f t="shared" si="16"/>
        <v>160</v>
      </c>
      <c r="I115" s="269">
        <f t="shared" si="17"/>
        <v>132</v>
      </c>
      <c r="J115" s="428"/>
      <c r="K115" s="428"/>
      <c r="L115" s="270"/>
      <c r="M115" s="270"/>
      <c r="N115" s="270"/>
      <c r="O115" s="270"/>
      <c r="P115" s="270"/>
      <c r="Q115" s="254"/>
    </row>
    <row r="116" spans="1:17" s="3" customFormat="1" ht="25" customHeight="1" x14ac:dyDescent="0.25">
      <c r="A116" s="486" t="s">
        <v>229</v>
      </c>
      <c r="B116" s="509" t="s">
        <v>601</v>
      </c>
      <c r="C116" s="429">
        <v>1</v>
      </c>
      <c r="D116" s="429">
        <v>1.3</v>
      </c>
      <c r="E116" s="429">
        <v>7</v>
      </c>
      <c r="F116" s="254">
        <f t="shared" si="15"/>
        <v>115.5</v>
      </c>
      <c r="G116" s="429">
        <v>20</v>
      </c>
      <c r="H116" s="271">
        <f t="shared" si="16"/>
        <v>140</v>
      </c>
      <c r="I116" s="269">
        <f t="shared" si="17"/>
        <v>115.5</v>
      </c>
      <c r="J116" s="428"/>
      <c r="K116" s="428"/>
      <c r="L116" s="270"/>
      <c r="M116" s="270"/>
      <c r="N116" s="270"/>
      <c r="O116" s="270"/>
      <c r="P116" s="270"/>
      <c r="Q116" s="254"/>
    </row>
    <row r="117" spans="1:17" s="3" customFormat="1" ht="25" customHeight="1" x14ac:dyDescent="0.25">
      <c r="A117" s="486" t="s">
        <v>398</v>
      </c>
      <c r="B117" s="510" t="s">
        <v>376</v>
      </c>
      <c r="C117" s="331">
        <v>2</v>
      </c>
      <c r="D117" s="331">
        <v>1.3</v>
      </c>
      <c r="E117" s="331">
        <v>2</v>
      </c>
      <c r="F117" s="254">
        <f t="shared" si="15"/>
        <v>85.8</v>
      </c>
      <c r="G117" s="331">
        <v>70</v>
      </c>
      <c r="H117" s="271">
        <f>C117*E117*G117</f>
        <v>280</v>
      </c>
      <c r="I117" s="269">
        <f>IF(G117&lt;70, C117*E117*16.5*1, C117*E117*16.5*1.3)</f>
        <v>85.8</v>
      </c>
      <c r="J117" s="428"/>
      <c r="K117" s="428"/>
      <c r="L117" s="428"/>
      <c r="M117" s="428"/>
      <c r="N117" s="428"/>
      <c r="O117" s="428"/>
      <c r="P117" s="428"/>
      <c r="Q117" s="489"/>
    </row>
    <row r="118" spans="1:17" s="3" customFormat="1" ht="25" customHeight="1" x14ac:dyDescent="0.25">
      <c r="A118" s="486"/>
      <c r="B118" s="508" t="s">
        <v>724</v>
      </c>
      <c r="C118" s="429"/>
      <c r="D118" s="429"/>
      <c r="E118" s="429"/>
      <c r="F118" s="489"/>
      <c r="G118" s="429"/>
      <c r="H118" s="331"/>
      <c r="I118" s="429"/>
      <c r="J118" s="428"/>
      <c r="K118" s="428"/>
      <c r="L118" s="428"/>
      <c r="M118" s="428"/>
      <c r="N118" s="428"/>
      <c r="O118" s="428"/>
      <c r="P118" s="428"/>
      <c r="Q118" s="489"/>
    </row>
    <row r="119" spans="1:17" s="3" customFormat="1" ht="25" customHeight="1" x14ac:dyDescent="0.25">
      <c r="A119" s="486" t="s">
        <v>230</v>
      </c>
      <c r="B119" s="509" t="s">
        <v>385</v>
      </c>
      <c r="C119" s="429">
        <v>4</v>
      </c>
      <c r="D119" s="429">
        <v>1</v>
      </c>
      <c r="E119" s="429">
        <v>3</v>
      </c>
      <c r="F119" s="254">
        <f t="shared" si="15"/>
        <v>198</v>
      </c>
      <c r="G119" s="429">
        <v>60</v>
      </c>
      <c r="H119" s="271">
        <f t="shared" si="16"/>
        <v>720</v>
      </c>
      <c r="I119" s="269">
        <f t="shared" si="17"/>
        <v>198</v>
      </c>
      <c r="J119" s="428"/>
      <c r="K119" s="428"/>
      <c r="L119" s="270"/>
      <c r="M119" s="270"/>
      <c r="N119" s="270"/>
      <c r="O119" s="270"/>
      <c r="P119" s="270"/>
      <c r="Q119" s="254"/>
    </row>
    <row r="120" spans="1:17" s="3" customFormat="1" ht="25" customHeight="1" x14ac:dyDescent="0.25">
      <c r="A120" s="486"/>
      <c r="B120" s="508" t="s">
        <v>731</v>
      </c>
      <c r="C120" s="429"/>
      <c r="D120" s="429"/>
      <c r="E120" s="429"/>
      <c r="F120" s="489"/>
      <c r="G120" s="429"/>
      <c r="H120" s="331"/>
      <c r="I120" s="429"/>
      <c r="J120" s="428"/>
      <c r="K120" s="428"/>
      <c r="L120" s="428"/>
      <c r="M120" s="428"/>
      <c r="N120" s="428"/>
      <c r="O120" s="428"/>
      <c r="P120" s="428"/>
      <c r="Q120" s="489"/>
    </row>
    <row r="121" spans="1:17" s="3" customFormat="1" ht="25" customHeight="1" x14ac:dyDescent="0.25">
      <c r="A121" s="486" t="s">
        <v>282</v>
      </c>
      <c r="B121" s="509" t="s">
        <v>602</v>
      </c>
      <c r="C121" s="429">
        <v>2</v>
      </c>
      <c r="D121" s="429">
        <v>1</v>
      </c>
      <c r="E121" s="429">
        <v>3</v>
      </c>
      <c r="F121" s="254">
        <f t="shared" si="15"/>
        <v>128.70000000000002</v>
      </c>
      <c r="G121" s="429">
        <v>70</v>
      </c>
      <c r="H121" s="271">
        <f t="shared" si="16"/>
        <v>420</v>
      </c>
      <c r="I121" s="269">
        <f t="shared" si="17"/>
        <v>128.70000000000002</v>
      </c>
      <c r="J121" s="428"/>
      <c r="K121" s="428"/>
      <c r="L121" s="270"/>
      <c r="M121" s="270"/>
      <c r="N121" s="270"/>
      <c r="O121" s="270"/>
      <c r="P121" s="270"/>
      <c r="Q121" s="254"/>
    </row>
    <row r="122" spans="1:17" s="3" customFormat="1" ht="25" customHeight="1" x14ac:dyDescent="0.25">
      <c r="A122" s="486"/>
      <c r="B122" s="508" t="s">
        <v>727</v>
      </c>
      <c r="C122" s="429"/>
      <c r="D122" s="429"/>
      <c r="E122" s="429"/>
      <c r="F122" s="254">
        <f t="shared" si="15"/>
        <v>0</v>
      </c>
      <c r="G122" s="429"/>
      <c r="H122" s="331"/>
      <c r="I122" s="429"/>
      <c r="J122" s="428"/>
      <c r="K122" s="428"/>
      <c r="L122" s="428"/>
      <c r="M122" s="428"/>
      <c r="N122" s="428"/>
      <c r="O122" s="428"/>
      <c r="P122" s="428"/>
      <c r="Q122" s="489"/>
    </row>
    <row r="123" spans="1:17" s="3" customFormat="1" ht="25" customHeight="1" x14ac:dyDescent="0.25">
      <c r="A123" s="486" t="s">
        <v>290</v>
      </c>
      <c r="B123" s="509" t="s">
        <v>608</v>
      </c>
      <c r="C123" s="331">
        <v>3</v>
      </c>
      <c r="D123" s="331">
        <v>1</v>
      </c>
      <c r="E123" s="331">
        <v>2</v>
      </c>
      <c r="F123" s="254">
        <f t="shared" si="15"/>
        <v>128.70000000000002</v>
      </c>
      <c r="G123" s="331">
        <v>70</v>
      </c>
      <c r="H123" s="271">
        <f>C123*E123*G123</f>
        <v>420</v>
      </c>
      <c r="I123" s="269">
        <f>IF(G123&lt;70, C123*E123*16.5*1, C123*E123*16.5*1.3)</f>
        <v>128.70000000000002</v>
      </c>
      <c r="J123" s="428"/>
      <c r="K123" s="428"/>
      <c r="L123" s="428"/>
      <c r="M123" s="428"/>
      <c r="N123" s="428"/>
      <c r="O123" s="428"/>
      <c r="P123" s="428"/>
      <c r="Q123" s="489"/>
    </row>
    <row r="124" spans="1:17" s="3" customFormat="1" ht="25" customHeight="1" x14ac:dyDescent="0.25">
      <c r="A124" s="486" t="s">
        <v>291</v>
      </c>
      <c r="B124" s="509" t="s">
        <v>499</v>
      </c>
      <c r="C124" s="331">
        <v>2</v>
      </c>
      <c r="D124" s="331">
        <v>1</v>
      </c>
      <c r="E124" s="331">
        <v>1</v>
      </c>
      <c r="F124" s="254">
        <f t="shared" si="15"/>
        <v>33</v>
      </c>
      <c r="G124" s="331">
        <v>40</v>
      </c>
      <c r="H124" s="271">
        <f>C124*E124*G124</f>
        <v>80</v>
      </c>
      <c r="I124" s="269">
        <f>IF(G124&lt;70, C124*E124*16.5*1, C124*E124*16.5*1.3)</f>
        <v>33</v>
      </c>
      <c r="J124" s="428"/>
      <c r="K124" s="428"/>
      <c r="L124" s="428"/>
      <c r="M124" s="428"/>
      <c r="N124" s="428"/>
      <c r="O124" s="428"/>
      <c r="P124" s="428"/>
      <c r="Q124" s="489"/>
    </row>
    <row r="125" spans="1:17" s="3" customFormat="1" ht="25" customHeight="1" x14ac:dyDescent="0.25">
      <c r="A125" s="486"/>
      <c r="B125" s="508" t="s">
        <v>725</v>
      </c>
      <c r="C125" s="429"/>
      <c r="D125" s="429"/>
      <c r="E125" s="429"/>
      <c r="F125" s="489"/>
      <c r="G125" s="429"/>
      <c r="H125" s="331"/>
      <c r="I125" s="429"/>
      <c r="J125" s="428"/>
      <c r="K125" s="428"/>
      <c r="L125" s="428"/>
      <c r="M125" s="428"/>
      <c r="N125" s="428"/>
      <c r="O125" s="428"/>
      <c r="P125" s="428"/>
      <c r="Q125" s="489"/>
    </row>
    <row r="126" spans="1:17" s="3" customFormat="1" ht="25" customHeight="1" x14ac:dyDescent="0.25">
      <c r="A126" s="486" t="s">
        <v>283</v>
      </c>
      <c r="B126" s="509" t="s">
        <v>603</v>
      </c>
      <c r="C126" s="429">
        <v>3</v>
      </c>
      <c r="D126" s="429">
        <v>1</v>
      </c>
      <c r="E126" s="429">
        <v>2</v>
      </c>
      <c r="F126" s="254">
        <f t="shared" si="15"/>
        <v>99</v>
      </c>
      <c r="G126" s="429">
        <v>60</v>
      </c>
      <c r="H126" s="271">
        <f t="shared" si="16"/>
        <v>360</v>
      </c>
      <c r="I126" s="269">
        <f t="shared" si="17"/>
        <v>99</v>
      </c>
      <c r="J126" s="428"/>
      <c r="K126" s="428"/>
      <c r="L126" s="270"/>
      <c r="M126" s="270"/>
      <c r="N126" s="270"/>
      <c r="O126" s="270"/>
      <c r="P126" s="270"/>
      <c r="Q126" s="254"/>
    </row>
    <row r="127" spans="1:17" s="3" customFormat="1" ht="25" customHeight="1" x14ac:dyDescent="0.25">
      <c r="A127" s="486" t="s">
        <v>284</v>
      </c>
      <c r="B127" s="509" t="s">
        <v>604</v>
      </c>
      <c r="C127" s="429">
        <v>3</v>
      </c>
      <c r="D127" s="429">
        <v>1.1000000000000001</v>
      </c>
      <c r="E127" s="429">
        <v>3</v>
      </c>
      <c r="F127" s="254">
        <f t="shared" si="15"/>
        <v>193.05</v>
      </c>
      <c r="G127" s="429">
        <v>70</v>
      </c>
      <c r="H127" s="271">
        <f t="shared" si="16"/>
        <v>630</v>
      </c>
      <c r="I127" s="269">
        <f t="shared" si="17"/>
        <v>193.05</v>
      </c>
      <c r="J127" s="428"/>
      <c r="K127" s="428"/>
      <c r="L127" s="270"/>
      <c r="M127" s="270"/>
      <c r="N127" s="270"/>
      <c r="O127" s="270"/>
      <c r="P127" s="270"/>
      <c r="Q127" s="254"/>
    </row>
    <row r="128" spans="1:17" s="3" customFormat="1" ht="25" customHeight="1" x14ac:dyDescent="0.25">
      <c r="A128" s="486"/>
      <c r="B128" s="508" t="s">
        <v>726</v>
      </c>
      <c r="C128" s="429"/>
      <c r="D128" s="429"/>
      <c r="E128" s="429"/>
      <c r="F128" s="489"/>
      <c r="G128" s="429"/>
      <c r="H128" s="331"/>
      <c r="I128" s="429"/>
      <c r="J128" s="428"/>
      <c r="K128" s="428"/>
      <c r="L128" s="428"/>
      <c r="M128" s="428"/>
      <c r="N128" s="428"/>
      <c r="O128" s="428"/>
      <c r="P128" s="428"/>
      <c r="Q128" s="489"/>
    </row>
    <row r="129" spans="1:17" s="3" customFormat="1" ht="25" customHeight="1" x14ac:dyDescent="0.25">
      <c r="A129" s="486" t="s">
        <v>285</v>
      </c>
      <c r="B129" s="509" t="s">
        <v>605</v>
      </c>
      <c r="C129" s="331">
        <v>3</v>
      </c>
      <c r="D129" s="331">
        <v>1</v>
      </c>
      <c r="E129" s="331">
        <v>2</v>
      </c>
      <c r="F129" s="254">
        <f t="shared" si="15"/>
        <v>128.70000000000002</v>
      </c>
      <c r="G129" s="331">
        <v>70</v>
      </c>
      <c r="H129" s="271">
        <f t="shared" si="16"/>
        <v>420</v>
      </c>
      <c r="I129" s="269">
        <f t="shared" si="17"/>
        <v>128.70000000000002</v>
      </c>
      <c r="J129" s="428"/>
      <c r="K129" s="428"/>
      <c r="L129" s="270"/>
      <c r="M129" s="270"/>
      <c r="N129" s="270"/>
      <c r="O129" s="270"/>
      <c r="P129" s="270"/>
      <c r="Q129" s="254"/>
    </row>
    <row r="130" spans="1:17" s="3" customFormat="1" ht="25" customHeight="1" x14ac:dyDescent="0.25">
      <c r="A130" s="486" t="s">
        <v>286</v>
      </c>
      <c r="B130" s="509" t="s">
        <v>606</v>
      </c>
      <c r="C130" s="331">
        <v>4</v>
      </c>
      <c r="D130" s="331">
        <v>1</v>
      </c>
      <c r="E130" s="331">
        <v>3</v>
      </c>
      <c r="F130" s="254">
        <f t="shared" si="15"/>
        <v>257.40000000000003</v>
      </c>
      <c r="G130" s="331">
        <v>70</v>
      </c>
      <c r="H130" s="271">
        <f t="shared" si="16"/>
        <v>840</v>
      </c>
      <c r="I130" s="269">
        <f t="shared" si="17"/>
        <v>257.40000000000003</v>
      </c>
      <c r="J130" s="428"/>
      <c r="K130" s="428"/>
      <c r="L130" s="270"/>
      <c r="M130" s="270"/>
      <c r="N130" s="270"/>
      <c r="O130" s="270"/>
      <c r="P130" s="270"/>
      <c r="Q130" s="254"/>
    </row>
    <row r="131" spans="1:17" s="3" customFormat="1" ht="25" customHeight="1" x14ac:dyDescent="0.25">
      <c r="A131" s="486"/>
      <c r="B131" s="508" t="s">
        <v>728</v>
      </c>
      <c r="C131" s="331"/>
      <c r="D131" s="331"/>
      <c r="E131" s="331"/>
      <c r="F131" s="489"/>
      <c r="G131" s="331"/>
      <c r="H131" s="331"/>
      <c r="I131" s="429"/>
      <c r="J131" s="428"/>
      <c r="K131" s="428"/>
      <c r="L131" s="428"/>
      <c r="M131" s="428"/>
      <c r="N131" s="428"/>
      <c r="O131" s="428"/>
      <c r="P131" s="428"/>
      <c r="Q131" s="489"/>
    </row>
    <row r="132" spans="1:17" s="3" customFormat="1" ht="25" customHeight="1" x14ac:dyDescent="0.25">
      <c r="A132" s="486" t="s">
        <v>289</v>
      </c>
      <c r="B132" s="509" t="s">
        <v>607</v>
      </c>
      <c r="C132" s="331">
        <v>2</v>
      </c>
      <c r="D132" s="331">
        <v>1.3</v>
      </c>
      <c r="E132" s="331">
        <v>6</v>
      </c>
      <c r="F132" s="254">
        <f t="shared" si="15"/>
        <v>198</v>
      </c>
      <c r="G132" s="331">
        <v>25</v>
      </c>
      <c r="H132" s="271">
        <f t="shared" si="16"/>
        <v>300</v>
      </c>
      <c r="I132" s="269">
        <f t="shared" si="17"/>
        <v>198</v>
      </c>
      <c r="J132" s="428"/>
      <c r="K132" s="428"/>
      <c r="L132" s="270"/>
      <c r="M132" s="270"/>
      <c r="N132" s="270"/>
      <c r="O132" s="270"/>
      <c r="P132" s="270"/>
      <c r="Q132" s="254"/>
    </row>
    <row r="133" spans="1:17" s="3" customFormat="1" ht="25" customHeight="1" x14ac:dyDescent="0.25">
      <c r="A133" s="486" t="s">
        <v>292</v>
      </c>
      <c r="B133" s="510" t="s">
        <v>609</v>
      </c>
      <c r="C133" s="331">
        <v>4</v>
      </c>
      <c r="D133" s="331">
        <v>1</v>
      </c>
      <c r="E133" s="331">
        <v>3</v>
      </c>
      <c r="F133" s="254">
        <f t="shared" si="15"/>
        <v>257.40000000000003</v>
      </c>
      <c r="G133" s="331">
        <v>70</v>
      </c>
      <c r="H133" s="271">
        <f t="shared" si="16"/>
        <v>840</v>
      </c>
      <c r="I133" s="269">
        <f t="shared" si="17"/>
        <v>257.40000000000003</v>
      </c>
      <c r="J133" s="427">
        <v>0</v>
      </c>
      <c r="K133" s="427">
        <v>0</v>
      </c>
      <c r="L133" s="270"/>
      <c r="M133" s="270"/>
      <c r="N133" s="270"/>
      <c r="O133" s="270"/>
      <c r="P133" s="270"/>
      <c r="Q133" s="254"/>
    </row>
    <row r="134" spans="1:17" s="3" customFormat="1" ht="25" customHeight="1" x14ac:dyDescent="0.25">
      <c r="A134" s="486" t="s">
        <v>395</v>
      </c>
      <c r="B134" s="510" t="s">
        <v>610</v>
      </c>
      <c r="C134" s="331">
        <v>3</v>
      </c>
      <c r="D134" s="331">
        <v>1.2</v>
      </c>
      <c r="E134" s="331">
        <v>2</v>
      </c>
      <c r="F134" s="254">
        <f t="shared" si="15"/>
        <v>99</v>
      </c>
      <c r="G134" s="331">
        <v>25</v>
      </c>
      <c r="H134" s="271">
        <f t="shared" si="16"/>
        <v>150</v>
      </c>
      <c r="I134" s="269">
        <v>0</v>
      </c>
      <c r="J134" s="429">
        <f>IF(G134&lt;70, C134*E134*16.5*1, C134*E134*16.5*1.3)</f>
        <v>99</v>
      </c>
      <c r="K134" s="428"/>
      <c r="L134" s="270"/>
      <c r="M134" s="270"/>
      <c r="N134" s="270"/>
      <c r="O134" s="270"/>
      <c r="P134" s="270"/>
      <c r="Q134" s="254"/>
    </row>
    <row r="135" spans="1:17" s="3" customFormat="1" ht="25" customHeight="1" x14ac:dyDescent="0.25">
      <c r="A135" s="486" t="s">
        <v>396</v>
      </c>
      <c r="B135" s="510" t="s">
        <v>611</v>
      </c>
      <c r="C135" s="331">
        <v>4</v>
      </c>
      <c r="D135" s="331">
        <v>1</v>
      </c>
      <c r="E135" s="331">
        <v>3</v>
      </c>
      <c r="F135" s="254">
        <f t="shared" si="15"/>
        <v>257.40000000000003</v>
      </c>
      <c r="G135" s="331">
        <v>70</v>
      </c>
      <c r="H135" s="271">
        <f t="shared" si="16"/>
        <v>840</v>
      </c>
      <c r="I135" s="269">
        <f t="shared" si="17"/>
        <v>257.40000000000003</v>
      </c>
      <c r="J135" s="428"/>
      <c r="K135" s="428"/>
      <c r="L135" s="270"/>
      <c r="M135" s="270"/>
      <c r="N135" s="270"/>
      <c r="O135" s="270"/>
      <c r="P135" s="270"/>
      <c r="Q135" s="254"/>
    </row>
    <row r="136" spans="1:17" s="3" customFormat="1" ht="25" customHeight="1" x14ac:dyDescent="0.25">
      <c r="A136" s="486" t="s">
        <v>397</v>
      </c>
      <c r="B136" s="510" t="s">
        <v>612</v>
      </c>
      <c r="C136" s="331">
        <v>4</v>
      </c>
      <c r="D136" s="331">
        <v>1</v>
      </c>
      <c r="E136" s="331">
        <v>3</v>
      </c>
      <c r="F136" s="254">
        <f t="shared" si="15"/>
        <v>257.40000000000003</v>
      </c>
      <c r="G136" s="331">
        <v>70</v>
      </c>
      <c r="H136" s="271">
        <f t="shared" si="16"/>
        <v>840</v>
      </c>
      <c r="I136" s="269">
        <f t="shared" si="17"/>
        <v>257.40000000000003</v>
      </c>
      <c r="J136" s="428"/>
      <c r="K136" s="428"/>
      <c r="L136" s="270"/>
      <c r="M136" s="270"/>
      <c r="N136" s="270"/>
      <c r="O136" s="270"/>
      <c r="P136" s="270"/>
      <c r="Q136" s="254"/>
    </row>
    <row r="137" spans="1:17" s="3" customFormat="1" ht="25" customHeight="1" x14ac:dyDescent="0.25">
      <c r="A137" s="486" t="s">
        <v>398</v>
      </c>
      <c r="B137" s="510" t="s">
        <v>613</v>
      </c>
      <c r="C137" s="331">
        <v>4</v>
      </c>
      <c r="D137" s="331">
        <v>1.3</v>
      </c>
      <c r="E137" s="331">
        <v>3</v>
      </c>
      <c r="F137" s="254">
        <f t="shared" si="15"/>
        <v>257.40000000000003</v>
      </c>
      <c r="G137" s="331">
        <v>70</v>
      </c>
      <c r="H137" s="271">
        <f t="shared" si="16"/>
        <v>840</v>
      </c>
      <c r="I137" s="269">
        <f t="shared" si="17"/>
        <v>257.40000000000003</v>
      </c>
      <c r="J137" s="428">
        <v>0</v>
      </c>
      <c r="K137" s="428">
        <v>0</v>
      </c>
      <c r="L137" s="270"/>
      <c r="M137" s="270"/>
      <c r="N137" s="270"/>
      <c r="O137" s="270"/>
      <c r="P137" s="270"/>
      <c r="Q137" s="254"/>
    </row>
    <row r="138" spans="1:17" s="3" customFormat="1" ht="25" customHeight="1" x14ac:dyDescent="0.25">
      <c r="A138" s="486" t="s">
        <v>399</v>
      </c>
      <c r="B138" s="510" t="s">
        <v>614</v>
      </c>
      <c r="C138" s="331">
        <v>3</v>
      </c>
      <c r="D138" s="331">
        <v>1</v>
      </c>
      <c r="E138" s="331">
        <v>2</v>
      </c>
      <c r="F138" s="254">
        <f t="shared" si="15"/>
        <v>128.70000000000002</v>
      </c>
      <c r="G138" s="331">
        <v>70</v>
      </c>
      <c r="H138" s="271">
        <f t="shared" si="16"/>
        <v>420</v>
      </c>
      <c r="I138" s="269">
        <f t="shared" si="17"/>
        <v>128.70000000000002</v>
      </c>
      <c r="J138" s="428"/>
      <c r="K138" s="428"/>
      <c r="L138" s="270"/>
      <c r="M138" s="270"/>
      <c r="N138" s="270"/>
      <c r="O138" s="270"/>
      <c r="P138" s="270"/>
      <c r="Q138" s="254"/>
    </row>
    <row r="139" spans="1:17" s="3" customFormat="1" ht="25" customHeight="1" x14ac:dyDescent="0.25">
      <c r="A139" s="486" t="s">
        <v>400</v>
      </c>
      <c r="B139" s="510" t="s">
        <v>615</v>
      </c>
      <c r="C139" s="331">
        <v>2</v>
      </c>
      <c r="D139" s="331">
        <v>1.3</v>
      </c>
      <c r="E139" s="331">
        <v>2</v>
      </c>
      <c r="F139" s="254">
        <f t="shared" si="15"/>
        <v>66</v>
      </c>
      <c r="G139" s="331">
        <v>60</v>
      </c>
      <c r="H139" s="271">
        <f t="shared" si="16"/>
        <v>240</v>
      </c>
      <c r="I139" s="269">
        <f t="shared" si="17"/>
        <v>66</v>
      </c>
      <c r="J139" s="428">
        <v>0</v>
      </c>
      <c r="K139" s="428">
        <v>0</v>
      </c>
      <c r="L139" s="270"/>
      <c r="M139" s="270"/>
      <c r="N139" s="270"/>
      <c r="O139" s="270"/>
      <c r="P139" s="270"/>
      <c r="Q139" s="254"/>
    </row>
    <row r="140" spans="1:17" s="3" customFormat="1" ht="25" customHeight="1" x14ac:dyDescent="0.25">
      <c r="A140" s="486"/>
      <c r="B140" s="589" t="s">
        <v>729</v>
      </c>
      <c r="C140" s="331"/>
      <c r="D140" s="331"/>
      <c r="E140" s="331"/>
      <c r="F140" s="489"/>
      <c r="G140" s="331"/>
      <c r="H140" s="331"/>
      <c r="I140" s="429"/>
      <c r="J140" s="428"/>
      <c r="K140" s="428"/>
      <c r="L140" s="428"/>
      <c r="M140" s="428"/>
      <c r="N140" s="428"/>
      <c r="O140" s="428"/>
      <c r="P140" s="428"/>
      <c r="Q140" s="489"/>
    </row>
    <row r="141" spans="1:17" s="3" customFormat="1" ht="25" customHeight="1" x14ac:dyDescent="0.25">
      <c r="A141" s="486"/>
      <c r="B141" s="510" t="s">
        <v>616</v>
      </c>
      <c r="C141" s="331">
        <v>4</v>
      </c>
      <c r="D141" s="331">
        <v>1</v>
      </c>
      <c r="E141" s="331">
        <v>3</v>
      </c>
      <c r="F141" s="254">
        <f t="shared" si="15"/>
        <v>257.40000000000003</v>
      </c>
      <c r="G141" s="331">
        <v>70</v>
      </c>
      <c r="H141" s="271">
        <f t="shared" si="16"/>
        <v>840</v>
      </c>
      <c r="I141" s="269">
        <f t="shared" si="17"/>
        <v>257.40000000000003</v>
      </c>
      <c r="J141" s="428"/>
      <c r="K141" s="428"/>
      <c r="L141" s="270"/>
      <c r="M141" s="270"/>
      <c r="N141" s="270"/>
      <c r="O141" s="270"/>
      <c r="P141" s="270"/>
      <c r="Q141" s="254"/>
    </row>
    <row r="142" spans="1:17" s="3" customFormat="1" ht="25" customHeight="1" x14ac:dyDescent="0.25">
      <c r="A142" s="486"/>
      <c r="B142" s="589" t="s">
        <v>730</v>
      </c>
      <c r="C142" s="331"/>
      <c r="D142" s="331"/>
      <c r="E142" s="331"/>
      <c r="F142" s="489"/>
      <c r="G142" s="331"/>
      <c r="H142" s="331"/>
      <c r="I142" s="429"/>
      <c r="J142" s="428"/>
      <c r="K142" s="428"/>
      <c r="L142" s="428"/>
      <c r="M142" s="428"/>
      <c r="N142" s="428"/>
      <c r="O142" s="428"/>
      <c r="P142" s="428"/>
      <c r="Q142" s="489"/>
    </row>
    <row r="143" spans="1:17" s="3" customFormat="1" ht="25" customHeight="1" x14ac:dyDescent="0.25">
      <c r="A143" s="486" t="s">
        <v>401</v>
      </c>
      <c r="B143" s="510" t="s">
        <v>617</v>
      </c>
      <c r="C143" s="331">
        <v>4</v>
      </c>
      <c r="D143" s="331">
        <v>1.1200000000000001</v>
      </c>
      <c r="E143" s="331">
        <v>3</v>
      </c>
      <c r="F143" s="254">
        <f t="shared" si="15"/>
        <v>257.40000000000003</v>
      </c>
      <c r="G143" s="331">
        <v>70</v>
      </c>
      <c r="H143" s="271">
        <f t="shared" si="16"/>
        <v>840</v>
      </c>
      <c r="I143" s="269">
        <f t="shared" si="17"/>
        <v>257.40000000000003</v>
      </c>
      <c r="J143" s="428">
        <v>0</v>
      </c>
      <c r="K143" s="428">
        <v>0</v>
      </c>
      <c r="L143" s="270"/>
      <c r="M143" s="270"/>
      <c r="N143" s="270"/>
      <c r="O143" s="270"/>
      <c r="P143" s="270"/>
      <c r="Q143" s="254"/>
    </row>
    <row r="144" spans="1:17" s="3" customFormat="1" ht="25" customHeight="1" x14ac:dyDescent="0.25">
      <c r="A144" s="499" t="s">
        <v>148</v>
      </c>
      <c r="B144" s="500" t="s">
        <v>151</v>
      </c>
      <c r="C144" s="331"/>
      <c r="D144" s="331"/>
      <c r="E144" s="331"/>
      <c r="F144" s="271"/>
      <c r="G144" s="331"/>
      <c r="H144" s="271">
        <f t="shared" si="16"/>
        <v>0</v>
      </c>
      <c r="I144" s="279"/>
      <c r="J144" s="427"/>
      <c r="K144" s="427"/>
      <c r="L144" s="270"/>
      <c r="M144" s="270"/>
      <c r="N144" s="270"/>
      <c r="O144" s="270"/>
      <c r="P144" s="270"/>
      <c r="Q144" s="254"/>
    </row>
    <row r="145" spans="1:17" s="3" customFormat="1" ht="25" customHeight="1" x14ac:dyDescent="0.25">
      <c r="A145" s="501" t="s">
        <v>232</v>
      </c>
      <c r="B145" s="486" t="s">
        <v>154</v>
      </c>
      <c r="C145" s="331"/>
      <c r="D145" s="331"/>
      <c r="E145" s="331"/>
      <c r="F145" s="254">
        <f t="shared" si="15"/>
        <v>0</v>
      </c>
      <c r="G145" s="331">
        <v>0</v>
      </c>
      <c r="H145" s="271">
        <f t="shared" si="16"/>
        <v>0</v>
      </c>
      <c r="I145" s="269">
        <f t="shared" si="17"/>
        <v>0</v>
      </c>
      <c r="J145" s="427"/>
      <c r="K145" s="427"/>
      <c r="L145" s="270"/>
      <c r="M145" s="270"/>
      <c r="N145" s="270"/>
      <c r="O145" s="270"/>
      <c r="P145" s="270"/>
      <c r="Q145" s="254"/>
    </row>
    <row r="146" spans="1:17" s="3" customFormat="1" ht="25" customHeight="1" x14ac:dyDescent="0.25">
      <c r="A146" s="501" t="s">
        <v>233</v>
      </c>
      <c r="B146" s="486" t="s">
        <v>153</v>
      </c>
      <c r="C146" s="331"/>
      <c r="D146" s="331"/>
      <c r="E146" s="331"/>
      <c r="F146" s="271">
        <v>0</v>
      </c>
      <c r="G146" s="331">
        <v>0</v>
      </c>
      <c r="H146" s="271">
        <f t="shared" si="16"/>
        <v>0</v>
      </c>
      <c r="I146" s="269">
        <f t="shared" si="17"/>
        <v>0</v>
      </c>
      <c r="J146" s="427"/>
      <c r="K146" s="427"/>
      <c r="L146" s="270"/>
      <c r="M146" s="270"/>
      <c r="N146" s="270"/>
      <c r="O146" s="270"/>
      <c r="P146" s="270"/>
      <c r="Q146" s="254"/>
    </row>
    <row r="147" spans="1:17" s="3" customFormat="1" ht="25" customHeight="1" x14ac:dyDescent="0.25">
      <c r="A147" s="501" t="s">
        <v>234</v>
      </c>
      <c r="B147" s="486" t="s">
        <v>155</v>
      </c>
      <c r="C147" s="331"/>
      <c r="D147" s="331"/>
      <c r="E147" s="331"/>
      <c r="F147" s="36">
        <f>I147</f>
        <v>0</v>
      </c>
      <c r="G147" s="331">
        <v>0</v>
      </c>
      <c r="H147" s="271">
        <f t="shared" si="16"/>
        <v>0</v>
      </c>
      <c r="I147" s="269">
        <f t="shared" si="17"/>
        <v>0</v>
      </c>
      <c r="J147" s="427"/>
      <c r="K147" s="427"/>
      <c r="L147" s="270"/>
      <c r="M147" s="270"/>
      <c r="N147" s="270"/>
      <c r="O147" s="270"/>
      <c r="P147" s="270"/>
      <c r="Q147" s="254"/>
    </row>
    <row r="148" spans="1:17" s="3" customFormat="1" ht="25" customHeight="1" x14ac:dyDescent="0.25">
      <c r="A148" s="501" t="s">
        <v>235</v>
      </c>
      <c r="B148" s="486" t="s">
        <v>156</v>
      </c>
      <c r="C148" s="331">
        <v>4</v>
      </c>
      <c r="D148" s="331">
        <v>1.4</v>
      </c>
      <c r="E148" s="331">
        <v>6</v>
      </c>
      <c r="F148" s="36">
        <f>I148+J148+K148</f>
        <v>1200</v>
      </c>
      <c r="G148" s="331">
        <v>25</v>
      </c>
      <c r="H148" s="271">
        <f t="shared" si="16"/>
        <v>600</v>
      </c>
      <c r="I148" s="279">
        <f>H148*2</f>
        <v>1200</v>
      </c>
      <c r="J148" s="427"/>
      <c r="K148" s="427"/>
      <c r="L148" s="270"/>
      <c r="M148" s="270"/>
      <c r="N148" s="270"/>
      <c r="O148" s="270"/>
      <c r="P148" s="270"/>
      <c r="Q148" s="254"/>
    </row>
    <row r="149" spans="1:17" s="3" customFormat="1" ht="25" customHeight="1" x14ac:dyDescent="0.25">
      <c r="A149" s="501" t="s">
        <v>236</v>
      </c>
      <c r="B149" s="486" t="s">
        <v>157</v>
      </c>
      <c r="C149" s="331">
        <v>0</v>
      </c>
      <c r="D149" s="331"/>
      <c r="E149" s="331">
        <v>0</v>
      </c>
      <c r="F149" s="36">
        <f>I149+J149+K149</f>
        <v>0</v>
      </c>
      <c r="G149" s="331">
        <v>0</v>
      </c>
      <c r="H149" s="271">
        <f t="shared" si="16"/>
        <v>0</v>
      </c>
      <c r="I149" s="269">
        <f t="shared" si="17"/>
        <v>0</v>
      </c>
      <c r="J149" s="427"/>
      <c r="K149" s="427"/>
      <c r="L149" s="270"/>
      <c r="M149" s="270"/>
      <c r="N149" s="270"/>
      <c r="O149" s="270"/>
      <c r="P149" s="270"/>
      <c r="Q149" s="254"/>
    </row>
    <row r="150" spans="1:17" s="3" customFormat="1" ht="25" customHeight="1" x14ac:dyDescent="0.25">
      <c r="A150" s="529"/>
      <c r="B150" s="530" t="s">
        <v>380</v>
      </c>
      <c r="C150" s="504">
        <f t="shared" ref="C150:K150" si="18">SUM(C111:C149)</f>
        <v>74</v>
      </c>
      <c r="D150" s="504">
        <f t="shared" si="18"/>
        <v>28.22</v>
      </c>
      <c r="E150" s="504">
        <f t="shared" si="18"/>
        <v>86</v>
      </c>
      <c r="F150" s="504">
        <f t="shared" si="18"/>
        <v>5273.85</v>
      </c>
      <c r="G150" s="504">
        <f t="shared" si="18"/>
        <v>1395</v>
      </c>
      <c r="H150" s="504">
        <f t="shared" si="18"/>
        <v>12760</v>
      </c>
      <c r="I150" s="504">
        <f t="shared" si="18"/>
        <v>5174.8500000000004</v>
      </c>
      <c r="J150" s="504">
        <f t="shared" si="18"/>
        <v>99</v>
      </c>
      <c r="K150" s="504">
        <f t="shared" si="18"/>
        <v>0</v>
      </c>
      <c r="L150" s="270"/>
      <c r="M150" s="270"/>
      <c r="N150" s="270"/>
      <c r="O150" s="270"/>
      <c r="P150" s="270"/>
      <c r="Q150" s="254"/>
    </row>
    <row r="151" spans="1:17" s="3" customFormat="1" ht="25" customHeight="1" x14ac:dyDescent="0.25">
      <c r="A151" s="531">
        <v>2</v>
      </c>
      <c r="B151" s="531" t="s">
        <v>501</v>
      </c>
      <c r="C151" s="331"/>
      <c r="D151" s="331"/>
      <c r="E151" s="331"/>
      <c r="F151" s="269"/>
      <c r="G151" s="331"/>
      <c r="H151" s="271"/>
      <c r="I151" s="271"/>
      <c r="J151" s="427"/>
      <c r="K151" s="427"/>
      <c r="L151" s="270"/>
      <c r="M151" s="270"/>
      <c r="N151" s="270"/>
      <c r="O151" s="270"/>
      <c r="P151" s="270"/>
      <c r="Q151" s="1476"/>
    </row>
    <row r="152" spans="1:17" s="3" customFormat="1" ht="25" customHeight="1" x14ac:dyDescent="0.25">
      <c r="A152" s="444" t="s">
        <v>147</v>
      </c>
      <c r="B152" s="508" t="s">
        <v>165</v>
      </c>
      <c r="C152" s="331"/>
      <c r="D152" s="331"/>
      <c r="E152" s="331"/>
      <c r="F152" s="269"/>
      <c r="G152" s="331"/>
      <c r="H152" s="271"/>
      <c r="I152" s="271"/>
      <c r="J152" s="427"/>
      <c r="K152" s="427"/>
      <c r="L152" s="270"/>
      <c r="M152" s="270"/>
      <c r="N152" s="270"/>
      <c r="O152" s="270"/>
      <c r="P152" s="270"/>
      <c r="Q152" s="1476"/>
    </row>
    <row r="153" spans="1:17" s="3" customFormat="1" ht="25" customHeight="1" x14ac:dyDescent="0.25">
      <c r="A153" s="486" t="s">
        <v>226</v>
      </c>
      <c r="B153" s="330" t="s">
        <v>618</v>
      </c>
      <c r="C153" s="331">
        <v>3</v>
      </c>
      <c r="D153" s="331">
        <v>1</v>
      </c>
      <c r="E153" s="331">
        <v>1</v>
      </c>
      <c r="F153" s="254">
        <f t="shared" ref="F153:F159" si="19">I153+J153+K153</f>
        <v>74.25</v>
      </c>
      <c r="G153" s="331">
        <v>13</v>
      </c>
      <c r="H153" s="271">
        <f t="shared" si="16"/>
        <v>39</v>
      </c>
      <c r="I153" s="269">
        <f>C153*E153*16.5*1.5</f>
        <v>74.25</v>
      </c>
      <c r="J153" s="427"/>
      <c r="K153" s="427"/>
      <c r="L153" s="250"/>
      <c r="M153" s="270"/>
      <c r="N153" s="270"/>
      <c r="O153" s="270"/>
      <c r="P153" s="270"/>
      <c r="Q153" s="1476"/>
    </row>
    <row r="154" spans="1:17" s="3" customFormat="1" ht="25" customHeight="1" x14ac:dyDescent="0.25">
      <c r="A154" s="486" t="s">
        <v>227</v>
      </c>
      <c r="B154" s="330" t="s">
        <v>619</v>
      </c>
      <c r="C154" s="331">
        <v>3</v>
      </c>
      <c r="D154" s="331">
        <v>1</v>
      </c>
      <c r="E154" s="331">
        <v>1</v>
      </c>
      <c r="F154" s="254">
        <f t="shared" si="19"/>
        <v>74.25</v>
      </c>
      <c r="G154" s="331">
        <v>13</v>
      </c>
      <c r="H154" s="271">
        <f t="shared" si="16"/>
        <v>39</v>
      </c>
      <c r="I154" s="269">
        <f>C154*E154*16.5*1.5</f>
        <v>74.25</v>
      </c>
      <c r="J154" s="427"/>
      <c r="K154" s="427"/>
      <c r="L154" s="250"/>
      <c r="M154" s="270"/>
      <c r="N154" s="270"/>
      <c r="O154" s="270"/>
      <c r="P154" s="270"/>
      <c r="Q154" s="1476"/>
    </row>
    <row r="155" spans="1:17" s="3" customFormat="1" ht="25" customHeight="1" x14ac:dyDescent="0.25">
      <c r="A155" s="486" t="s">
        <v>228</v>
      </c>
      <c r="B155" s="330" t="s">
        <v>620</v>
      </c>
      <c r="C155" s="331">
        <v>3</v>
      </c>
      <c r="D155" s="331">
        <v>1</v>
      </c>
      <c r="E155" s="331">
        <v>1</v>
      </c>
      <c r="F155" s="254">
        <f t="shared" si="19"/>
        <v>74.25</v>
      </c>
      <c r="G155" s="331">
        <v>13</v>
      </c>
      <c r="H155" s="271">
        <f t="shared" si="16"/>
        <v>39</v>
      </c>
      <c r="I155" s="269">
        <f>C155*E155*16.5*1.5</f>
        <v>74.25</v>
      </c>
      <c r="J155" s="427"/>
      <c r="K155" s="427"/>
      <c r="L155" s="250"/>
      <c r="M155" s="270"/>
      <c r="N155" s="270"/>
      <c r="O155" s="270"/>
      <c r="P155" s="270"/>
      <c r="Q155" s="1476"/>
    </row>
    <row r="156" spans="1:17" s="3" customFormat="1" ht="25" customHeight="1" x14ac:dyDescent="0.25">
      <c r="A156" s="486" t="s">
        <v>229</v>
      </c>
      <c r="B156" s="330" t="s">
        <v>621</v>
      </c>
      <c r="C156" s="331">
        <v>3</v>
      </c>
      <c r="D156" s="331">
        <v>1</v>
      </c>
      <c r="E156" s="331">
        <v>1</v>
      </c>
      <c r="F156" s="254">
        <f t="shared" si="19"/>
        <v>74.25</v>
      </c>
      <c r="G156" s="331">
        <v>13</v>
      </c>
      <c r="H156" s="271">
        <f t="shared" si="16"/>
        <v>39</v>
      </c>
      <c r="I156" s="269">
        <f>C156*E156*16.5*1.5</f>
        <v>74.25</v>
      </c>
      <c r="J156" s="427"/>
      <c r="K156" s="427"/>
      <c r="L156" s="250"/>
      <c r="M156" s="270"/>
      <c r="N156" s="270"/>
      <c r="O156" s="270"/>
      <c r="P156" s="270"/>
      <c r="Q156" s="1476"/>
    </row>
    <row r="157" spans="1:17" s="3" customFormat="1" ht="25" customHeight="1" x14ac:dyDescent="0.25">
      <c r="A157" s="486" t="s">
        <v>230</v>
      </c>
      <c r="B157" s="486" t="s">
        <v>500</v>
      </c>
      <c r="C157" s="331">
        <v>3</v>
      </c>
      <c r="D157" s="331">
        <v>1</v>
      </c>
      <c r="E157" s="331">
        <v>1</v>
      </c>
      <c r="F157" s="254">
        <f t="shared" si="19"/>
        <v>74.25</v>
      </c>
      <c r="G157" s="331">
        <v>13</v>
      </c>
      <c r="H157" s="271">
        <f t="shared" si="16"/>
        <v>39</v>
      </c>
      <c r="I157" s="269">
        <f>C157*E157*16.5*1.5</f>
        <v>74.25</v>
      </c>
      <c r="J157" s="427"/>
      <c r="K157" s="427"/>
      <c r="L157" s="250"/>
      <c r="M157" s="270"/>
      <c r="N157" s="270"/>
      <c r="O157" s="270"/>
      <c r="P157" s="270"/>
      <c r="Q157" s="1476"/>
    </row>
    <row r="158" spans="1:17" s="3" customFormat="1" ht="25" customHeight="1" x14ac:dyDescent="0.25">
      <c r="A158" s="486" t="s">
        <v>231</v>
      </c>
      <c r="B158" s="510" t="s">
        <v>622</v>
      </c>
      <c r="C158" s="331">
        <v>3</v>
      </c>
      <c r="D158" s="331">
        <v>1</v>
      </c>
      <c r="E158" s="331">
        <v>1</v>
      </c>
      <c r="F158" s="254">
        <f t="shared" si="19"/>
        <v>74.25</v>
      </c>
      <c r="G158" s="331">
        <v>13</v>
      </c>
      <c r="H158" s="271">
        <f t="shared" si="16"/>
        <v>39</v>
      </c>
      <c r="I158" s="279">
        <v>0</v>
      </c>
      <c r="J158" s="427"/>
      <c r="K158" s="269">
        <f>C158*E158*16.5*1.5</f>
        <v>74.25</v>
      </c>
      <c r="L158" s="270"/>
      <c r="M158" s="270"/>
      <c r="N158" s="270"/>
      <c r="O158" s="270"/>
      <c r="P158" s="270"/>
      <c r="Q158" s="254"/>
    </row>
    <row r="159" spans="1:17" s="3" customFormat="1" ht="25" customHeight="1" x14ac:dyDescent="0.25">
      <c r="A159" s="501" t="s">
        <v>282</v>
      </c>
      <c r="B159" s="510" t="s">
        <v>623</v>
      </c>
      <c r="C159" s="331">
        <v>3</v>
      </c>
      <c r="D159" s="331">
        <v>1</v>
      </c>
      <c r="E159" s="331">
        <v>1</v>
      </c>
      <c r="F159" s="254">
        <f t="shared" si="19"/>
        <v>74.25</v>
      </c>
      <c r="G159" s="331">
        <v>13</v>
      </c>
      <c r="H159" s="271">
        <f t="shared" si="16"/>
        <v>39</v>
      </c>
      <c r="I159" s="279">
        <v>0</v>
      </c>
      <c r="J159" s="427"/>
      <c r="K159" s="269">
        <f>C159*E159*16.5*1.5</f>
        <v>74.25</v>
      </c>
      <c r="L159" s="270"/>
      <c r="M159" s="270"/>
      <c r="N159" s="270"/>
      <c r="O159" s="270"/>
      <c r="P159" s="270"/>
      <c r="Q159" s="254"/>
    </row>
    <row r="160" spans="1:17" s="3" customFormat="1" ht="25" customHeight="1" x14ac:dyDescent="0.25">
      <c r="A160" s="499" t="s">
        <v>148</v>
      </c>
      <c r="B160" s="500" t="s">
        <v>470</v>
      </c>
      <c r="C160" s="331"/>
      <c r="D160" s="331"/>
      <c r="E160" s="331"/>
      <c r="F160" s="254"/>
      <c r="G160" s="331"/>
      <c r="H160" s="271"/>
      <c r="I160" s="269"/>
      <c r="J160" s="428"/>
      <c r="K160" s="427"/>
      <c r="L160" s="270"/>
      <c r="M160" s="270"/>
      <c r="N160" s="270"/>
      <c r="O160" s="270"/>
      <c r="P160" s="270"/>
      <c r="Q160" s="254"/>
    </row>
    <row r="161" spans="1:17" s="3" customFormat="1" ht="25" customHeight="1" x14ac:dyDescent="0.25">
      <c r="A161" s="499"/>
      <c r="B161" s="486" t="s">
        <v>624</v>
      </c>
      <c r="C161" s="331">
        <v>15</v>
      </c>
      <c r="D161" s="331">
        <v>1</v>
      </c>
      <c r="E161" s="331">
        <v>1</v>
      </c>
      <c r="F161" s="254">
        <f t="shared" ref="F161:F183" si="20">I161+J161+K161</f>
        <v>210</v>
      </c>
      <c r="G161" s="331">
        <v>6</v>
      </c>
      <c r="H161" s="271">
        <f>C161*E161*G161</f>
        <v>90</v>
      </c>
      <c r="I161" s="269">
        <f>6*35</f>
        <v>210</v>
      </c>
      <c r="J161" s="428"/>
      <c r="K161" s="427"/>
      <c r="L161" s="270"/>
      <c r="M161" s="270"/>
      <c r="N161" s="270"/>
      <c r="O161" s="270"/>
      <c r="P161" s="270"/>
      <c r="Q161" s="254"/>
    </row>
    <row r="162" spans="1:17" s="3" customFormat="1" ht="25" customHeight="1" x14ac:dyDescent="0.25">
      <c r="A162" s="502"/>
      <c r="B162" s="503" t="s">
        <v>380</v>
      </c>
      <c r="C162" s="504">
        <f t="shared" ref="C162:K162" si="21">SUM(C153:C161)</f>
        <v>36</v>
      </c>
      <c r="D162" s="504">
        <f t="shared" si="21"/>
        <v>8</v>
      </c>
      <c r="E162" s="504">
        <f t="shared" si="21"/>
        <v>8</v>
      </c>
      <c r="F162" s="504">
        <f t="shared" si="21"/>
        <v>729.75</v>
      </c>
      <c r="G162" s="504">
        <f t="shared" si="21"/>
        <v>97</v>
      </c>
      <c r="H162" s="504">
        <f t="shared" si="21"/>
        <v>363</v>
      </c>
      <c r="I162" s="504">
        <f t="shared" si="21"/>
        <v>581.25</v>
      </c>
      <c r="J162" s="504">
        <f t="shared" si="21"/>
        <v>0</v>
      </c>
      <c r="K162" s="504">
        <f t="shared" si="21"/>
        <v>148.5</v>
      </c>
      <c r="L162" s="270"/>
      <c r="M162" s="270"/>
      <c r="N162" s="270"/>
      <c r="O162" s="270"/>
      <c r="P162" s="270"/>
      <c r="Q162" s="254"/>
    </row>
    <row r="163" spans="1:17" s="3" customFormat="1" ht="25" customHeight="1" x14ac:dyDescent="0.25">
      <c r="A163" s="531">
        <v>1</v>
      </c>
      <c r="B163" s="508" t="s">
        <v>225</v>
      </c>
      <c r="C163" s="331"/>
      <c r="D163" s="331"/>
      <c r="E163" s="331"/>
      <c r="F163" s="254"/>
      <c r="G163" s="331"/>
      <c r="H163" s="271"/>
      <c r="I163" s="269"/>
      <c r="J163" s="428"/>
      <c r="K163" s="428"/>
      <c r="L163" s="270"/>
      <c r="M163" s="270"/>
      <c r="N163" s="270"/>
      <c r="O163" s="270"/>
      <c r="P163" s="270"/>
      <c r="Q163" s="254"/>
    </row>
    <row r="164" spans="1:17" s="3" customFormat="1" ht="25" customHeight="1" x14ac:dyDescent="0.25">
      <c r="A164" s="531" t="s">
        <v>381</v>
      </c>
      <c r="B164" s="508" t="s">
        <v>163</v>
      </c>
      <c r="C164" s="331"/>
      <c r="D164" s="331"/>
      <c r="E164" s="331"/>
      <c r="F164" s="254"/>
      <c r="G164" s="331"/>
      <c r="H164" s="271"/>
      <c r="I164" s="269"/>
      <c r="J164" s="428"/>
      <c r="K164" s="428"/>
      <c r="L164" s="270"/>
      <c r="M164" s="270"/>
      <c r="N164" s="270"/>
      <c r="O164" s="270"/>
      <c r="P164" s="270"/>
      <c r="Q164" s="254"/>
    </row>
    <row r="165" spans="1:17" s="3" customFormat="1" ht="25" customHeight="1" x14ac:dyDescent="0.25">
      <c r="A165" s="531"/>
      <c r="B165" s="508" t="s">
        <v>722</v>
      </c>
      <c r="C165" s="331"/>
      <c r="D165" s="331"/>
      <c r="E165" s="331"/>
      <c r="F165" s="489"/>
      <c r="G165" s="331"/>
      <c r="H165" s="331"/>
      <c r="I165" s="429"/>
      <c r="J165" s="428"/>
      <c r="K165" s="428"/>
      <c r="L165" s="428"/>
      <c r="M165" s="428"/>
      <c r="N165" s="428"/>
      <c r="O165" s="428"/>
      <c r="P165" s="428"/>
      <c r="Q165" s="489"/>
    </row>
    <row r="166" spans="1:17" s="3" customFormat="1" ht="25" customHeight="1" x14ac:dyDescent="0.25">
      <c r="A166" s="501" t="s">
        <v>228</v>
      </c>
      <c r="B166" s="509" t="s">
        <v>625</v>
      </c>
      <c r="C166" s="331">
        <v>3</v>
      </c>
      <c r="D166" s="331">
        <v>1</v>
      </c>
      <c r="E166" s="331">
        <v>7</v>
      </c>
      <c r="F166" s="254">
        <f t="shared" si="20"/>
        <v>450.45</v>
      </c>
      <c r="G166" s="331">
        <v>70</v>
      </c>
      <c r="H166" s="271">
        <f>C166*E166*G166</f>
        <v>1470</v>
      </c>
      <c r="I166" s="269">
        <f>IF(G166&lt;70, C166*E166*16.5*1, C166*E166*16.5*1.3)</f>
        <v>450.45</v>
      </c>
      <c r="J166" s="428"/>
      <c r="K166" s="428"/>
      <c r="L166" s="270"/>
      <c r="M166" s="270"/>
      <c r="N166" s="270"/>
      <c r="O166" s="270"/>
      <c r="P166" s="270"/>
      <c r="Q166" s="254"/>
    </row>
    <row r="167" spans="1:17" s="3" customFormat="1" ht="25" customHeight="1" x14ac:dyDescent="0.25">
      <c r="A167" s="501"/>
      <c r="B167" s="508" t="s">
        <v>724</v>
      </c>
      <c r="C167" s="331"/>
      <c r="D167" s="331"/>
      <c r="E167" s="331"/>
      <c r="F167" s="489"/>
      <c r="G167" s="331"/>
      <c r="H167" s="331"/>
      <c r="I167" s="429"/>
      <c r="J167" s="428"/>
      <c r="K167" s="428"/>
      <c r="L167" s="428"/>
      <c r="M167" s="428"/>
      <c r="N167" s="428"/>
      <c r="O167" s="428"/>
      <c r="P167" s="428"/>
      <c r="Q167" s="489"/>
    </row>
    <row r="168" spans="1:17" s="3" customFormat="1" ht="25" customHeight="1" x14ac:dyDescent="0.25">
      <c r="A168" s="501" t="s">
        <v>229</v>
      </c>
      <c r="B168" s="509" t="s">
        <v>626</v>
      </c>
      <c r="C168" s="331">
        <v>3</v>
      </c>
      <c r="D168" s="331">
        <v>1</v>
      </c>
      <c r="E168" s="331">
        <v>7</v>
      </c>
      <c r="F168" s="254">
        <f t="shared" si="20"/>
        <v>450.45</v>
      </c>
      <c r="G168" s="331">
        <v>70</v>
      </c>
      <c r="H168" s="271">
        <f t="shared" ref="H168:H183" si="22">C168*E168*G168</f>
        <v>1470</v>
      </c>
      <c r="I168" s="269">
        <f t="shared" ref="I168:I183" si="23">IF(G168&lt;70, C168*E168*16.5*1, C168*E168*16.5*1.3)</f>
        <v>450.45</v>
      </c>
      <c r="J168" s="428"/>
      <c r="K168" s="428"/>
      <c r="L168" s="270"/>
      <c r="M168" s="270"/>
      <c r="N168" s="270"/>
      <c r="O168" s="270"/>
      <c r="P168" s="270"/>
      <c r="Q168" s="254"/>
    </row>
    <row r="169" spans="1:17" s="3" customFormat="1" ht="25" customHeight="1" x14ac:dyDescent="0.25">
      <c r="A169" s="501"/>
      <c r="B169" s="508" t="s">
        <v>725</v>
      </c>
      <c r="C169" s="331"/>
      <c r="D169" s="331"/>
      <c r="E169" s="331"/>
      <c r="F169" s="489"/>
      <c r="G169" s="331"/>
      <c r="H169" s="331"/>
      <c r="I169" s="429"/>
      <c r="J169" s="428"/>
      <c r="K169" s="428"/>
      <c r="L169" s="428"/>
      <c r="M169" s="428"/>
      <c r="N169" s="428"/>
      <c r="O169" s="428"/>
      <c r="P169" s="428"/>
      <c r="Q169" s="489"/>
    </row>
    <row r="170" spans="1:17" s="3" customFormat="1" ht="25" customHeight="1" x14ac:dyDescent="0.25">
      <c r="A170" s="501" t="s">
        <v>230</v>
      </c>
      <c r="B170" s="509" t="s">
        <v>627</v>
      </c>
      <c r="C170" s="331">
        <v>2</v>
      </c>
      <c r="D170" s="331">
        <v>1</v>
      </c>
      <c r="E170" s="331">
        <v>10</v>
      </c>
      <c r="F170" s="254">
        <f t="shared" si="20"/>
        <v>429</v>
      </c>
      <c r="G170" s="331">
        <v>70</v>
      </c>
      <c r="H170" s="271">
        <f t="shared" si="22"/>
        <v>1400</v>
      </c>
      <c r="I170" s="269">
        <f t="shared" si="23"/>
        <v>429</v>
      </c>
      <c r="J170" s="428"/>
      <c r="K170" s="428"/>
      <c r="L170" s="270"/>
      <c r="M170" s="270"/>
      <c r="N170" s="270"/>
      <c r="O170" s="270"/>
      <c r="P170" s="270"/>
      <c r="Q170" s="254"/>
    </row>
    <row r="171" spans="1:17" s="3" customFormat="1" ht="25" customHeight="1" x14ac:dyDescent="0.25">
      <c r="A171" s="501"/>
      <c r="B171" s="508" t="s">
        <v>726</v>
      </c>
      <c r="C171" s="331"/>
      <c r="D171" s="331"/>
      <c r="E171" s="331"/>
      <c r="F171" s="489"/>
      <c r="G171" s="331"/>
      <c r="H171" s="331"/>
      <c r="I171" s="429"/>
      <c r="J171" s="428"/>
      <c r="K171" s="428"/>
      <c r="L171" s="428"/>
      <c r="M171" s="428"/>
      <c r="N171" s="428"/>
      <c r="O171" s="428"/>
      <c r="P171" s="428"/>
      <c r="Q171" s="489"/>
    </row>
    <row r="172" spans="1:17" s="3" customFormat="1" ht="25" customHeight="1" x14ac:dyDescent="0.25">
      <c r="A172" s="501" t="s">
        <v>231</v>
      </c>
      <c r="B172" s="509" t="s">
        <v>628</v>
      </c>
      <c r="C172" s="331">
        <v>3</v>
      </c>
      <c r="D172" s="331">
        <v>1</v>
      </c>
      <c r="E172" s="331">
        <v>16</v>
      </c>
      <c r="F172" s="254">
        <f t="shared" si="20"/>
        <v>1029.6000000000001</v>
      </c>
      <c r="G172" s="331">
        <v>70</v>
      </c>
      <c r="H172" s="271">
        <f t="shared" si="22"/>
        <v>3360</v>
      </c>
      <c r="I172" s="269">
        <f t="shared" si="23"/>
        <v>1029.6000000000001</v>
      </c>
      <c r="J172" s="428"/>
      <c r="K172" s="428"/>
      <c r="L172" s="270"/>
      <c r="M172" s="270"/>
      <c r="N172" s="270"/>
      <c r="O172" s="270"/>
      <c r="P172" s="270"/>
      <c r="Q172" s="254"/>
    </row>
    <row r="173" spans="1:17" s="3" customFormat="1" ht="25" customHeight="1" x14ac:dyDescent="0.25">
      <c r="A173" s="501"/>
      <c r="B173" s="508" t="s">
        <v>732</v>
      </c>
      <c r="C173" s="331"/>
      <c r="D173" s="331"/>
      <c r="E173" s="331"/>
      <c r="F173" s="489"/>
      <c r="G173" s="331"/>
      <c r="H173" s="331"/>
      <c r="I173" s="429"/>
      <c r="J173" s="428"/>
      <c r="K173" s="428"/>
      <c r="L173" s="428"/>
      <c r="M173" s="428"/>
      <c r="N173" s="428"/>
      <c r="O173" s="428"/>
      <c r="P173" s="428"/>
      <c r="Q173" s="489"/>
    </row>
    <row r="174" spans="1:17" s="3" customFormat="1" ht="25" customHeight="1" x14ac:dyDescent="0.25">
      <c r="A174" s="501" t="s">
        <v>282</v>
      </c>
      <c r="B174" s="509" t="s">
        <v>629</v>
      </c>
      <c r="C174" s="331">
        <v>2</v>
      </c>
      <c r="D174" s="331">
        <v>1</v>
      </c>
      <c r="E174" s="331">
        <v>10</v>
      </c>
      <c r="F174" s="254">
        <f t="shared" si="20"/>
        <v>429</v>
      </c>
      <c r="G174" s="331">
        <v>80</v>
      </c>
      <c r="H174" s="271">
        <f t="shared" si="22"/>
        <v>1600</v>
      </c>
      <c r="I174" s="269">
        <f t="shared" si="23"/>
        <v>429</v>
      </c>
      <c r="J174" s="428"/>
      <c r="K174" s="428"/>
      <c r="L174" s="270"/>
      <c r="M174" s="270"/>
      <c r="N174" s="270"/>
      <c r="O174" s="270"/>
      <c r="P174" s="270"/>
      <c r="Q174" s="254"/>
    </row>
    <row r="175" spans="1:17" s="3" customFormat="1" ht="25" customHeight="1" x14ac:dyDescent="0.25">
      <c r="A175" s="501"/>
      <c r="B175" s="508" t="s">
        <v>731</v>
      </c>
      <c r="C175" s="331"/>
      <c r="D175" s="331"/>
      <c r="E175" s="331"/>
      <c r="F175" s="489"/>
      <c r="G175" s="331"/>
      <c r="H175" s="331"/>
      <c r="I175" s="429"/>
      <c r="J175" s="428"/>
      <c r="K175" s="428"/>
      <c r="L175" s="428"/>
      <c r="M175" s="428"/>
      <c r="N175" s="428"/>
      <c r="O175" s="428"/>
      <c r="P175" s="428"/>
      <c r="Q175" s="489"/>
    </row>
    <row r="176" spans="1:17" s="3" customFormat="1" ht="25" customHeight="1" x14ac:dyDescent="0.25">
      <c r="A176" s="501" t="s">
        <v>284</v>
      </c>
      <c r="B176" s="510" t="s">
        <v>630</v>
      </c>
      <c r="C176" s="331">
        <v>3</v>
      </c>
      <c r="D176" s="331">
        <v>1</v>
      </c>
      <c r="E176" s="331">
        <v>10</v>
      </c>
      <c r="F176" s="254">
        <f t="shared" si="20"/>
        <v>643.5</v>
      </c>
      <c r="G176" s="331">
        <v>70</v>
      </c>
      <c r="H176" s="271">
        <f t="shared" si="22"/>
        <v>2100</v>
      </c>
      <c r="I176" s="269">
        <f t="shared" si="23"/>
        <v>643.5</v>
      </c>
      <c r="J176" s="428"/>
      <c r="K176" s="428"/>
      <c r="L176" s="270"/>
      <c r="M176" s="270"/>
      <c r="N176" s="270"/>
      <c r="O176" s="270"/>
      <c r="P176" s="270"/>
      <c r="Q176" s="254"/>
    </row>
    <row r="177" spans="1:17" s="3" customFormat="1" ht="25" customHeight="1" x14ac:dyDescent="0.25">
      <c r="A177" s="501"/>
      <c r="B177" s="589" t="s">
        <v>728</v>
      </c>
      <c r="C177" s="331"/>
      <c r="D177" s="331"/>
      <c r="E177" s="331"/>
      <c r="F177" s="489"/>
      <c r="G177" s="331"/>
      <c r="H177" s="331"/>
      <c r="I177" s="429"/>
      <c r="J177" s="428"/>
      <c r="K177" s="428"/>
      <c r="L177" s="428"/>
      <c r="M177" s="428"/>
      <c r="N177" s="428"/>
      <c r="O177" s="428"/>
      <c r="P177" s="428"/>
      <c r="Q177" s="489"/>
    </row>
    <row r="178" spans="1:17" s="3" customFormat="1" ht="25" customHeight="1" x14ac:dyDescent="0.25">
      <c r="A178" s="501" t="s">
        <v>286</v>
      </c>
      <c r="B178" s="486" t="s">
        <v>631</v>
      </c>
      <c r="C178" s="331">
        <v>3</v>
      </c>
      <c r="D178" s="331">
        <v>1</v>
      </c>
      <c r="E178" s="331">
        <v>10</v>
      </c>
      <c r="F178" s="254">
        <f t="shared" si="20"/>
        <v>643.5</v>
      </c>
      <c r="G178" s="331">
        <v>70</v>
      </c>
      <c r="H178" s="271">
        <f t="shared" si="22"/>
        <v>2100</v>
      </c>
      <c r="I178" s="269">
        <f t="shared" si="23"/>
        <v>643.5</v>
      </c>
      <c r="J178" s="428"/>
      <c r="K178" s="428"/>
      <c r="L178" s="270"/>
      <c r="M178" s="270"/>
      <c r="N178" s="270"/>
      <c r="O178" s="270"/>
      <c r="P178" s="270"/>
      <c r="Q178" s="254"/>
    </row>
    <row r="179" spans="1:17" s="3" customFormat="1" ht="25" customHeight="1" x14ac:dyDescent="0.25">
      <c r="A179" s="501" t="s">
        <v>289</v>
      </c>
      <c r="B179" s="486" t="s">
        <v>388</v>
      </c>
      <c r="C179" s="331">
        <v>3</v>
      </c>
      <c r="D179" s="331">
        <v>1</v>
      </c>
      <c r="E179" s="331">
        <v>16</v>
      </c>
      <c r="F179" s="254">
        <f t="shared" si="20"/>
        <v>1029.6000000000001</v>
      </c>
      <c r="G179" s="331">
        <v>70</v>
      </c>
      <c r="H179" s="271">
        <f t="shared" si="22"/>
        <v>3360</v>
      </c>
      <c r="I179" s="269">
        <f t="shared" si="23"/>
        <v>1029.6000000000001</v>
      </c>
      <c r="J179" s="428"/>
      <c r="K179" s="428"/>
      <c r="L179" s="270"/>
      <c r="M179" s="270"/>
      <c r="N179" s="270"/>
      <c r="O179" s="270"/>
      <c r="P179" s="270"/>
      <c r="Q179" s="254"/>
    </row>
    <row r="180" spans="1:17" s="3" customFormat="1" ht="25" customHeight="1" x14ac:dyDescent="0.25">
      <c r="A180" s="501"/>
      <c r="B180" s="500" t="s">
        <v>723</v>
      </c>
      <c r="C180" s="331"/>
      <c r="D180" s="331"/>
      <c r="E180" s="331"/>
      <c r="F180" s="489"/>
      <c r="G180" s="331"/>
      <c r="H180" s="331"/>
      <c r="I180" s="429"/>
      <c r="J180" s="428"/>
      <c r="K180" s="428"/>
      <c r="L180" s="428"/>
      <c r="M180" s="428"/>
      <c r="N180" s="428"/>
      <c r="O180" s="428"/>
      <c r="P180" s="428"/>
      <c r="Q180" s="489"/>
    </row>
    <row r="181" spans="1:17" s="3" customFormat="1" ht="25" customHeight="1" x14ac:dyDescent="0.25">
      <c r="A181" s="501" t="s">
        <v>290</v>
      </c>
      <c r="B181" s="486" t="s">
        <v>632</v>
      </c>
      <c r="C181" s="331">
        <v>4</v>
      </c>
      <c r="D181" s="331">
        <v>1</v>
      </c>
      <c r="E181" s="331">
        <v>10</v>
      </c>
      <c r="F181" s="254">
        <f t="shared" si="20"/>
        <v>858</v>
      </c>
      <c r="G181" s="331">
        <v>70</v>
      </c>
      <c r="H181" s="271">
        <f t="shared" si="22"/>
        <v>2800</v>
      </c>
      <c r="I181" s="269">
        <f t="shared" si="23"/>
        <v>858</v>
      </c>
      <c r="J181" s="428"/>
      <c r="K181" s="428"/>
      <c r="L181" s="270"/>
      <c r="M181" s="270"/>
      <c r="N181" s="270"/>
      <c r="O181" s="270"/>
      <c r="P181" s="270"/>
      <c r="Q181" s="254"/>
    </row>
    <row r="182" spans="1:17" s="3" customFormat="1" ht="25" customHeight="1" x14ac:dyDescent="0.25">
      <c r="A182" s="501" t="s">
        <v>291</v>
      </c>
      <c r="B182" s="486" t="s">
        <v>633</v>
      </c>
      <c r="C182" s="331">
        <v>4</v>
      </c>
      <c r="D182" s="331">
        <v>1</v>
      </c>
      <c r="E182" s="331">
        <v>8</v>
      </c>
      <c r="F182" s="254">
        <f t="shared" si="20"/>
        <v>686.4</v>
      </c>
      <c r="G182" s="331">
        <v>70</v>
      </c>
      <c r="H182" s="271">
        <f t="shared" si="22"/>
        <v>2240</v>
      </c>
      <c r="I182" s="269">
        <f t="shared" si="23"/>
        <v>686.4</v>
      </c>
      <c r="J182" s="428"/>
      <c r="K182" s="428"/>
      <c r="L182" s="270"/>
      <c r="M182" s="270"/>
      <c r="N182" s="270"/>
      <c r="O182" s="270"/>
      <c r="P182" s="270"/>
      <c r="Q182" s="254"/>
    </row>
    <row r="183" spans="1:17" s="3" customFormat="1" ht="25" customHeight="1" x14ac:dyDescent="0.25">
      <c r="A183" s="501" t="s">
        <v>292</v>
      </c>
      <c r="B183" s="486" t="s">
        <v>634</v>
      </c>
      <c r="C183" s="331">
        <v>4</v>
      </c>
      <c r="D183" s="331">
        <v>1</v>
      </c>
      <c r="E183" s="331">
        <v>8</v>
      </c>
      <c r="F183" s="254">
        <f t="shared" si="20"/>
        <v>686.4</v>
      </c>
      <c r="G183" s="331">
        <v>70</v>
      </c>
      <c r="H183" s="271">
        <f t="shared" si="22"/>
        <v>2240</v>
      </c>
      <c r="I183" s="269">
        <f t="shared" si="23"/>
        <v>686.4</v>
      </c>
      <c r="J183" s="428"/>
      <c r="K183" s="428"/>
      <c r="L183" s="270"/>
      <c r="M183" s="270"/>
      <c r="N183" s="270"/>
      <c r="O183" s="270"/>
      <c r="P183" s="270"/>
      <c r="Q183" s="254"/>
    </row>
    <row r="184" spans="1:17" s="3" customFormat="1" ht="25" customHeight="1" x14ac:dyDescent="0.25">
      <c r="A184" s="459"/>
      <c r="B184" s="460" t="s">
        <v>392</v>
      </c>
      <c r="C184" s="461">
        <f>SUM(C166:C183)</f>
        <v>34</v>
      </c>
      <c r="D184" s="461">
        <f t="shared" ref="D184:K184" si="24">SUM(D166:D183)</f>
        <v>11</v>
      </c>
      <c r="E184" s="461">
        <f t="shared" si="24"/>
        <v>112</v>
      </c>
      <c r="F184" s="461">
        <f t="shared" si="24"/>
        <v>7335.9</v>
      </c>
      <c r="G184" s="461">
        <f t="shared" si="24"/>
        <v>780</v>
      </c>
      <c r="H184" s="461">
        <f t="shared" si="24"/>
        <v>24140</v>
      </c>
      <c r="I184" s="461">
        <f t="shared" si="24"/>
        <v>7335.9</v>
      </c>
      <c r="J184" s="461">
        <f t="shared" si="24"/>
        <v>0</v>
      </c>
      <c r="K184" s="461">
        <f t="shared" si="24"/>
        <v>0</v>
      </c>
      <c r="L184" s="270"/>
      <c r="M184" s="270"/>
      <c r="N184" s="270"/>
      <c r="O184" s="270"/>
      <c r="P184" s="270"/>
      <c r="Q184" s="254"/>
    </row>
    <row r="185" spans="1:17" s="3" customFormat="1" ht="25" customHeight="1" x14ac:dyDescent="0.25">
      <c r="A185" s="274"/>
      <c r="B185" s="281" t="s">
        <v>393</v>
      </c>
      <c r="C185" s="282">
        <f>C150+C162+C184</f>
        <v>144</v>
      </c>
      <c r="D185" s="282">
        <f t="shared" ref="D185:K185" si="25">D150+D162+D184</f>
        <v>47.22</v>
      </c>
      <c r="E185" s="282">
        <f t="shared" si="25"/>
        <v>206</v>
      </c>
      <c r="F185" s="282">
        <f t="shared" si="25"/>
        <v>13339.5</v>
      </c>
      <c r="G185" s="282">
        <f t="shared" si="25"/>
        <v>2272</v>
      </c>
      <c r="H185" s="282">
        <f t="shared" si="25"/>
        <v>37263</v>
      </c>
      <c r="I185" s="282">
        <f t="shared" si="25"/>
        <v>13092</v>
      </c>
      <c r="J185" s="282">
        <f t="shared" si="25"/>
        <v>99</v>
      </c>
      <c r="K185" s="282">
        <f t="shared" si="25"/>
        <v>148.5</v>
      </c>
      <c r="L185" s="526">
        <f>'Bieu3 GDMN'!F25</f>
        <v>2700</v>
      </c>
      <c r="M185" s="526">
        <f>'Bieu3 GDMN'!N25</f>
        <v>2376</v>
      </c>
      <c r="N185" s="526">
        <f>I185-M185</f>
        <v>10716</v>
      </c>
      <c r="O185" s="526">
        <f>'Bieu3 GDMN'!O25</f>
        <v>1709.75</v>
      </c>
      <c r="P185" s="526">
        <f>'Bieu3 GDMN'!P25</f>
        <v>960</v>
      </c>
      <c r="Q185" s="441" t="s">
        <v>703</v>
      </c>
    </row>
    <row r="186" spans="1:17" s="3" customFormat="1" ht="25" customHeight="1" x14ac:dyDescent="0.25">
      <c r="A186" s="532" t="s">
        <v>422</v>
      </c>
      <c r="B186" s="532" t="s">
        <v>423</v>
      </c>
      <c r="C186" s="533"/>
      <c r="D186" s="533"/>
      <c r="E186" s="533"/>
      <c r="F186" s="534"/>
      <c r="G186" s="533"/>
      <c r="H186" s="271"/>
      <c r="I186" s="270"/>
      <c r="J186" s="270"/>
      <c r="K186" s="270"/>
      <c r="L186" s="270"/>
      <c r="M186" s="270"/>
      <c r="N186" s="270"/>
      <c r="O186" s="270"/>
      <c r="P186" s="270"/>
      <c r="Q186" s="254"/>
    </row>
    <row r="187" spans="1:17" s="3" customFormat="1" ht="25" customHeight="1" x14ac:dyDescent="0.25">
      <c r="A187" s="532" t="s">
        <v>7</v>
      </c>
      <c r="B187" s="532" t="s">
        <v>223</v>
      </c>
      <c r="C187" s="533"/>
      <c r="D187" s="533"/>
      <c r="E187" s="533"/>
      <c r="F187" s="534"/>
      <c r="G187" s="533"/>
      <c r="H187" s="271"/>
      <c r="I187" s="270"/>
      <c r="J187" s="270"/>
      <c r="K187" s="270"/>
      <c r="L187" s="270"/>
      <c r="M187" s="270"/>
      <c r="N187" s="270"/>
      <c r="O187" s="270"/>
      <c r="P187" s="270"/>
      <c r="Q187" s="254"/>
    </row>
    <row r="188" spans="1:17" s="3" customFormat="1" ht="25" customHeight="1" x14ac:dyDescent="0.25">
      <c r="A188" s="532">
        <v>1</v>
      </c>
      <c r="B188" s="532" t="s">
        <v>4</v>
      </c>
      <c r="C188" s="533"/>
      <c r="D188" s="533"/>
      <c r="E188" s="533"/>
      <c r="F188" s="534"/>
      <c r="G188" s="533"/>
      <c r="H188" s="271"/>
      <c r="I188" s="270"/>
      <c r="J188" s="270"/>
      <c r="K188" s="270"/>
      <c r="L188" s="270"/>
      <c r="M188" s="270"/>
      <c r="N188" s="270"/>
      <c r="O188" s="270"/>
      <c r="P188" s="270"/>
      <c r="Q188" s="254"/>
    </row>
    <row r="189" spans="1:17" s="3" customFormat="1" ht="25" customHeight="1" x14ac:dyDescent="0.25">
      <c r="A189" s="482" t="s">
        <v>147</v>
      </c>
      <c r="B189" s="483" t="s">
        <v>161</v>
      </c>
      <c r="C189" s="279"/>
      <c r="D189" s="279"/>
      <c r="E189" s="279"/>
      <c r="F189" s="271"/>
      <c r="G189" s="279"/>
      <c r="H189" s="271"/>
      <c r="I189" s="270"/>
      <c r="J189" s="270"/>
      <c r="K189" s="270"/>
      <c r="L189" s="270"/>
      <c r="M189" s="270"/>
      <c r="N189" s="270"/>
      <c r="O189" s="270"/>
      <c r="P189" s="270"/>
      <c r="Q189" s="254"/>
    </row>
    <row r="190" spans="1:17" s="3" customFormat="1" ht="25" customHeight="1" x14ac:dyDescent="0.25">
      <c r="A190" s="444"/>
      <c r="B190" s="508" t="s">
        <v>733</v>
      </c>
      <c r="C190" s="427"/>
      <c r="D190" s="427"/>
      <c r="E190" s="427"/>
      <c r="F190" s="331"/>
      <c r="G190" s="427"/>
      <c r="H190" s="331"/>
      <c r="I190" s="428"/>
      <c r="J190" s="428"/>
      <c r="K190" s="428"/>
      <c r="L190" s="428"/>
      <c r="M190" s="428"/>
      <c r="N190" s="428"/>
      <c r="O190" s="428"/>
      <c r="P190" s="428"/>
      <c r="Q190" s="489"/>
    </row>
    <row r="191" spans="1:17" s="3" customFormat="1" ht="25" customHeight="1" x14ac:dyDescent="0.25">
      <c r="A191" s="486" t="s">
        <v>226</v>
      </c>
      <c r="B191" s="509" t="s">
        <v>680</v>
      </c>
      <c r="C191" s="535">
        <v>4</v>
      </c>
      <c r="D191" s="429">
        <v>1</v>
      </c>
      <c r="E191" s="535">
        <v>13</v>
      </c>
      <c r="F191" s="254">
        <f t="shared" ref="F191:F206" si="26">I191+J191+K191</f>
        <v>1115.4000000000001</v>
      </c>
      <c r="G191" s="535">
        <v>70</v>
      </c>
      <c r="H191" s="271">
        <f>C191*E191*G191</f>
        <v>3640</v>
      </c>
      <c r="I191" s="269">
        <f>IF(G191&lt;70, C191*E191*16.5*1, C191*E191*16.5*1.3)</f>
        <v>1115.4000000000001</v>
      </c>
      <c r="J191" s="270"/>
      <c r="K191" s="270"/>
      <c r="L191" s="270"/>
      <c r="M191" s="270"/>
      <c r="N191" s="270"/>
      <c r="O191" s="270"/>
      <c r="P191" s="270"/>
      <c r="Q191" s="254"/>
    </row>
    <row r="192" spans="1:17" s="3" customFormat="1" ht="25" customHeight="1" x14ac:dyDescent="0.25">
      <c r="A192" s="486"/>
      <c r="B192" s="508" t="s">
        <v>734</v>
      </c>
      <c r="C192" s="535"/>
      <c r="D192" s="429"/>
      <c r="E192" s="535"/>
      <c r="F192" s="489"/>
      <c r="G192" s="535"/>
      <c r="H192" s="331"/>
      <c r="I192" s="429"/>
      <c r="J192" s="428"/>
      <c r="K192" s="428"/>
      <c r="L192" s="428"/>
      <c r="M192" s="428"/>
      <c r="N192" s="428"/>
      <c r="O192" s="428"/>
      <c r="P192" s="428"/>
      <c r="Q192" s="489"/>
    </row>
    <row r="193" spans="1:17" s="3" customFormat="1" ht="25" customHeight="1" x14ac:dyDescent="0.25">
      <c r="A193" s="486" t="s">
        <v>227</v>
      </c>
      <c r="B193" s="509" t="s">
        <v>681</v>
      </c>
      <c r="C193" s="437">
        <v>3</v>
      </c>
      <c r="D193" s="331">
        <v>1</v>
      </c>
      <c r="E193" s="437">
        <v>7</v>
      </c>
      <c r="F193" s="254">
        <f t="shared" si="26"/>
        <v>450.45</v>
      </c>
      <c r="G193" s="437">
        <v>70</v>
      </c>
      <c r="H193" s="271">
        <f t="shared" ref="H193:H206" si="27">C193*E193*G193</f>
        <v>1470</v>
      </c>
      <c r="I193" s="269">
        <f t="shared" ref="I193:I206" si="28">IF(G193&lt;70, C193*E193*16.5*1, C193*E193*16.5*1.3)</f>
        <v>450.45</v>
      </c>
      <c r="J193" s="270"/>
      <c r="K193" s="270"/>
      <c r="L193" s="270"/>
      <c r="M193" s="270"/>
      <c r="N193" s="270"/>
      <c r="O193" s="270"/>
      <c r="P193" s="270"/>
      <c r="Q193" s="254"/>
    </row>
    <row r="194" spans="1:17" s="3" customFormat="1" ht="25" customHeight="1" x14ac:dyDescent="0.25">
      <c r="A194" s="486"/>
      <c r="B194" s="508" t="s">
        <v>735</v>
      </c>
      <c r="C194" s="437"/>
      <c r="D194" s="331"/>
      <c r="E194" s="437"/>
      <c r="F194" s="489"/>
      <c r="G194" s="437"/>
      <c r="H194" s="331"/>
      <c r="I194" s="429"/>
      <c r="J194" s="428"/>
      <c r="K194" s="428"/>
      <c r="L194" s="428"/>
      <c r="M194" s="428"/>
      <c r="N194" s="428"/>
      <c r="O194" s="428"/>
      <c r="P194" s="428"/>
      <c r="Q194" s="489"/>
    </row>
    <row r="195" spans="1:17" s="3" customFormat="1" ht="25" customHeight="1" x14ac:dyDescent="0.25">
      <c r="A195" s="486" t="s">
        <v>229</v>
      </c>
      <c r="B195" s="509" t="s">
        <v>682</v>
      </c>
      <c r="C195" s="437">
        <v>5</v>
      </c>
      <c r="D195" s="331">
        <v>1</v>
      </c>
      <c r="E195" s="437">
        <v>6</v>
      </c>
      <c r="F195" s="254">
        <f t="shared" si="26"/>
        <v>643.5</v>
      </c>
      <c r="G195" s="437">
        <v>70</v>
      </c>
      <c r="H195" s="271">
        <f t="shared" si="27"/>
        <v>2100</v>
      </c>
      <c r="I195" s="269">
        <f t="shared" si="28"/>
        <v>643.5</v>
      </c>
      <c r="J195" s="270"/>
      <c r="K195" s="270"/>
      <c r="L195" s="270"/>
      <c r="M195" s="270"/>
      <c r="N195" s="270"/>
      <c r="O195" s="270"/>
      <c r="P195" s="270"/>
      <c r="Q195" s="254"/>
    </row>
    <row r="196" spans="1:17" s="3" customFormat="1" ht="25" customHeight="1" x14ac:dyDescent="0.25">
      <c r="A196" s="486"/>
      <c r="B196" s="508" t="s">
        <v>738</v>
      </c>
      <c r="C196" s="437"/>
      <c r="D196" s="331"/>
      <c r="E196" s="437"/>
      <c r="F196" s="489"/>
      <c r="G196" s="437"/>
      <c r="H196" s="331"/>
      <c r="I196" s="429"/>
      <c r="J196" s="428"/>
      <c r="K196" s="428"/>
      <c r="L196" s="428"/>
      <c r="M196" s="428"/>
      <c r="N196" s="428"/>
      <c r="O196" s="428"/>
      <c r="P196" s="428"/>
      <c r="Q196" s="489"/>
    </row>
    <row r="197" spans="1:17" s="3" customFormat="1" ht="25" customHeight="1" x14ac:dyDescent="0.25">
      <c r="A197" s="486" t="s">
        <v>230</v>
      </c>
      <c r="B197" s="509" t="s">
        <v>683</v>
      </c>
      <c r="C197" s="437">
        <v>2</v>
      </c>
      <c r="D197" s="331">
        <v>1</v>
      </c>
      <c r="E197" s="437">
        <v>1</v>
      </c>
      <c r="F197" s="254">
        <f t="shared" si="26"/>
        <v>33</v>
      </c>
      <c r="G197" s="437">
        <v>50</v>
      </c>
      <c r="H197" s="271">
        <f t="shared" si="27"/>
        <v>100</v>
      </c>
      <c r="I197" s="269">
        <f t="shared" si="28"/>
        <v>33</v>
      </c>
      <c r="J197" s="270"/>
      <c r="K197" s="270"/>
      <c r="L197" s="270"/>
      <c r="M197" s="270"/>
      <c r="N197" s="270"/>
      <c r="O197" s="270"/>
      <c r="P197" s="270"/>
      <c r="Q197" s="254"/>
    </row>
    <row r="198" spans="1:17" s="3" customFormat="1" ht="25" customHeight="1" x14ac:dyDescent="0.25">
      <c r="A198" s="486" t="s">
        <v>231</v>
      </c>
      <c r="B198" s="509" t="s">
        <v>411</v>
      </c>
      <c r="C198" s="437">
        <v>2</v>
      </c>
      <c r="D198" s="331">
        <v>1</v>
      </c>
      <c r="E198" s="437">
        <v>1</v>
      </c>
      <c r="F198" s="254">
        <f t="shared" si="26"/>
        <v>33</v>
      </c>
      <c r="G198" s="437">
        <v>55</v>
      </c>
      <c r="H198" s="271">
        <f t="shared" si="27"/>
        <v>110</v>
      </c>
      <c r="I198" s="269">
        <f t="shared" si="28"/>
        <v>33</v>
      </c>
      <c r="J198" s="270"/>
      <c r="K198" s="270"/>
      <c r="L198" s="270"/>
      <c r="M198" s="270"/>
      <c r="N198" s="270"/>
      <c r="O198" s="270"/>
      <c r="P198" s="270"/>
      <c r="Q198" s="254"/>
    </row>
    <row r="199" spans="1:17" s="3" customFormat="1" ht="25" customHeight="1" x14ac:dyDescent="0.25">
      <c r="A199" s="486"/>
      <c r="B199" s="508" t="s">
        <v>736</v>
      </c>
      <c r="C199" s="437"/>
      <c r="D199" s="331"/>
      <c r="E199" s="437"/>
      <c r="F199" s="489"/>
      <c r="G199" s="437"/>
      <c r="H199" s="331"/>
      <c r="I199" s="429"/>
      <c r="J199" s="428"/>
      <c r="K199" s="428"/>
      <c r="L199" s="428"/>
      <c r="M199" s="428"/>
      <c r="N199" s="428"/>
      <c r="O199" s="428"/>
      <c r="P199" s="428"/>
      <c r="Q199" s="489"/>
    </row>
    <row r="200" spans="1:17" s="3" customFormat="1" ht="25" customHeight="1" x14ac:dyDescent="0.25">
      <c r="A200" s="486" t="s">
        <v>285</v>
      </c>
      <c r="B200" s="509" t="s">
        <v>684</v>
      </c>
      <c r="C200" s="536">
        <v>3</v>
      </c>
      <c r="D200" s="331">
        <v>1</v>
      </c>
      <c r="E200" s="536">
        <v>1</v>
      </c>
      <c r="F200" s="254">
        <f t="shared" si="26"/>
        <v>49.5</v>
      </c>
      <c r="G200" s="536">
        <v>40</v>
      </c>
      <c r="H200" s="271">
        <f t="shared" si="27"/>
        <v>120</v>
      </c>
      <c r="I200" s="269">
        <f t="shared" si="28"/>
        <v>49.5</v>
      </c>
      <c r="J200" s="270"/>
      <c r="K200" s="270"/>
      <c r="L200" s="270"/>
      <c r="M200" s="270"/>
      <c r="N200" s="270"/>
      <c r="O200" s="270"/>
      <c r="P200" s="270"/>
      <c r="Q200" s="254"/>
    </row>
    <row r="201" spans="1:17" s="3" customFormat="1" ht="25" customHeight="1" x14ac:dyDescent="0.25">
      <c r="A201" s="486" t="s">
        <v>286</v>
      </c>
      <c r="B201" s="509" t="s">
        <v>412</v>
      </c>
      <c r="C201" s="536">
        <v>2</v>
      </c>
      <c r="D201" s="331">
        <v>1</v>
      </c>
      <c r="E201" s="536">
        <v>1</v>
      </c>
      <c r="F201" s="254">
        <f t="shared" si="26"/>
        <v>33</v>
      </c>
      <c r="G201" s="536">
        <v>40</v>
      </c>
      <c r="H201" s="271">
        <f t="shared" si="27"/>
        <v>80</v>
      </c>
      <c r="I201" s="269">
        <f t="shared" si="28"/>
        <v>33</v>
      </c>
      <c r="J201" s="270"/>
      <c r="K201" s="270"/>
      <c r="L201" s="270"/>
      <c r="M201" s="270"/>
      <c r="N201" s="270"/>
      <c r="O201" s="270"/>
      <c r="P201" s="270"/>
      <c r="Q201" s="254"/>
    </row>
    <row r="202" spans="1:17" s="3" customFormat="1" ht="25" customHeight="1" x14ac:dyDescent="0.25">
      <c r="A202" s="486" t="s">
        <v>289</v>
      </c>
      <c r="B202" s="509" t="s">
        <v>685</v>
      </c>
      <c r="C202" s="536">
        <v>2</v>
      </c>
      <c r="D202" s="331">
        <v>1</v>
      </c>
      <c r="E202" s="536">
        <v>1</v>
      </c>
      <c r="F202" s="254">
        <f t="shared" si="26"/>
        <v>42.9</v>
      </c>
      <c r="G202" s="536">
        <v>80</v>
      </c>
      <c r="H202" s="271">
        <f t="shared" si="27"/>
        <v>160</v>
      </c>
      <c r="I202" s="269">
        <f t="shared" si="28"/>
        <v>42.9</v>
      </c>
      <c r="J202" s="270"/>
      <c r="K202" s="270"/>
      <c r="L202" s="270"/>
      <c r="M202" s="270"/>
      <c r="N202" s="270"/>
      <c r="O202" s="270"/>
      <c r="P202" s="270"/>
      <c r="Q202" s="254"/>
    </row>
    <row r="203" spans="1:17" s="3" customFormat="1" ht="25" customHeight="1" x14ac:dyDescent="0.25">
      <c r="A203" s="486"/>
      <c r="B203" s="508" t="s">
        <v>737</v>
      </c>
      <c r="C203" s="536"/>
      <c r="D203" s="331"/>
      <c r="E203" s="536"/>
      <c r="F203" s="489"/>
      <c r="G203" s="536"/>
      <c r="H203" s="331"/>
      <c r="I203" s="429"/>
      <c r="J203" s="428"/>
      <c r="K203" s="428"/>
      <c r="L203" s="428"/>
      <c r="M203" s="428"/>
      <c r="N203" s="428"/>
      <c r="O203" s="428"/>
      <c r="P203" s="428"/>
      <c r="Q203" s="489"/>
    </row>
    <row r="204" spans="1:17" s="3" customFormat="1" ht="25" customHeight="1" x14ac:dyDescent="0.25">
      <c r="A204" s="486" t="s">
        <v>290</v>
      </c>
      <c r="B204" s="509" t="s">
        <v>686</v>
      </c>
      <c r="C204" s="536">
        <v>2</v>
      </c>
      <c r="D204" s="331">
        <v>1</v>
      </c>
      <c r="E204" s="536">
        <v>1</v>
      </c>
      <c r="F204" s="254">
        <f t="shared" si="26"/>
        <v>42.9</v>
      </c>
      <c r="G204" s="536">
        <v>80</v>
      </c>
      <c r="H204" s="271">
        <f t="shared" si="27"/>
        <v>160</v>
      </c>
      <c r="I204" s="269">
        <f t="shared" si="28"/>
        <v>42.9</v>
      </c>
      <c r="J204" s="270"/>
      <c r="K204" s="270"/>
      <c r="L204" s="270"/>
      <c r="M204" s="270"/>
      <c r="N204" s="270"/>
      <c r="O204" s="270"/>
      <c r="P204" s="270"/>
      <c r="Q204" s="254"/>
    </row>
    <row r="205" spans="1:17" s="3" customFormat="1" ht="25" customHeight="1" x14ac:dyDescent="0.25">
      <c r="A205" s="486" t="s">
        <v>291</v>
      </c>
      <c r="B205" s="509" t="s">
        <v>413</v>
      </c>
      <c r="C205" s="536">
        <v>1</v>
      </c>
      <c r="D205" s="331">
        <v>1.4</v>
      </c>
      <c r="E205" s="536">
        <v>6</v>
      </c>
      <c r="F205" s="254">
        <f t="shared" si="26"/>
        <v>99</v>
      </c>
      <c r="G205" s="536">
        <v>36</v>
      </c>
      <c r="H205" s="271">
        <f t="shared" si="27"/>
        <v>216</v>
      </c>
      <c r="I205" s="269">
        <f t="shared" si="28"/>
        <v>99</v>
      </c>
      <c r="J205" s="270"/>
      <c r="K205" s="270"/>
      <c r="L205" s="270"/>
      <c r="M205" s="270"/>
      <c r="N205" s="270"/>
      <c r="O205" s="270"/>
      <c r="P205" s="270"/>
      <c r="Q205" s="254"/>
    </row>
    <row r="206" spans="1:17" s="3" customFormat="1" ht="25" customHeight="1" x14ac:dyDescent="0.25">
      <c r="A206" s="486" t="s">
        <v>292</v>
      </c>
      <c r="B206" s="437" t="s">
        <v>414</v>
      </c>
      <c r="C206" s="536">
        <v>1</v>
      </c>
      <c r="D206" s="331">
        <v>1.4</v>
      </c>
      <c r="E206" s="536">
        <v>14</v>
      </c>
      <c r="F206" s="254">
        <f t="shared" si="26"/>
        <v>231</v>
      </c>
      <c r="G206" s="536">
        <v>20</v>
      </c>
      <c r="H206" s="271">
        <f t="shared" si="27"/>
        <v>280</v>
      </c>
      <c r="I206" s="269">
        <f t="shared" si="28"/>
        <v>231</v>
      </c>
      <c r="J206" s="270"/>
      <c r="K206" s="270"/>
      <c r="L206" s="270"/>
      <c r="M206" s="270"/>
      <c r="N206" s="270"/>
      <c r="O206" s="270"/>
      <c r="P206" s="270"/>
      <c r="Q206" s="254"/>
    </row>
    <row r="207" spans="1:17" s="3" customFormat="1" ht="25" customHeight="1" x14ac:dyDescent="0.25">
      <c r="A207" s="502"/>
      <c r="B207" s="503" t="s">
        <v>380</v>
      </c>
      <c r="C207" s="504">
        <f>SUM(C191:C206)</f>
        <v>27</v>
      </c>
      <c r="D207" s="504">
        <f t="shared" ref="D207:K207" si="29">SUM(D191:D206)</f>
        <v>11.8</v>
      </c>
      <c r="E207" s="504">
        <f t="shared" si="29"/>
        <v>52</v>
      </c>
      <c r="F207" s="504">
        <f t="shared" si="29"/>
        <v>2773.6500000000005</v>
      </c>
      <c r="G207" s="504">
        <f t="shared" si="29"/>
        <v>611</v>
      </c>
      <c r="H207" s="504">
        <f t="shared" si="29"/>
        <v>8436</v>
      </c>
      <c r="I207" s="504">
        <f t="shared" si="29"/>
        <v>2773.6500000000005</v>
      </c>
      <c r="J207" s="504">
        <f t="shared" si="29"/>
        <v>0</v>
      </c>
      <c r="K207" s="504">
        <f t="shared" si="29"/>
        <v>0</v>
      </c>
      <c r="L207" s="270"/>
      <c r="M207" s="270"/>
      <c r="N207" s="270"/>
      <c r="O207" s="270"/>
      <c r="P207" s="270"/>
      <c r="Q207" s="254"/>
    </row>
    <row r="208" spans="1:17" s="3" customFormat="1" ht="25" customHeight="1" x14ac:dyDescent="0.25">
      <c r="A208" s="537">
        <v>2</v>
      </c>
      <c r="B208" s="537" t="s">
        <v>164</v>
      </c>
      <c r="C208" s="331"/>
      <c r="D208" s="331"/>
      <c r="E208" s="331"/>
      <c r="F208" s="254"/>
      <c r="G208" s="331"/>
      <c r="H208" s="271"/>
      <c r="I208" s="269"/>
      <c r="J208" s="270"/>
      <c r="K208" s="270"/>
      <c r="L208" s="270"/>
      <c r="M208" s="270"/>
      <c r="N208" s="270"/>
      <c r="O208" s="270"/>
      <c r="P208" s="270"/>
      <c r="Q208" s="254"/>
    </row>
    <row r="209" spans="1:17" s="3" customFormat="1" ht="25" customHeight="1" x14ac:dyDescent="0.25">
      <c r="A209" s="444" t="s">
        <v>147</v>
      </c>
      <c r="B209" s="508" t="s">
        <v>165</v>
      </c>
      <c r="C209" s="331"/>
      <c r="D209" s="331"/>
      <c r="E209" s="331"/>
      <c r="F209" s="254"/>
      <c r="G209" s="331"/>
      <c r="H209" s="271"/>
      <c r="I209" s="269"/>
      <c r="J209" s="270"/>
      <c r="K209" s="270"/>
      <c r="L209" s="270"/>
      <c r="M209" s="270"/>
      <c r="N209" s="270"/>
      <c r="O209" s="270"/>
      <c r="P209" s="270"/>
      <c r="Q209" s="254"/>
    </row>
    <row r="210" spans="1:17" s="3" customFormat="1" ht="25" customHeight="1" x14ac:dyDescent="0.25">
      <c r="A210" s="486" t="s">
        <v>226</v>
      </c>
      <c r="B210" s="509" t="s">
        <v>415</v>
      </c>
      <c r="C210" s="437">
        <v>3</v>
      </c>
      <c r="D210" s="331">
        <v>1</v>
      </c>
      <c r="E210" s="536">
        <v>3</v>
      </c>
      <c r="F210" s="271">
        <f>I210+J210+K210</f>
        <v>222.75</v>
      </c>
      <c r="G210" s="437">
        <v>15</v>
      </c>
      <c r="H210" s="271">
        <f t="shared" ref="H210:H216" si="30">C210*E210*G210</f>
        <v>135</v>
      </c>
      <c r="I210" s="269">
        <f t="shared" ref="I210:I216" si="31">IF(G210&lt;70, C210*E210*16.5*1*1.5, C210*E210*16.5*1.3*1.5)</f>
        <v>222.75</v>
      </c>
      <c r="J210" s="270"/>
      <c r="K210" s="270"/>
      <c r="L210" s="270"/>
      <c r="M210" s="270"/>
      <c r="N210" s="270"/>
      <c r="O210" s="270"/>
      <c r="P210" s="270"/>
      <c r="Q210" s="254"/>
    </row>
    <row r="211" spans="1:17" s="3" customFormat="1" ht="25" customHeight="1" x14ac:dyDescent="0.25">
      <c r="A211" s="486" t="s">
        <v>227</v>
      </c>
      <c r="B211" s="509" t="s">
        <v>416</v>
      </c>
      <c r="C211" s="437">
        <v>3</v>
      </c>
      <c r="D211" s="331">
        <v>1</v>
      </c>
      <c r="E211" s="536">
        <v>1</v>
      </c>
      <c r="F211" s="271">
        <f t="shared" ref="F211:F216" si="32">I211+J211+K211</f>
        <v>74.25</v>
      </c>
      <c r="G211" s="437">
        <v>10</v>
      </c>
      <c r="H211" s="271">
        <f t="shared" si="30"/>
        <v>30</v>
      </c>
      <c r="I211" s="269">
        <f t="shared" si="31"/>
        <v>74.25</v>
      </c>
      <c r="J211" s="270"/>
      <c r="K211" s="270"/>
      <c r="L211" s="270"/>
      <c r="M211" s="270"/>
      <c r="N211" s="270"/>
      <c r="O211" s="270"/>
      <c r="P211" s="270"/>
      <c r="Q211" s="254"/>
    </row>
    <row r="212" spans="1:17" s="3" customFormat="1" ht="25" customHeight="1" x14ac:dyDescent="0.25">
      <c r="A212" s="486" t="s">
        <v>228</v>
      </c>
      <c r="B212" s="509" t="s">
        <v>417</v>
      </c>
      <c r="C212" s="437">
        <v>3</v>
      </c>
      <c r="D212" s="331">
        <v>1</v>
      </c>
      <c r="E212" s="536">
        <v>1</v>
      </c>
      <c r="F212" s="271">
        <f t="shared" si="32"/>
        <v>74.25</v>
      </c>
      <c r="G212" s="437">
        <v>10</v>
      </c>
      <c r="H212" s="271">
        <f t="shared" si="30"/>
        <v>30</v>
      </c>
      <c r="I212" s="269">
        <f t="shared" si="31"/>
        <v>74.25</v>
      </c>
      <c r="J212" s="270"/>
      <c r="K212" s="270"/>
      <c r="L212" s="270"/>
      <c r="M212" s="270"/>
      <c r="N212" s="270"/>
      <c r="O212" s="270"/>
      <c r="P212" s="270"/>
      <c r="Q212" s="254"/>
    </row>
    <row r="213" spans="1:17" s="3" customFormat="1" ht="25" customHeight="1" x14ac:dyDescent="0.25">
      <c r="A213" s="486" t="s">
        <v>229</v>
      </c>
      <c r="B213" s="509" t="s">
        <v>418</v>
      </c>
      <c r="C213" s="437">
        <v>3</v>
      </c>
      <c r="D213" s="331">
        <v>1</v>
      </c>
      <c r="E213" s="536">
        <v>1</v>
      </c>
      <c r="F213" s="271">
        <f t="shared" si="32"/>
        <v>74.25</v>
      </c>
      <c r="G213" s="437">
        <v>10</v>
      </c>
      <c r="H213" s="271">
        <f t="shared" si="30"/>
        <v>30</v>
      </c>
      <c r="I213" s="269">
        <f t="shared" si="31"/>
        <v>74.25</v>
      </c>
      <c r="J213" s="270"/>
      <c r="K213" s="270"/>
      <c r="L213" s="270"/>
      <c r="M213" s="270"/>
      <c r="N213" s="270"/>
      <c r="O213" s="270"/>
      <c r="P213" s="270"/>
      <c r="Q213" s="254"/>
    </row>
    <row r="214" spans="1:17" s="3" customFormat="1" ht="25" customHeight="1" x14ac:dyDescent="0.25">
      <c r="A214" s="486" t="s">
        <v>230</v>
      </c>
      <c r="B214" s="510" t="s">
        <v>419</v>
      </c>
      <c r="C214" s="437">
        <v>3</v>
      </c>
      <c r="D214" s="331">
        <v>1</v>
      </c>
      <c r="E214" s="536">
        <v>3</v>
      </c>
      <c r="F214" s="271">
        <f t="shared" si="32"/>
        <v>222.75</v>
      </c>
      <c r="G214" s="437">
        <v>15</v>
      </c>
      <c r="H214" s="271">
        <f t="shared" si="30"/>
        <v>135</v>
      </c>
      <c r="I214" s="269">
        <f t="shared" si="31"/>
        <v>222.75</v>
      </c>
      <c r="J214" s="270"/>
      <c r="K214" s="270"/>
      <c r="L214" s="270"/>
      <c r="M214" s="270"/>
      <c r="N214" s="270"/>
      <c r="O214" s="270"/>
      <c r="P214" s="270"/>
      <c r="Q214" s="254"/>
    </row>
    <row r="215" spans="1:17" s="3" customFormat="1" ht="25" customHeight="1" x14ac:dyDescent="0.25">
      <c r="A215" s="486" t="s">
        <v>231</v>
      </c>
      <c r="B215" s="510" t="s">
        <v>420</v>
      </c>
      <c r="C215" s="437">
        <v>3</v>
      </c>
      <c r="D215" s="331">
        <v>1</v>
      </c>
      <c r="E215" s="536">
        <v>1</v>
      </c>
      <c r="F215" s="271">
        <f t="shared" si="32"/>
        <v>74.25</v>
      </c>
      <c r="G215" s="437">
        <v>10</v>
      </c>
      <c r="H215" s="271">
        <f t="shared" si="30"/>
        <v>30</v>
      </c>
      <c r="I215" s="269">
        <f t="shared" si="31"/>
        <v>74.25</v>
      </c>
      <c r="J215" s="270"/>
      <c r="K215" s="270"/>
      <c r="L215" s="270"/>
      <c r="M215" s="270"/>
      <c r="N215" s="270"/>
      <c r="O215" s="270"/>
      <c r="P215" s="270"/>
      <c r="Q215" s="254"/>
    </row>
    <row r="216" spans="1:17" s="3" customFormat="1" ht="25" customHeight="1" x14ac:dyDescent="0.25">
      <c r="A216" s="486" t="s">
        <v>282</v>
      </c>
      <c r="B216" s="510" t="s">
        <v>421</v>
      </c>
      <c r="C216" s="437">
        <v>3</v>
      </c>
      <c r="D216" s="331">
        <v>1</v>
      </c>
      <c r="E216" s="536">
        <v>3</v>
      </c>
      <c r="F216" s="271">
        <f t="shared" si="32"/>
        <v>222.75</v>
      </c>
      <c r="G216" s="437">
        <v>15</v>
      </c>
      <c r="H216" s="271">
        <f t="shared" si="30"/>
        <v>135</v>
      </c>
      <c r="I216" s="269">
        <f t="shared" si="31"/>
        <v>222.75</v>
      </c>
      <c r="J216" s="270"/>
      <c r="K216" s="270"/>
      <c r="L216" s="270"/>
      <c r="M216" s="270"/>
      <c r="N216" s="270"/>
      <c r="O216" s="270"/>
      <c r="P216" s="270"/>
      <c r="Q216" s="254"/>
    </row>
    <row r="217" spans="1:17" s="3" customFormat="1" ht="25" customHeight="1" x14ac:dyDescent="0.25">
      <c r="A217" s="502"/>
      <c r="B217" s="538" t="s">
        <v>380</v>
      </c>
      <c r="C217" s="504">
        <f>SUM(C210:C216)</f>
        <v>21</v>
      </c>
      <c r="D217" s="504">
        <f t="shared" ref="D217:K217" si="33">SUM(D210:D216)</f>
        <v>7</v>
      </c>
      <c r="E217" s="504">
        <f t="shared" si="33"/>
        <v>13</v>
      </c>
      <c r="F217" s="504">
        <f t="shared" si="33"/>
        <v>965.25</v>
      </c>
      <c r="G217" s="504">
        <f t="shared" si="33"/>
        <v>85</v>
      </c>
      <c r="H217" s="504">
        <f t="shared" si="33"/>
        <v>525</v>
      </c>
      <c r="I217" s="504">
        <f t="shared" si="33"/>
        <v>965.25</v>
      </c>
      <c r="J217" s="504">
        <f t="shared" si="33"/>
        <v>0</v>
      </c>
      <c r="K217" s="504">
        <f t="shared" si="33"/>
        <v>0</v>
      </c>
      <c r="L217" s="270"/>
      <c r="M217" s="270"/>
      <c r="N217" s="270"/>
      <c r="O217" s="270"/>
      <c r="P217" s="270"/>
      <c r="Q217" s="254"/>
    </row>
    <row r="218" spans="1:17" s="3" customFormat="1" ht="25" customHeight="1" x14ac:dyDescent="0.25">
      <c r="A218" s="537" t="s">
        <v>8</v>
      </c>
      <c r="B218" s="537" t="s">
        <v>224</v>
      </c>
      <c r="C218" s="331"/>
      <c r="D218" s="331"/>
      <c r="E218" s="331"/>
      <c r="F218" s="254"/>
      <c r="G218" s="331"/>
      <c r="H218" s="271"/>
      <c r="I218" s="269"/>
      <c r="J218" s="270"/>
      <c r="K218" s="270"/>
      <c r="L218" s="270"/>
      <c r="M218" s="270"/>
      <c r="N218" s="270"/>
      <c r="O218" s="270"/>
      <c r="P218" s="270"/>
      <c r="Q218" s="254"/>
    </row>
    <row r="219" spans="1:17" s="3" customFormat="1" ht="25" customHeight="1" x14ac:dyDescent="0.25">
      <c r="A219" s="537">
        <v>1</v>
      </c>
      <c r="B219" s="508" t="s">
        <v>225</v>
      </c>
      <c r="C219" s="331"/>
      <c r="D219" s="331"/>
      <c r="E219" s="331"/>
      <c r="F219" s="254"/>
      <c r="G219" s="331"/>
      <c r="H219" s="271"/>
      <c r="I219" s="269"/>
      <c r="J219" s="270"/>
      <c r="K219" s="270"/>
      <c r="L219" s="270"/>
      <c r="M219" s="270"/>
      <c r="N219" s="270"/>
      <c r="O219" s="270"/>
      <c r="P219" s="270"/>
      <c r="Q219" s="254"/>
    </row>
    <row r="220" spans="1:17" s="3" customFormat="1" ht="25" customHeight="1" x14ac:dyDescent="0.25">
      <c r="A220" s="537" t="s">
        <v>147</v>
      </c>
      <c r="B220" s="508" t="s">
        <v>163</v>
      </c>
      <c r="C220" s="331"/>
      <c r="D220" s="331"/>
      <c r="E220" s="331"/>
      <c r="F220" s="271"/>
      <c r="G220" s="331"/>
      <c r="H220" s="279"/>
      <c r="I220" s="279"/>
      <c r="J220" s="270"/>
      <c r="K220" s="270"/>
      <c r="L220" s="270"/>
      <c r="M220" s="270"/>
      <c r="N220" s="270"/>
      <c r="O220" s="270"/>
      <c r="P220" s="270"/>
      <c r="Q220" s="254"/>
    </row>
    <row r="221" spans="1:17" s="3" customFormat="1" ht="25" customHeight="1" x14ac:dyDescent="0.25">
      <c r="A221" s="537"/>
      <c r="B221" s="508" t="s">
        <v>739</v>
      </c>
      <c r="C221" s="331"/>
      <c r="D221" s="331"/>
      <c r="E221" s="331"/>
      <c r="F221" s="331"/>
      <c r="G221" s="331"/>
      <c r="H221" s="427"/>
      <c r="I221" s="427"/>
      <c r="J221" s="428"/>
      <c r="K221" s="428"/>
      <c r="L221" s="428"/>
      <c r="M221" s="428"/>
      <c r="N221" s="428"/>
      <c r="O221" s="428"/>
      <c r="P221" s="428"/>
      <c r="Q221" s="489"/>
    </row>
    <row r="222" spans="1:17" s="3" customFormat="1" ht="25" customHeight="1" x14ac:dyDescent="0.25">
      <c r="A222" s="501" t="s">
        <v>226</v>
      </c>
      <c r="B222" s="509" t="s">
        <v>687</v>
      </c>
      <c r="C222" s="536">
        <v>5</v>
      </c>
      <c r="D222" s="331">
        <v>1</v>
      </c>
      <c r="E222" s="331">
        <v>25</v>
      </c>
      <c r="F222" s="271">
        <f>I222+J222+K222</f>
        <v>3093.75</v>
      </c>
      <c r="G222" s="331">
        <v>50</v>
      </c>
      <c r="H222" s="271">
        <f>C222*E222*G222</f>
        <v>6250</v>
      </c>
      <c r="I222" s="269">
        <f>IF(G222&lt;70, C222*E222*16.5*1.5, C222*E222*16.5*1.3*1.5)</f>
        <v>3093.75</v>
      </c>
      <c r="J222" s="270"/>
      <c r="K222" s="270"/>
      <c r="L222" s="270"/>
      <c r="M222" s="270"/>
      <c r="N222" s="270"/>
      <c r="O222" s="270"/>
      <c r="P222" s="270"/>
      <c r="Q222" s="254"/>
    </row>
    <row r="223" spans="1:17" s="3" customFormat="1" ht="25" customHeight="1" x14ac:dyDescent="0.25">
      <c r="A223" s="501" t="s">
        <v>227</v>
      </c>
      <c r="B223" s="509" t="s">
        <v>688</v>
      </c>
      <c r="C223" s="536">
        <v>5</v>
      </c>
      <c r="D223" s="331">
        <v>1</v>
      </c>
      <c r="E223" s="331">
        <v>26</v>
      </c>
      <c r="F223" s="271">
        <f>I223+J223+K223</f>
        <v>3217.5</v>
      </c>
      <c r="G223" s="331">
        <v>50</v>
      </c>
      <c r="H223" s="271">
        <f>C223*E223*G223</f>
        <v>6500</v>
      </c>
      <c r="I223" s="269">
        <f>IF(G223&lt;70, C223*E223*16.5*1.5, C223*E223*16.5*1.3*1.5)</f>
        <v>3217.5</v>
      </c>
      <c r="J223" s="270"/>
      <c r="K223" s="270"/>
      <c r="L223" s="270"/>
      <c r="M223" s="270"/>
      <c r="N223" s="270"/>
      <c r="O223" s="270"/>
      <c r="P223" s="270"/>
      <c r="Q223" s="254"/>
    </row>
    <row r="224" spans="1:17" s="3" customFormat="1" ht="25" customHeight="1" x14ac:dyDescent="0.25">
      <c r="A224" s="502"/>
      <c r="B224" s="503" t="s">
        <v>380</v>
      </c>
      <c r="C224" s="504">
        <f>SUM(C222:C223)</f>
        <v>10</v>
      </c>
      <c r="D224" s="504">
        <f t="shared" ref="D224:K224" si="34">SUM(D222:D223)</f>
        <v>2</v>
      </c>
      <c r="E224" s="504">
        <f t="shared" si="34"/>
        <v>51</v>
      </c>
      <c r="F224" s="504">
        <f t="shared" si="34"/>
        <v>6311.25</v>
      </c>
      <c r="G224" s="504">
        <f t="shared" si="34"/>
        <v>100</v>
      </c>
      <c r="H224" s="504">
        <f t="shared" si="34"/>
        <v>12750</v>
      </c>
      <c r="I224" s="504">
        <f t="shared" si="34"/>
        <v>6311.25</v>
      </c>
      <c r="J224" s="504">
        <f t="shared" si="34"/>
        <v>0</v>
      </c>
      <c r="K224" s="504">
        <f t="shared" si="34"/>
        <v>0</v>
      </c>
      <c r="L224" s="270"/>
      <c r="M224" s="270"/>
      <c r="N224" s="270"/>
      <c r="O224" s="270"/>
      <c r="P224" s="270"/>
      <c r="Q224" s="254"/>
    </row>
    <row r="225" spans="1:17" s="3" customFormat="1" ht="25" customHeight="1" x14ac:dyDescent="0.25">
      <c r="A225" s="539"/>
      <c r="B225" s="540" t="s">
        <v>424</v>
      </c>
      <c r="C225" s="438">
        <f>C207+C217+C224</f>
        <v>58</v>
      </c>
      <c r="D225" s="438">
        <f t="shared" ref="D225:K225" si="35">D207+D217+D224</f>
        <v>20.8</v>
      </c>
      <c r="E225" s="438">
        <f t="shared" si="35"/>
        <v>116</v>
      </c>
      <c r="F225" s="438">
        <f t="shared" si="35"/>
        <v>10050.150000000001</v>
      </c>
      <c r="G225" s="438">
        <f t="shared" si="35"/>
        <v>796</v>
      </c>
      <c r="H225" s="438">
        <f t="shared" si="35"/>
        <v>21711</v>
      </c>
      <c r="I225" s="438">
        <f t="shared" si="35"/>
        <v>10050.150000000001</v>
      </c>
      <c r="J225" s="438">
        <f t="shared" si="35"/>
        <v>0</v>
      </c>
      <c r="K225" s="438">
        <f t="shared" si="35"/>
        <v>0</v>
      </c>
      <c r="L225" s="525">
        <f>'Bieu3 TLH'!F22</f>
        <v>1620</v>
      </c>
      <c r="M225" s="525">
        <f>'Bieu3 TLH'!N22</f>
        <v>1498.5</v>
      </c>
      <c r="N225" s="525">
        <f>I225-M225</f>
        <v>8551.6500000000015</v>
      </c>
      <c r="O225" s="525">
        <f>'Bieu3 TLH'!O22</f>
        <v>1163.25</v>
      </c>
      <c r="P225" s="525">
        <f>'Bieu3 TLH'!P22</f>
        <v>590</v>
      </c>
      <c r="Q225" s="541" t="s">
        <v>704</v>
      </c>
    </row>
    <row r="226" spans="1:17" s="3" customFormat="1" ht="25" customHeight="1" x14ac:dyDescent="0.25">
      <c r="A226" s="532" t="s">
        <v>431</v>
      </c>
      <c r="B226" s="532" t="s">
        <v>432</v>
      </c>
      <c r="C226" s="533"/>
      <c r="D226" s="533"/>
      <c r="E226" s="533"/>
      <c r="F226" s="534"/>
      <c r="G226" s="533"/>
      <c r="H226" s="533"/>
      <c r="I226" s="533"/>
      <c r="J226" s="270"/>
      <c r="K226" s="270"/>
      <c r="L226" s="270"/>
      <c r="M226" s="270"/>
      <c r="N226" s="270"/>
      <c r="O226" s="270"/>
      <c r="P226" s="270"/>
      <c r="Q226" s="254"/>
    </row>
    <row r="227" spans="1:17" s="3" customFormat="1" ht="25" customHeight="1" x14ac:dyDescent="0.25">
      <c r="A227" s="532" t="s">
        <v>7</v>
      </c>
      <c r="B227" s="532" t="s">
        <v>223</v>
      </c>
      <c r="C227" s="533"/>
      <c r="D227" s="533"/>
      <c r="E227" s="533"/>
      <c r="F227" s="534"/>
      <c r="G227" s="533"/>
      <c r="H227" s="533"/>
      <c r="I227" s="533"/>
      <c r="J227" s="270"/>
      <c r="K227" s="270"/>
      <c r="L227" s="270"/>
      <c r="M227" s="270"/>
      <c r="N227" s="270"/>
      <c r="O227" s="270"/>
      <c r="P227" s="270"/>
      <c r="Q227" s="254"/>
    </row>
    <row r="228" spans="1:17" s="3" customFormat="1" ht="25" customHeight="1" x14ac:dyDescent="0.25">
      <c r="A228" s="532">
        <v>1</v>
      </c>
      <c r="B228" s="532" t="s">
        <v>4</v>
      </c>
      <c r="C228" s="533"/>
      <c r="D228" s="533"/>
      <c r="E228" s="533"/>
      <c r="F228" s="534"/>
      <c r="G228" s="533"/>
      <c r="H228" s="533"/>
      <c r="I228" s="533"/>
      <c r="J228" s="270"/>
      <c r="K228" s="270"/>
      <c r="L228" s="270"/>
      <c r="M228" s="270"/>
      <c r="N228" s="270"/>
      <c r="O228" s="270"/>
      <c r="P228" s="270"/>
      <c r="Q228" s="254"/>
    </row>
    <row r="229" spans="1:17" s="3" customFormat="1" ht="25" customHeight="1" x14ac:dyDescent="0.25">
      <c r="A229" s="537"/>
      <c r="B229" s="537" t="s">
        <v>740</v>
      </c>
      <c r="C229" s="592"/>
      <c r="D229" s="592"/>
      <c r="E229" s="592"/>
      <c r="F229" s="593"/>
      <c r="G229" s="592"/>
      <c r="H229" s="592"/>
      <c r="I229" s="592"/>
      <c r="J229" s="428"/>
      <c r="K229" s="428"/>
      <c r="L229" s="428"/>
      <c r="M229" s="428"/>
      <c r="N229" s="428"/>
      <c r="O229" s="428"/>
      <c r="P229" s="428"/>
      <c r="Q229" s="489"/>
    </row>
    <row r="230" spans="1:17" s="3" customFormat="1" ht="25" customHeight="1" x14ac:dyDescent="0.25">
      <c r="A230" s="486" t="s">
        <v>226</v>
      </c>
      <c r="B230" s="509" t="s">
        <v>689</v>
      </c>
      <c r="C230" s="429">
        <v>4</v>
      </c>
      <c r="D230" s="429">
        <v>1</v>
      </c>
      <c r="E230" s="429">
        <v>10</v>
      </c>
      <c r="F230" s="254">
        <f t="shared" ref="F230:F242" si="36">I230+J230+K230</f>
        <v>858</v>
      </c>
      <c r="G230" s="429">
        <v>70</v>
      </c>
      <c r="H230" s="271">
        <f t="shared" ref="H230:H242" si="37">C230*E230*G230</f>
        <v>2800</v>
      </c>
      <c r="I230" s="269">
        <f t="shared" ref="I230:I242" si="38">IF(G230&lt;70, C230*E230*16.5*1, C230*E230*16.5*1.3)</f>
        <v>858</v>
      </c>
      <c r="J230" s="270"/>
      <c r="K230" s="270"/>
      <c r="L230" s="270"/>
      <c r="M230" s="270"/>
      <c r="N230" s="270"/>
      <c r="O230" s="270"/>
      <c r="P230" s="270"/>
      <c r="Q230" s="254"/>
    </row>
    <row r="231" spans="1:17" s="3" customFormat="1" ht="25" customHeight="1" x14ac:dyDescent="0.25">
      <c r="A231" s="486"/>
      <c r="B231" s="508" t="s">
        <v>741</v>
      </c>
      <c r="C231" s="429"/>
      <c r="D231" s="429"/>
      <c r="E231" s="429"/>
      <c r="F231" s="489"/>
      <c r="G231" s="429"/>
      <c r="H231" s="331"/>
      <c r="I231" s="429"/>
      <c r="J231" s="428"/>
      <c r="K231" s="428"/>
      <c r="L231" s="428"/>
      <c r="M231" s="428"/>
      <c r="N231" s="428"/>
      <c r="O231" s="428"/>
      <c r="P231" s="428"/>
      <c r="Q231" s="489"/>
    </row>
    <row r="232" spans="1:17" s="3" customFormat="1" ht="25" customHeight="1" x14ac:dyDescent="0.25">
      <c r="A232" s="486" t="s">
        <v>227</v>
      </c>
      <c r="B232" s="509" t="s">
        <v>690</v>
      </c>
      <c r="C232" s="331">
        <v>3</v>
      </c>
      <c r="D232" s="331">
        <v>1</v>
      </c>
      <c r="E232" s="331">
        <v>4</v>
      </c>
      <c r="F232" s="254">
        <f t="shared" si="36"/>
        <v>257.40000000000003</v>
      </c>
      <c r="G232" s="331">
        <v>70</v>
      </c>
      <c r="H232" s="271">
        <f t="shared" si="37"/>
        <v>840</v>
      </c>
      <c r="I232" s="269">
        <f t="shared" si="38"/>
        <v>257.40000000000003</v>
      </c>
      <c r="J232" s="270"/>
      <c r="K232" s="270"/>
      <c r="L232" s="270"/>
      <c r="M232" s="270"/>
      <c r="N232" s="270"/>
      <c r="O232" s="270"/>
      <c r="P232" s="270"/>
      <c r="Q232" s="254"/>
    </row>
    <row r="233" spans="1:17" s="3" customFormat="1" ht="25" customHeight="1" x14ac:dyDescent="0.25">
      <c r="A233" s="486"/>
      <c r="B233" s="508" t="s">
        <v>742</v>
      </c>
      <c r="C233" s="331"/>
      <c r="D233" s="331"/>
      <c r="E233" s="331"/>
      <c r="F233" s="489"/>
      <c r="G233" s="331"/>
      <c r="H233" s="331"/>
      <c r="I233" s="429"/>
      <c r="J233" s="428"/>
      <c r="K233" s="428"/>
      <c r="L233" s="428"/>
      <c r="M233" s="428"/>
      <c r="N233" s="428"/>
      <c r="O233" s="428"/>
      <c r="P233" s="428"/>
      <c r="Q233" s="489"/>
    </row>
    <row r="234" spans="1:17" s="3" customFormat="1" ht="25" customHeight="1" x14ac:dyDescent="0.25">
      <c r="A234" s="486" t="s">
        <v>228</v>
      </c>
      <c r="B234" s="509" t="s">
        <v>426</v>
      </c>
      <c r="C234" s="331">
        <v>3</v>
      </c>
      <c r="D234" s="331">
        <v>1</v>
      </c>
      <c r="E234" s="331">
        <v>3</v>
      </c>
      <c r="F234" s="254">
        <f t="shared" si="36"/>
        <v>193.05</v>
      </c>
      <c r="G234" s="331">
        <v>70</v>
      </c>
      <c r="H234" s="271">
        <f t="shared" si="37"/>
        <v>630</v>
      </c>
      <c r="I234" s="269">
        <f t="shared" si="38"/>
        <v>193.05</v>
      </c>
      <c r="J234" s="270"/>
      <c r="K234" s="270"/>
      <c r="L234" s="270"/>
      <c r="M234" s="270"/>
      <c r="N234" s="270"/>
      <c r="O234" s="270"/>
      <c r="P234" s="270"/>
      <c r="Q234" s="254"/>
    </row>
    <row r="235" spans="1:17" s="3" customFormat="1" ht="25" customHeight="1" x14ac:dyDescent="0.25">
      <c r="A235" s="486" t="s">
        <v>229</v>
      </c>
      <c r="B235" s="509" t="s">
        <v>427</v>
      </c>
      <c r="C235" s="331">
        <v>4</v>
      </c>
      <c r="D235" s="331">
        <v>1</v>
      </c>
      <c r="E235" s="331">
        <v>3</v>
      </c>
      <c r="F235" s="254">
        <f t="shared" si="36"/>
        <v>257.40000000000003</v>
      </c>
      <c r="G235" s="331">
        <v>70</v>
      </c>
      <c r="H235" s="271">
        <f t="shared" si="37"/>
        <v>840</v>
      </c>
      <c r="I235" s="269">
        <f t="shared" si="38"/>
        <v>257.40000000000003</v>
      </c>
      <c r="J235" s="270"/>
      <c r="K235" s="270"/>
      <c r="L235" s="270"/>
      <c r="M235" s="270"/>
      <c r="N235" s="270"/>
      <c r="O235" s="270"/>
      <c r="P235" s="270"/>
      <c r="Q235" s="254"/>
    </row>
    <row r="236" spans="1:17" s="3" customFormat="1" ht="25" customHeight="1" x14ac:dyDescent="0.25">
      <c r="A236" s="486"/>
      <c r="B236" s="508" t="s">
        <v>743</v>
      </c>
      <c r="C236" s="331"/>
      <c r="D236" s="331"/>
      <c r="E236" s="331"/>
      <c r="F236" s="489"/>
      <c r="G236" s="331"/>
      <c r="H236" s="331"/>
      <c r="I236" s="429"/>
      <c r="J236" s="428"/>
      <c r="K236" s="428"/>
      <c r="L236" s="428"/>
      <c r="M236" s="428"/>
      <c r="N236" s="428"/>
      <c r="O236" s="428"/>
      <c r="P236" s="428"/>
      <c r="Q236" s="489"/>
    </row>
    <row r="237" spans="1:17" s="3" customFormat="1" ht="25" customHeight="1" x14ac:dyDescent="0.25">
      <c r="A237" s="486" t="s">
        <v>230</v>
      </c>
      <c r="B237" s="509" t="s">
        <v>428</v>
      </c>
      <c r="C237" s="331">
        <v>4</v>
      </c>
      <c r="D237" s="331">
        <v>1</v>
      </c>
      <c r="E237" s="331">
        <v>4</v>
      </c>
      <c r="F237" s="254">
        <f t="shared" si="36"/>
        <v>343.2</v>
      </c>
      <c r="G237" s="331">
        <v>70</v>
      </c>
      <c r="H237" s="271">
        <f t="shared" si="37"/>
        <v>1120</v>
      </c>
      <c r="I237" s="269">
        <f t="shared" si="38"/>
        <v>343.2</v>
      </c>
      <c r="J237" s="270"/>
      <c r="K237" s="270"/>
      <c r="L237" s="270"/>
      <c r="M237" s="270"/>
      <c r="N237" s="270"/>
      <c r="O237" s="270"/>
      <c r="P237" s="270"/>
      <c r="Q237" s="254"/>
    </row>
    <row r="238" spans="1:17" s="3" customFormat="1" ht="25" customHeight="1" x14ac:dyDescent="0.25">
      <c r="A238" s="486" t="s">
        <v>231</v>
      </c>
      <c r="B238" s="510" t="s">
        <v>429</v>
      </c>
      <c r="C238" s="331">
        <v>4</v>
      </c>
      <c r="D238" s="331">
        <v>1</v>
      </c>
      <c r="E238" s="331">
        <v>1</v>
      </c>
      <c r="F238" s="254">
        <f t="shared" si="36"/>
        <v>85.8</v>
      </c>
      <c r="G238" s="331">
        <v>70</v>
      </c>
      <c r="H238" s="271">
        <f t="shared" si="37"/>
        <v>280</v>
      </c>
      <c r="I238" s="269">
        <f t="shared" si="38"/>
        <v>85.8</v>
      </c>
      <c r="J238" s="270"/>
      <c r="K238" s="270"/>
      <c r="L238" s="270"/>
      <c r="M238" s="270"/>
      <c r="N238" s="270"/>
      <c r="O238" s="270"/>
      <c r="P238" s="270"/>
      <c r="Q238" s="254"/>
    </row>
    <row r="239" spans="1:17" s="3" customFormat="1" ht="25" customHeight="1" x14ac:dyDescent="0.25">
      <c r="A239" s="486" t="s">
        <v>691</v>
      </c>
      <c r="B239" s="510" t="s">
        <v>692</v>
      </c>
      <c r="C239" s="331">
        <v>2</v>
      </c>
      <c r="D239" s="331">
        <v>1</v>
      </c>
      <c r="E239" s="331">
        <v>4</v>
      </c>
      <c r="F239" s="254">
        <f t="shared" si="36"/>
        <v>171.6</v>
      </c>
      <c r="G239" s="331">
        <v>70</v>
      </c>
      <c r="H239" s="271">
        <f t="shared" si="37"/>
        <v>560</v>
      </c>
      <c r="I239" s="269">
        <f t="shared" si="38"/>
        <v>171.6</v>
      </c>
      <c r="J239" s="270"/>
      <c r="K239" s="270"/>
      <c r="L239" s="270"/>
      <c r="M239" s="270"/>
      <c r="N239" s="270"/>
      <c r="O239" s="270"/>
      <c r="P239" s="270"/>
      <c r="Q239" s="254"/>
    </row>
    <row r="240" spans="1:17" s="3" customFormat="1" ht="25" customHeight="1" x14ac:dyDescent="0.25">
      <c r="A240" s="486"/>
      <c r="B240" s="589" t="s">
        <v>744</v>
      </c>
      <c r="C240" s="331"/>
      <c r="D240" s="331"/>
      <c r="E240" s="331"/>
      <c r="F240" s="489"/>
      <c r="G240" s="331"/>
      <c r="H240" s="331"/>
      <c r="I240" s="429"/>
      <c r="J240" s="428"/>
      <c r="K240" s="428"/>
      <c r="L240" s="428"/>
      <c r="M240" s="428"/>
      <c r="N240" s="428"/>
      <c r="O240" s="428"/>
      <c r="P240" s="428"/>
      <c r="Q240" s="489"/>
    </row>
    <row r="241" spans="1:17" s="3" customFormat="1" ht="25" customHeight="1" x14ac:dyDescent="0.25">
      <c r="A241" s="486" t="s">
        <v>693</v>
      </c>
      <c r="B241" s="510" t="s">
        <v>694</v>
      </c>
      <c r="C241" s="331">
        <v>2</v>
      </c>
      <c r="D241" s="331">
        <v>1</v>
      </c>
      <c r="E241" s="331">
        <v>10</v>
      </c>
      <c r="F241" s="254">
        <f t="shared" si="36"/>
        <v>429</v>
      </c>
      <c r="G241" s="331">
        <v>70</v>
      </c>
      <c r="H241" s="271">
        <f t="shared" si="37"/>
        <v>1400</v>
      </c>
      <c r="I241" s="269">
        <f t="shared" si="38"/>
        <v>429</v>
      </c>
      <c r="J241" s="270"/>
      <c r="K241" s="270"/>
      <c r="L241" s="270"/>
      <c r="M241" s="270"/>
      <c r="N241" s="270"/>
      <c r="O241" s="270"/>
      <c r="P241" s="270"/>
      <c r="Q241" s="254"/>
    </row>
    <row r="242" spans="1:17" s="3" customFormat="1" ht="25" customHeight="1" x14ac:dyDescent="0.25">
      <c r="A242" s="486" t="s">
        <v>282</v>
      </c>
      <c r="B242" s="510" t="s">
        <v>430</v>
      </c>
      <c r="C242" s="331">
        <v>3</v>
      </c>
      <c r="D242" s="331">
        <v>1</v>
      </c>
      <c r="E242" s="331">
        <v>4</v>
      </c>
      <c r="F242" s="254">
        <f t="shared" si="36"/>
        <v>257.40000000000003</v>
      </c>
      <c r="G242" s="331">
        <v>70</v>
      </c>
      <c r="H242" s="271">
        <f t="shared" si="37"/>
        <v>840</v>
      </c>
      <c r="I242" s="269">
        <f t="shared" si="38"/>
        <v>257.40000000000003</v>
      </c>
      <c r="J242" s="270"/>
      <c r="K242" s="270"/>
      <c r="L242" s="270"/>
      <c r="M242" s="270"/>
      <c r="N242" s="270"/>
      <c r="O242" s="270"/>
      <c r="P242" s="270"/>
      <c r="Q242" s="254"/>
    </row>
    <row r="243" spans="1:17" s="3" customFormat="1" ht="25" customHeight="1" x14ac:dyDescent="0.25">
      <c r="A243" s="502"/>
      <c r="B243" s="503" t="s">
        <v>380</v>
      </c>
      <c r="C243" s="504">
        <f t="shared" ref="C243:K243" si="39">SUM(C230:C242)</f>
        <v>29</v>
      </c>
      <c r="D243" s="504">
        <f t="shared" si="39"/>
        <v>9</v>
      </c>
      <c r="E243" s="504">
        <f t="shared" si="39"/>
        <v>43</v>
      </c>
      <c r="F243" s="504">
        <f t="shared" si="39"/>
        <v>2852.8500000000004</v>
      </c>
      <c r="G243" s="504">
        <f t="shared" si="39"/>
        <v>630</v>
      </c>
      <c r="H243" s="504">
        <f t="shared" si="39"/>
        <v>9310</v>
      </c>
      <c r="I243" s="504">
        <f t="shared" si="39"/>
        <v>2852.8500000000004</v>
      </c>
      <c r="J243" s="504">
        <f t="shared" si="39"/>
        <v>0</v>
      </c>
      <c r="K243" s="504">
        <f t="shared" si="39"/>
        <v>0</v>
      </c>
      <c r="L243" s="270"/>
      <c r="M243" s="270"/>
      <c r="N243" s="270"/>
      <c r="O243" s="270"/>
      <c r="P243" s="270"/>
      <c r="Q243" s="254"/>
    </row>
    <row r="244" spans="1:17" s="3" customFormat="1" ht="25" customHeight="1" x14ac:dyDescent="0.25">
      <c r="A244" s="499" t="s">
        <v>148</v>
      </c>
      <c r="B244" s="500" t="s">
        <v>151</v>
      </c>
      <c r="C244" s="331"/>
      <c r="D244" s="331"/>
      <c r="E244" s="331"/>
      <c r="F244" s="271"/>
      <c r="G244" s="331"/>
      <c r="H244" s="271"/>
      <c r="I244" s="270"/>
      <c r="J244" s="270"/>
      <c r="K244" s="270"/>
      <c r="L244" s="270"/>
      <c r="M244" s="270"/>
      <c r="N244" s="270"/>
      <c r="O244" s="270"/>
      <c r="P244" s="270"/>
      <c r="Q244" s="254"/>
    </row>
    <row r="245" spans="1:17" s="3" customFormat="1" ht="25" customHeight="1" x14ac:dyDescent="0.25">
      <c r="A245" s="501" t="s">
        <v>232</v>
      </c>
      <c r="B245" s="486" t="s">
        <v>154</v>
      </c>
      <c r="C245" s="331"/>
      <c r="D245" s="331"/>
      <c r="E245" s="331"/>
      <c r="F245" s="271"/>
      <c r="G245" s="331"/>
      <c r="H245" s="271"/>
      <c r="I245" s="270"/>
      <c r="J245" s="270"/>
      <c r="K245" s="270"/>
      <c r="L245" s="270"/>
      <c r="M245" s="270"/>
      <c r="N245" s="270"/>
      <c r="O245" s="270"/>
      <c r="P245" s="270"/>
      <c r="Q245" s="254"/>
    </row>
    <row r="246" spans="1:17" s="3" customFormat="1" ht="25" customHeight="1" x14ac:dyDescent="0.25">
      <c r="A246" s="501" t="s">
        <v>233</v>
      </c>
      <c r="B246" s="486" t="s">
        <v>153</v>
      </c>
      <c r="C246" s="331"/>
      <c r="D246" s="331"/>
      <c r="E246" s="331"/>
      <c r="F246" s="271"/>
      <c r="G246" s="331"/>
      <c r="H246" s="271"/>
      <c r="I246" s="270"/>
      <c r="J246" s="270"/>
      <c r="K246" s="270"/>
      <c r="L246" s="270"/>
      <c r="M246" s="270"/>
      <c r="N246" s="270"/>
      <c r="O246" s="270"/>
      <c r="P246" s="270"/>
      <c r="Q246" s="254"/>
    </row>
    <row r="247" spans="1:17" s="3" customFormat="1" ht="25" customHeight="1" x14ac:dyDescent="0.25">
      <c r="A247" s="501" t="s">
        <v>234</v>
      </c>
      <c r="B247" s="486" t="s">
        <v>155</v>
      </c>
      <c r="C247" s="331"/>
      <c r="D247" s="331"/>
      <c r="E247" s="331"/>
      <c r="F247" s="271"/>
      <c r="G247" s="331"/>
      <c r="H247" s="271"/>
      <c r="I247" s="270"/>
      <c r="J247" s="270"/>
      <c r="K247" s="270"/>
      <c r="L247" s="270"/>
      <c r="M247" s="270"/>
      <c r="N247" s="270"/>
      <c r="O247" s="270"/>
      <c r="P247" s="270"/>
      <c r="Q247" s="254"/>
    </row>
    <row r="248" spans="1:17" s="3" customFormat="1" ht="25" customHeight="1" x14ac:dyDescent="0.25">
      <c r="A248" s="501" t="s">
        <v>235</v>
      </c>
      <c r="B248" s="486" t="s">
        <v>156</v>
      </c>
      <c r="C248" s="331"/>
      <c r="D248" s="331"/>
      <c r="E248" s="331"/>
      <c r="F248" s="271"/>
      <c r="G248" s="331"/>
      <c r="H248" s="271"/>
      <c r="I248" s="270"/>
      <c r="J248" s="270"/>
      <c r="K248" s="270"/>
      <c r="L248" s="270"/>
      <c r="M248" s="270"/>
      <c r="N248" s="270"/>
      <c r="O248" s="270"/>
      <c r="P248" s="270"/>
      <c r="Q248" s="254"/>
    </row>
    <row r="249" spans="1:17" s="3" customFormat="1" ht="25" customHeight="1" x14ac:dyDescent="0.25">
      <c r="A249" s="501" t="s">
        <v>236</v>
      </c>
      <c r="B249" s="486" t="s">
        <v>157</v>
      </c>
      <c r="C249" s="331"/>
      <c r="D249" s="331"/>
      <c r="E249" s="331"/>
      <c r="F249" s="271"/>
      <c r="G249" s="331"/>
      <c r="H249" s="271"/>
      <c r="I249" s="270"/>
      <c r="J249" s="270"/>
      <c r="K249" s="270"/>
      <c r="L249" s="270"/>
      <c r="M249" s="270"/>
      <c r="N249" s="270"/>
      <c r="O249" s="270"/>
      <c r="P249" s="270"/>
      <c r="Q249" s="254"/>
    </row>
    <row r="250" spans="1:17" s="3" customFormat="1" ht="25" customHeight="1" x14ac:dyDescent="0.25">
      <c r="A250" s="537">
        <v>2</v>
      </c>
      <c r="B250" s="537" t="s">
        <v>164</v>
      </c>
      <c r="C250" s="331"/>
      <c r="D250" s="331"/>
      <c r="E250" s="331"/>
      <c r="F250" s="271"/>
      <c r="G250" s="331"/>
      <c r="H250" s="271"/>
      <c r="I250" s="270"/>
      <c r="J250" s="270"/>
      <c r="K250" s="270"/>
      <c r="L250" s="270"/>
      <c r="M250" s="270"/>
      <c r="N250" s="270"/>
      <c r="O250" s="270"/>
      <c r="P250" s="270"/>
      <c r="Q250" s="254"/>
    </row>
    <row r="251" spans="1:17" s="3" customFormat="1" ht="25" customHeight="1" x14ac:dyDescent="0.25">
      <c r="A251" s="444" t="s">
        <v>147</v>
      </c>
      <c r="B251" s="508" t="s">
        <v>165</v>
      </c>
      <c r="C251" s="331"/>
      <c r="D251" s="331"/>
      <c r="E251" s="331"/>
      <c r="F251" s="254"/>
      <c r="G251" s="331"/>
      <c r="H251" s="271"/>
      <c r="I251" s="269"/>
      <c r="J251" s="270"/>
      <c r="K251" s="270"/>
      <c r="L251" s="270"/>
      <c r="M251" s="270"/>
      <c r="N251" s="270"/>
      <c r="O251" s="270"/>
      <c r="P251" s="270"/>
      <c r="Q251" s="254"/>
    </row>
    <row r="252" spans="1:17" s="3" customFormat="1" ht="25" customHeight="1" x14ac:dyDescent="0.25">
      <c r="A252" s="444"/>
      <c r="B252" s="508" t="s">
        <v>740</v>
      </c>
      <c r="C252" s="331"/>
      <c r="D252" s="331"/>
      <c r="E252" s="331"/>
      <c r="F252" s="489"/>
      <c r="G252" s="331"/>
      <c r="H252" s="331"/>
      <c r="I252" s="429"/>
      <c r="J252" s="428"/>
      <c r="K252" s="428"/>
      <c r="L252" s="428"/>
      <c r="M252" s="428"/>
      <c r="N252" s="428"/>
      <c r="O252" s="428"/>
      <c r="P252" s="428"/>
      <c r="Q252" s="489"/>
    </row>
    <row r="253" spans="1:17" s="3" customFormat="1" ht="25" customHeight="1" x14ac:dyDescent="0.25">
      <c r="A253" s="486" t="s">
        <v>226</v>
      </c>
      <c r="B253" s="509" t="s">
        <v>433</v>
      </c>
      <c r="C253" s="331">
        <v>3</v>
      </c>
      <c r="D253" s="331">
        <v>1</v>
      </c>
      <c r="E253" s="331">
        <v>3</v>
      </c>
      <c r="F253" s="254">
        <f>I253+J253+K253</f>
        <v>222.75</v>
      </c>
      <c r="G253" s="331">
        <v>25</v>
      </c>
      <c r="H253" s="271">
        <f>C253*E253*G253</f>
        <v>225</v>
      </c>
      <c r="I253" s="269">
        <f>IF(G253&lt;70, C253*E253*16.5*1.5, C253*E253*16.5*1.5)</f>
        <v>222.75</v>
      </c>
      <c r="J253" s="270"/>
      <c r="K253" s="270"/>
      <c r="L253" s="270"/>
      <c r="M253" s="270"/>
      <c r="N253" s="270"/>
      <c r="O253" s="270"/>
      <c r="P253" s="270"/>
      <c r="Q253" s="254"/>
    </row>
    <row r="254" spans="1:17" s="3" customFormat="1" ht="25" customHeight="1" x14ac:dyDescent="0.25">
      <c r="A254" s="486" t="s">
        <v>227</v>
      </c>
      <c r="B254" s="509" t="s">
        <v>434</v>
      </c>
      <c r="C254" s="331">
        <v>3</v>
      </c>
      <c r="D254" s="331">
        <v>1</v>
      </c>
      <c r="E254" s="331">
        <v>1</v>
      </c>
      <c r="F254" s="254">
        <f>I254+J254+K254</f>
        <v>74.25</v>
      </c>
      <c r="G254" s="331">
        <v>15</v>
      </c>
      <c r="H254" s="271">
        <f>C254*E254*G254</f>
        <v>45</v>
      </c>
      <c r="I254" s="269">
        <f>IF(G254&lt;70, C254*E254*16.5*1.5, C254*E254*16.5*1.5)</f>
        <v>74.25</v>
      </c>
      <c r="J254" s="270"/>
      <c r="K254" s="270"/>
      <c r="L254" s="270"/>
      <c r="M254" s="270"/>
      <c r="N254" s="270"/>
      <c r="O254" s="270"/>
      <c r="P254" s="270"/>
      <c r="Q254" s="254"/>
    </row>
    <row r="255" spans="1:17" s="3" customFormat="1" ht="25" customHeight="1" x14ac:dyDescent="0.25">
      <c r="A255" s="486"/>
      <c r="B255" s="509" t="s">
        <v>695</v>
      </c>
      <c r="C255" s="331">
        <v>3</v>
      </c>
      <c r="D255" s="331">
        <v>1</v>
      </c>
      <c r="E255" s="331">
        <v>1</v>
      </c>
      <c r="F255" s="254">
        <f>I255+J255+K255</f>
        <v>74.25</v>
      </c>
      <c r="G255" s="331">
        <v>15</v>
      </c>
      <c r="H255" s="271">
        <f>C255*E255*G255</f>
        <v>45</v>
      </c>
      <c r="I255" s="269">
        <f>IF(G255&lt;70, C255*E255*16.5*1.5, C255*E255*16.5*1.5)</f>
        <v>74.25</v>
      </c>
      <c r="J255" s="270"/>
      <c r="K255" s="270"/>
      <c r="L255" s="270"/>
      <c r="M255" s="270"/>
      <c r="N255" s="270"/>
      <c r="O255" s="270"/>
      <c r="P255" s="270"/>
      <c r="Q255" s="254"/>
    </row>
    <row r="256" spans="1:17" s="3" customFormat="1" ht="25" customHeight="1" x14ac:dyDescent="0.25">
      <c r="A256" s="486" t="s">
        <v>228</v>
      </c>
      <c r="B256" s="509" t="s">
        <v>435</v>
      </c>
      <c r="C256" s="331">
        <v>3</v>
      </c>
      <c r="D256" s="331">
        <v>1</v>
      </c>
      <c r="E256" s="331">
        <v>3</v>
      </c>
      <c r="F256" s="254">
        <f>I256+J256+K256</f>
        <v>222.75</v>
      </c>
      <c r="G256" s="331">
        <v>25</v>
      </c>
      <c r="H256" s="271">
        <f>C256*E256*G256</f>
        <v>225</v>
      </c>
      <c r="I256" s="269">
        <f>IF(G256&lt;70, C256*E256*16.5*1.5, C256*E256*16.5*1.5)</f>
        <v>222.75</v>
      </c>
      <c r="J256" s="270"/>
      <c r="K256" s="270"/>
      <c r="L256" s="270"/>
      <c r="M256" s="270"/>
      <c r="N256" s="270"/>
      <c r="O256" s="270"/>
      <c r="P256" s="270"/>
      <c r="Q256" s="254"/>
    </row>
    <row r="257" spans="1:17" s="3" customFormat="1" ht="25" customHeight="1" x14ac:dyDescent="0.25">
      <c r="A257" s="499" t="s">
        <v>148</v>
      </c>
      <c r="B257" s="500" t="s">
        <v>696</v>
      </c>
      <c r="C257" s="331"/>
      <c r="D257" s="331"/>
      <c r="E257" s="331"/>
      <c r="F257" s="271"/>
      <c r="G257" s="331"/>
      <c r="H257" s="271"/>
      <c r="I257" s="270"/>
      <c r="J257" s="270"/>
      <c r="K257" s="270"/>
      <c r="L257" s="270"/>
      <c r="M257" s="270"/>
      <c r="N257" s="270"/>
      <c r="O257" s="270"/>
      <c r="P257" s="270"/>
      <c r="Q257" s="254"/>
    </row>
    <row r="258" spans="1:17" s="3" customFormat="1" ht="25" customHeight="1" x14ac:dyDescent="0.25">
      <c r="A258" s="537">
        <v>3</v>
      </c>
      <c r="B258" s="537" t="s">
        <v>166</v>
      </c>
      <c r="C258" s="331"/>
      <c r="D258" s="331"/>
      <c r="E258" s="331"/>
      <c r="F258" s="271"/>
      <c r="G258" s="331"/>
      <c r="H258" s="271"/>
      <c r="I258" s="270"/>
      <c r="J258" s="270"/>
      <c r="K258" s="270"/>
      <c r="L258" s="270"/>
      <c r="M258" s="270"/>
      <c r="N258" s="270"/>
      <c r="O258" s="270"/>
      <c r="P258" s="270"/>
      <c r="Q258" s="254"/>
    </row>
    <row r="259" spans="1:17" s="3" customFormat="1" ht="25" customHeight="1" x14ac:dyDescent="0.25">
      <c r="A259" s="444" t="s">
        <v>147</v>
      </c>
      <c r="B259" s="508" t="s">
        <v>167</v>
      </c>
      <c r="C259" s="331"/>
      <c r="D259" s="331"/>
      <c r="E259" s="331"/>
      <c r="F259" s="271"/>
      <c r="G259" s="331"/>
      <c r="H259" s="271"/>
      <c r="I259" s="270"/>
      <c r="J259" s="270"/>
      <c r="K259" s="270"/>
      <c r="L259" s="270"/>
      <c r="M259" s="270"/>
      <c r="N259" s="270"/>
      <c r="O259" s="270"/>
      <c r="P259" s="270"/>
      <c r="Q259" s="254"/>
    </row>
    <row r="260" spans="1:17" s="3" customFormat="1" ht="25" customHeight="1" x14ac:dyDescent="0.25">
      <c r="A260" s="499" t="s">
        <v>148</v>
      </c>
      <c r="B260" s="500" t="s">
        <v>168</v>
      </c>
      <c r="C260" s="331"/>
      <c r="D260" s="331"/>
      <c r="E260" s="331"/>
      <c r="F260" s="271"/>
      <c r="G260" s="331"/>
      <c r="H260" s="279"/>
      <c r="I260" s="279"/>
      <c r="J260" s="270"/>
      <c r="K260" s="270"/>
      <c r="L260" s="270"/>
      <c r="M260" s="270"/>
      <c r="N260" s="270"/>
      <c r="O260" s="270"/>
      <c r="P260" s="270"/>
      <c r="Q260" s="254"/>
    </row>
    <row r="261" spans="1:17" s="3" customFormat="1" ht="25" customHeight="1" x14ac:dyDescent="0.25">
      <c r="A261" s="499" t="s">
        <v>169</v>
      </c>
      <c r="B261" s="500" t="s">
        <v>170</v>
      </c>
      <c r="C261" s="331"/>
      <c r="D261" s="331"/>
      <c r="E261" s="331"/>
      <c r="F261" s="271"/>
      <c r="G261" s="331"/>
      <c r="H261" s="271"/>
      <c r="I261" s="270"/>
      <c r="J261" s="270"/>
      <c r="K261" s="270"/>
      <c r="L261" s="270"/>
      <c r="M261" s="270"/>
      <c r="N261" s="270"/>
      <c r="O261" s="270"/>
      <c r="P261" s="270"/>
      <c r="Q261" s="254"/>
    </row>
    <row r="262" spans="1:17" s="3" customFormat="1" ht="25" customHeight="1" x14ac:dyDescent="0.25">
      <c r="A262" s="502"/>
      <c r="B262" s="503" t="s">
        <v>438</v>
      </c>
      <c r="C262" s="504">
        <f>SUM(C253:C261)</f>
        <v>12</v>
      </c>
      <c r="D262" s="504">
        <f t="shared" ref="D262:K262" si="40">SUM(D253:D261)</f>
        <v>4</v>
      </c>
      <c r="E262" s="504">
        <f t="shared" si="40"/>
        <v>8</v>
      </c>
      <c r="F262" s="504">
        <f t="shared" si="40"/>
        <v>594</v>
      </c>
      <c r="G262" s="504">
        <f t="shared" si="40"/>
        <v>80</v>
      </c>
      <c r="H262" s="504">
        <f t="shared" si="40"/>
        <v>540</v>
      </c>
      <c r="I262" s="504">
        <f t="shared" si="40"/>
        <v>594</v>
      </c>
      <c r="J262" s="504">
        <f t="shared" si="40"/>
        <v>0</v>
      </c>
      <c r="K262" s="504">
        <f t="shared" si="40"/>
        <v>0</v>
      </c>
      <c r="L262" s="270"/>
      <c r="M262" s="270"/>
      <c r="N262" s="270"/>
      <c r="O262" s="270"/>
      <c r="P262" s="270"/>
      <c r="Q262" s="254"/>
    </row>
    <row r="263" spans="1:17" s="3" customFormat="1" ht="25" customHeight="1" x14ac:dyDescent="0.25">
      <c r="A263" s="537" t="s">
        <v>8</v>
      </c>
      <c r="B263" s="537" t="s">
        <v>224</v>
      </c>
      <c r="C263" s="331"/>
      <c r="D263" s="331"/>
      <c r="E263" s="331"/>
      <c r="F263" s="271"/>
      <c r="G263" s="331"/>
      <c r="H263" s="271"/>
      <c r="I263" s="270"/>
      <c r="J263" s="270"/>
      <c r="K263" s="270"/>
      <c r="L263" s="270"/>
      <c r="M263" s="270"/>
      <c r="N263" s="270"/>
      <c r="O263" s="270"/>
      <c r="P263" s="270"/>
      <c r="Q263" s="254"/>
    </row>
    <row r="264" spans="1:17" s="3" customFormat="1" ht="25" customHeight="1" x14ac:dyDescent="0.25">
      <c r="A264" s="537">
        <v>1</v>
      </c>
      <c r="B264" s="508" t="s">
        <v>225</v>
      </c>
      <c r="C264" s="331"/>
      <c r="D264" s="331"/>
      <c r="E264" s="331"/>
      <c r="F264" s="254"/>
      <c r="G264" s="331"/>
      <c r="H264" s="271"/>
      <c r="I264" s="269"/>
      <c r="J264" s="270"/>
      <c r="K264" s="270"/>
      <c r="L264" s="270"/>
      <c r="M264" s="270"/>
      <c r="N264" s="270"/>
      <c r="O264" s="270"/>
      <c r="P264" s="270"/>
      <c r="Q264" s="254"/>
    </row>
    <row r="265" spans="1:17" s="3" customFormat="1" ht="25" customHeight="1" x14ac:dyDescent="0.25">
      <c r="A265" s="537" t="s">
        <v>147</v>
      </c>
      <c r="B265" s="508" t="s">
        <v>163</v>
      </c>
      <c r="C265" s="331"/>
      <c r="D265" s="331"/>
      <c r="E265" s="331"/>
      <c r="F265" s="254"/>
      <c r="G265" s="331"/>
      <c r="H265" s="271"/>
      <c r="I265" s="269"/>
      <c r="J265" s="270"/>
      <c r="K265" s="270"/>
      <c r="L265" s="270"/>
      <c r="M265" s="270"/>
      <c r="N265" s="270"/>
      <c r="O265" s="270"/>
      <c r="P265" s="270"/>
      <c r="Q265" s="254"/>
    </row>
    <row r="266" spans="1:17" s="3" customFormat="1" ht="25" customHeight="1" x14ac:dyDescent="0.25">
      <c r="A266" s="537"/>
      <c r="B266" s="508" t="s">
        <v>741</v>
      </c>
      <c r="C266" s="331"/>
      <c r="D266" s="331"/>
      <c r="E266" s="331"/>
      <c r="F266" s="489"/>
      <c r="G266" s="331"/>
      <c r="H266" s="331"/>
      <c r="I266" s="429"/>
      <c r="J266" s="428"/>
      <c r="K266" s="428"/>
      <c r="L266" s="428"/>
      <c r="M266" s="428"/>
      <c r="N266" s="428"/>
      <c r="O266" s="428"/>
      <c r="P266" s="428"/>
      <c r="Q266" s="489"/>
    </row>
    <row r="267" spans="1:17" s="3" customFormat="1" ht="25" customHeight="1" x14ac:dyDescent="0.25">
      <c r="A267" s="501" t="s">
        <v>226</v>
      </c>
      <c r="B267" s="509" t="s">
        <v>697</v>
      </c>
      <c r="C267" s="331">
        <v>5</v>
      </c>
      <c r="D267" s="331">
        <v>1</v>
      </c>
      <c r="E267" s="331">
        <v>16</v>
      </c>
      <c r="F267" s="254">
        <f t="shared" ref="F267:F276" si="41">I267+J267+K267</f>
        <v>1320</v>
      </c>
      <c r="G267" s="331">
        <v>60</v>
      </c>
      <c r="H267" s="271">
        <f>C267*E267*G267</f>
        <v>4800</v>
      </c>
      <c r="I267" s="269">
        <f t="shared" ref="I267:I276" si="42">IF(G267&lt;70, C267*E267*16.5*1, C267*E267*16.5*1.3)</f>
        <v>1320</v>
      </c>
      <c r="J267" s="270"/>
      <c r="K267" s="270"/>
      <c r="L267" s="270"/>
      <c r="M267" s="270"/>
      <c r="N267" s="270"/>
      <c r="O267" s="270"/>
      <c r="P267" s="270"/>
      <c r="Q267" s="254"/>
    </row>
    <row r="268" spans="1:17" s="3" customFormat="1" ht="25" customHeight="1" x14ac:dyDescent="0.25">
      <c r="A268" s="501"/>
      <c r="B268" s="508" t="s">
        <v>743</v>
      </c>
      <c r="C268" s="331"/>
      <c r="D268" s="331"/>
      <c r="E268" s="331"/>
      <c r="F268" s="489"/>
      <c r="G268" s="331"/>
      <c r="H268" s="331"/>
      <c r="I268" s="429"/>
      <c r="J268" s="428"/>
      <c r="K268" s="428"/>
      <c r="L268" s="428"/>
      <c r="M268" s="428"/>
      <c r="N268" s="428"/>
      <c r="O268" s="428"/>
      <c r="P268" s="428"/>
      <c r="Q268" s="489"/>
    </row>
    <row r="269" spans="1:17" s="3" customFormat="1" ht="25" customHeight="1" x14ac:dyDescent="0.25">
      <c r="A269" s="501" t="s">
        <v>227</v>
      </c>
      <c r="B269" s="509" t="s">
        <v>436</v>
      </c>
      <c r="C269" s="331">
        <v>5</v>
      </c>
      <c r="D269" s="331">
        <v>1</v>
      </c>
      <c r="E269" s="331">
        <v>7</v>
      </c>
      <c r="F269" s="254">
        <f t="shared" si="41"/>
        <v>577.5</v>
      </c>
      <c r="G269" s="331">
        <v>60</v>
      </c>
      <c r="H269" s="271">
        <f t="shared" ref="H269:H276" si="43">C269*E269*G269</f>
        <v>2100</v>
      </c>
      <c r="I269" s="269">
        <f t="shared" si="42"/>
        <v>577.5</v>
      </c>
      <c r="J269" s="270"/>
      <c r="K269" s="270"/>
      <c r="L269" s="270"/>
      <c r="M269" s="270"/>
      <c r="N269" s="270"/>
      <c r="O269" s="270"/>
      <c r="P269" s="270"/>
      <c r="Q269" s="254"/>
    </row>
    <row r="270" spans="1:17" s="3" customFormat="1" ht="25" customHeight="1" x14ac:dyDescent="0.25">
      <c r="A270" s="501" t="s">
        <v>228</v>
      </c>
      <c r="B270" s="509" t="s">
        <v>425</v>
      </c>
      <c r="C270" s="331">
        <v>3</v>
      </c>
      <c r="D270" s="331">
        <v>1</v>
      </c>
      <c r="E270" s="331">
        <v>16</v>
      </c>
      <c r="F270" s="254">
        <f t="shared" si="41"/>
        <v>792</v>
      </c>
      <c r="G270" s="331">
        <v>60</v>
      </c>
      <c r="H270" s="271">
        <f t="shared" si="43"/>
        <v>2880</v>
      </c>
      <c r="I270" s="269">
        <f t="shared" si="42"/>
        <v>792</v>
      </c>
      <c r="J270" s="270"/>
      <c r="K270" s="270"/>
      <c r="L270" s="270"/>
      <c r="M270" s="270"/>
      <c r="N270" s="270"/>
      <c r="O270" s="270"/>
      <c r="P270" s="270"/>
      <c r="Q270" s="254"/>
    </row>
    <row r="271" spans="1:17" s="3" customFormat="1" ht="25" customHeight="1" x14ac:dyDescent="0.25">
      <c r="A271" s="501"/>
      <c r="B271" s="508" t="s">
        <v>742</v>
      </c>
      <c r="C271" s="331"/>
      <c r="D271" s="331"/>
      <c r="E271" s="331"/>
      <c r="F271" s="489"/>
      <c r="G271" s="331"/>
      <c r="H271" s="331"/>
      <c r="I271" s="429"/>
      <c r="J271" s="428"/>
      <c r="K271" s="428"/>
      <c r="L271" s="428"/>
      <c r="M271" s="428"/>
      <c r="N271" s="428"/>
      <c r="O271" s="428"/>
      <c r="P271" s="428"/>
      <c r="Q271" s="489"/>
    </row>
    <row r="272" spans="1:17" s="3" customFormat="1" ht="25" customHeight="1" x14ac:dyDescent="0.25">
      <c r="A272" s="501" t="s">
        <v>229</v>
      </c>
      <c r="B272" s="509" t="s">
        <v>437</v>
      </c>
      <c r="C272" s="331">
        <v>3</v>
      </c>
      <c r="D272" s="331">
        <v>1</v>
      </c>
      <c r="E272" s="331">
        <v>7</v>
      </c>
      <c r="F272" s="254">
        <f t="shared" si="41"/>
        <v>346.5</v>
      </c>
      <c r="G272" s="331">
        <v>60</v>
      </c>
      <c r="H272" s="271">
        <f t="shared" si="43"/>
        <v>1260</v>
      </c>
      <c r="I272" s="269">
        <f t="shared" si="42"/>
        <v>346.5</v>
      </c>
      <c r="J272" s="270"/>
      <c r="K272" s="270"/>
      <c r="L272" s="270"/>
      <c r="M272" s="270"/>
      <c r="N272" s="270"/>
      <c r="O272" s="270"/>
      <c r="P272" s="270"/>
      <c r="Q272" s="254"/>
    </row>
    <row r="273" spans="1:17" s="3" customFormat="1" ht="25" customHeight="1" x14ac:dyDescent="0.25">
      <c r="A273" s="501"/>
      <c r="B273" s="508" t="s">
        <v>744</v>
      </c>
      <c r="C273" s="331"/>
      <c r="D273" s="331"/>
      <c r="E273" s="331"/>
      <c r="F273" s="489"/>
      <c r="G273" s="331"/>
      <c r="H273" s="331"/>
      <c r="I273" s="429"/>
      <c r="J273" s="428"/>
      <c r="K273" s="428"/>
      <c r="L273" s="428"/>
      <c r="M273" s="428"/>
      <c r="N273" s="428"/>
      <c r="O273" s="428"/>
      <c r="P273" s="428"/>
      <c r="Q273" s="489"/>
    </row>
    <row r="274" spans="1:17" s="3" customFormat="1" ht="25" customHeight="1" x14ac:dyDescent="0.25">
      <c r="A274" s="501" t="s">
        <v>230</v>
      </c>
      <c r="B274" s="509" t="s">
        <v>505</v>
      </c>
      <c r="C274" s="331">
        <v>5</v>
      </c>
      <c r="D274" s="331">
        <v>1</v>
      </c>
      <c r="E274" s="331">
        <v>7</v>
      </c>
      <c r="F274" s="254">
        <f t="shared" si="41"/>
        <v>577.5</v>
      </c>
      <c r="G274" s="331">
        <v>50</v>
      </c>
      <c r="H274" s="271">
        <f t="shared" si="43"/>
        <v>1750</v>
      </c>
      <c r="I274" s="269">
        <f t="shared" si="42"/>
        <v>577.5</v>
      </c>
      <c r="J274" s="270"/>
      <c r="K274" s="270"/>
      <c r="L274" s="270"/>
      <c r="M274" s="270"/>
      <c r="N274" s="270"/>
      <c r="O274" s="270"/>
      <c r="P274" s="270"/>
      <c r="Q274" s="254"/>
    </row>
    <row r="275" spans="1:17" s="3" customFormat="1" ht="25" customHeight="1" x14ac:dyDescent="0.25">
      <c r="A275" s="501"/>
      <c r="B275" s="508" t="s">
        <v>740</v>
      </c>
      <c r="C275" s="331"/>
      <c r="D275" s="331"/>
      <c r="E275" s="331"/>
      <c r="F275" s="489"/>
      <c r="G275" s="331"/>
      <c r="H275" s="331"/>
      <c r="I275" s="429"/>
      <c r="J275" s="428"/>
      <c r="K275" s="428"/>
      <c r="L275" s="428"/>
      <c r="M275" s="428"/>
      <c r="N275" s="428"/>
      <c r="O275" s="428"/>
      <c r="P275" s="428"/>
      <c r="Q275" s="489"/>
    </row>
    <row r="276" spans="1:17" s="456" customFormat="1" ht="25" customHeight="1" x14ac:dyDescent="0.25">
      <c r="A276" s="512" t="s">
        <v>231</v>
      </c>
      <c r="B276" s="513" t="s">
        <v>506</v>
      </c>
      <c r="C276" s="514">
        <v>5</v>
      </c>
      <c r="D276" s="514">
        <v>1</v>
      </c>
      <c r="E276" s="514">
        <v>16</v>
      </c>
      <c r="F276" s="515">
        <f t="shared" si="41"/>
        <v>1320</v>
      </c>
      <c r="G276" s="514">
        <v>50</v>
      </c>
      <c r="H276" s="542">
        <f t="shared" si="43"/>
        <v>4000</v>
      </c>
      <c r="I276" s="543">
        <f t="shared" si="42"/>
        <v>1320</v>
      </c>
      <c r="J276" s="462"/>
      <c r="K276" s="463"/>
      <c r="L276" s="463"/>
      <c r="M276" s="463"/>
      <c r="N276" s="544"/>
      <c r="O276" s="463"/>
      <c r="P276" s="463"/>
      <c r="Q276" s="515"/>
    </row>
    <row r="277" spans="1:17" s="456" customFormat="1" ht="25" customHeight="1" x14ac:dyDescent="0.25">
      <c r="A277" s="502"/>
      <c r="B277" s="503" t="s">
        <v>380</v>
      </c>
      <c r="C277" s="504">
        <f>SUM(C267:C276)</f>
        <v>26</v>
      </c>
      <c r="D277" s="504">
        <f>SUM(D267:D276)</f>
        <v>6</v>
      </c>
      <c r="E277" s="504">
        <f>SUM(E267:E276)</f>
        <v>69</v>
      </c>
      <c r="F277" s="504">
        <f t="shared" ref="F277:K277" si="44">SUM(F267:F276)</f>
        <v>4933.5</v>
      </c>
      <c r="G277" s="504">
        <f t="shared" si="44"/>
        <v>340</v>
      </c>
      <c r="H277" s="504">
        <f t="shared" si="44"/>
        <v>16790</v>
      </c>
      <c r="I277" s="504">
        <f t="shared" si="44"/>
        <v>4933.5</v>
      </c>
      <c r="J277" s="504">
        <f t="shared" si="44"/>
        <v>0</v>
      </c>
      <c r="K277" s="504">
        <f t="shared" si="44"/>
        <v>0</v>
      </c>
      <c r="L277" s="519"/>
      <c r="M277" s="519"/>
      <c r="N277" s="523"/>
      <c r="O277" s="519"/>
      <c r="P277" s="519"/>
      <c r="Q277" s="520"/>
    </row>
    <row r="278" spans="1:17" s="3" customFormat="1" ht="25" customHeight="1" x14ac:dyDescent="0.25">
      <c r="A278" s="539"/>
      <c r="B278" s="545" t="s">
        <v>439</v>
      </c>
      <c r="C278" s="438">
        <f>C243+C262+C277</f>
        <v>67</v>
      </c>
      <c r="D278" s="438">
        <f t="shared" ref="D278:K278" si="45">D243+D262+D277</f>
        <v>19</v>
      </c>
      <c r="E278" s="438">
        <f t="shared" si="45"/>
        <v>120</v>
      </c>
      <c r="F278" s="438">
        <f t="shared" si="45"/>
        <v>8380.35</v>
      </c>
      <c r="G278" s="438">
        <f t="shared" si="45"/>
        <v>1050</v>
      </c>
      <c r="H278" s="438">
        <f t="shared" si="45"/>
        <v>26640</v>
      </c>
      <c r="I278" s="438">
        <f t="shared" si="45"/>
        <v>8380.35</v>
      </c>
      <c r="J278" s="438">
        <f t="shared" si="45"/>
        <v>0</v>
      </c>
      <c r="K278" s="438">
        <f t="shared" si="45"/>
        <v>0</v>
      </c>
      <c r="L278" s="441">
        <f>'Bieu3 GDH'!F20</f>
        <v>1080</v>
      </c>
      <c r="M278" s="441">
        <f>'Bieu3 GDH'!N20</f>
        <v>1039.5</v>
      </c>
      <c r="N278" s="438">
        <f>I278-M278</f>
        <v>7340.85</v>
      </c>
      <c r="O278" s="441">
        <f>'Bieu3 GDH'!O20</f>
        <v>805.25</v>
      </c>
      <c r="P278" s="441">
        <f>'Bieu3 GDH'!P20</f>
        <v>370</v>
      </c>
      <c r="Q278" s="546" t="s">
        <v>705</v>
      </c>
    </row>
    <row r="279" spans="1:17" s="3" customFormat="1" ht="25" customHeight="1" x14ac:dyDescent="0.25">
      <c r="A279" s="479" t="s">
        <v>6</v>
      </c>
      <c r="B279" s="479" t="s">
        <v>483</v>
      </c>
      <c r="C279" s="480"/>
      <c r="D279" s="480"/>
      <c r="E279" s="480"/>
      <c r="F279" s="481"/>
      <c r="G279" s="480"/>
      <c r="H279" s="480"/>
      <c r="I279" s="480"/>
      <c r="J279" s="480"/>
      <c r="K279" s="274"/>
      <c r="L279" s="272"/>
      <c r="M279" s="271"/>
      <c r="N279" s="271"/>
      <c r="O279" s="271"/>
      <c r="P279" s="271"/>
      <c r="Q279" s="271"/>
    </row>
    <row r="280" spans="1:17" s="3" customFormat="1" ht="25" customHeight="1" x14ac:dyDescent="0.25">
      <c r="A280" s="479" t="s">
        <v>7</v>
      </c>
      <c r="B280" s="479" t="s">
        <v>223</v>
      </c>
      <c r="C280" s="480"/>
      <c r="D280" s="480"/>
      <c r="E280" s="480"/>
      <c r="F280" s="481"/>
      <c r="G280" s="480"/>
      <c r="H280" s="480"/>
      <c r="I280" s="480"/>
      <c r="J280" s="480"/>
      <c r="K280" s="274"/>
      <c r="L280" s="272"/>
      <c r="M280" s="271"/>
      <c r="N280" s="271"/>
      <c r="O280" s="271"/>
      <c r="P280" s="271"/>
      <c r="Q280" s="271"/>
    </row>
    <row r="281" spans="1:17" s="3" customFormat="1" ht="25" customHeight="1" x14ac:dyDescent="0.25">
      <c r="A281" s="479">
        <v>1</v>
      </c>
      <c r="B281" s="479" t="s">
        <v>4</v>
      </c>
      <c r="C281" s="480"/>
      <c r="D281" s="480"/>
      <c r="E281" s="480"/>
      <c r="F281" s="481"/>
      <c r="G281" s="480"/>
      <c r="H281" s="480"/>
      <c r="I281" s="480"/>
      <c r="J281" s="480"/>
      <c r="K281" s="274"/>
      <c r="L281" s="272"/>
      <c r="M281" s="271"/>
      <c r="N281" s="271"/>
      <c r="O281" s="271"/>
      <c r="P281" s="271"/>
      <c r="Q281" s="271"/>
    </row>
    <row r="282" spans="1:17" s="3" customFormat="1" ht="25" customHeight="1" x14ac:dyDescent="0.25">
      <c r="A282" s="482" t="s">
        <v>147</v>
      </c>
      <c r="B282" s="483" t="s">
        <v>161</v>
      </c>
      <c r="C282" s="279"/>
      <c r="D282" s="279"/>
      <c r="E282" s="279"/>
      <c r="F282" s="271"/>
      <c r="G282" s="279"/>
      <c r="H282" s="279"/>
      <c r="I282" s="484"/>
      <c r="J282" s="484"/>
      <c r="K282" s="274"/>
      <c r="L282" s="272"/>
      <c r="M282" s="271"/>
      <c r="N282" s="271"/>
      <c r="O282" s="271"/>
      <c r="P282" s="271"/>
      <c r="Q282" s="271"/>
    </row>
    <row r="283" spans="1:17" s="3" customFormat="1" ht="25" customHeight="1" x14ac:dyDescent="0.25">
      <c r="A283" s="444"/>
      <c r="B283" s="508" t="s">
        <v>745</v>
      </c>
      <c r="C283" s="427"/>
      <c r="D283" s="427"/>
      <c r="E283" s="427"/>
      <c r="F283" s="331"/>
      <c r="G283" s="427"/>
      <c r="H283" s="427"/>
      <c r="I283" s="443"/>
      <c r="J283" s="443"/>
      <c r="K283" s="501"/>
      <c r="L283" s="486"/>
      <c r="M283" s="331"/>
      <c r="N283" s="331"/>
      <c r="O283" s="331"/>
      <c r="P283" s="331"/>
      <c r="Q283" s="331"/>
    </row>
    <row r="284" spans="1:17" s="3" customFormat="1" ht="25" customHeight="1" x14ac:dyDescent="0.25">
      <c r="A284" s="330" t="s">
        <v>226</v>
      </c>
      <c r="B284" s="437" t="s">
        <v>440</v>
      </c>
      <c r="C284" s="331">
        <v>2</v>
      </c>
      <c r="D284" s="429">
        <v>1</v>
      </c>
      <c r="E284" s="331">
        <v>1</v>
      </c>
      <c r="F284" s="254">
        <f t="shared" ref="F284:F314" si="46">I284+J284+K284</f>
        <v>33</v>
      </c>
      <c r="G284" s="331">
        <v>40</v>
      </c>
      <c r="H284" s="271">
        <f>C284*E284*G284</f>
        <v>80</v>
      </c>
      <c r="I284" s="269">
        <f t="shared" ref="I284:I314" si="47">IF(G284&lt;70, C284*E284*16.5*1, C284*E284*16.5*1.3)</f>
        <v>33</v>
      </c>
      <c r="J284" s="443"/>
      <c r="K284" s="501"/>
      <c r="L284" s="272"/>
      <c r="M284" s="271"/>
      <c r="N284" s="271"/>
      <c r="O284" s="271"/>
      <c r="P284" s="271"/>
      <c r="Q284" s="271"/>
    </row>
    <row r="285" spans="1:17" s="3" customFormat="1" ht="25" customHeight="1" x14ac:dyDescent="0.25">
      <c r="A285" s="330" t="s">
        <v>227</v>
      </c>
      <c r="B285" s="547" t="s">
        <v>441</v>
      </c>
      <c r="C285" s="331">
        <v>3</v>
      </c>
      <c r="D285" s="331">
        <v>1</v>
      </c>
      <c r="E285" s="331">
        <v>1</v>
      </c>
      <c r="F285" s="254">
        <f t="shared" si="46"/>
        <v>49.5</v>
      </c>
      <c r="G285" s="331">
        <v>20</v>
      </c>
      <c r="H285" s="271">
        <f t="shared" ref="H285:H314" si="48">C285*E285*G285</f>
        <v>60</v>
      </c>
      <c r="I285" s="269">
        <f t="shared" si="47"/>
        <v>49.5</v>
      </c>
      <c r="J285" s="443"/>
      <c r="K285" s="501"/>
      <c r="L285" s="272"/>
      <c r="M285" s="271"/>
      <c r="N285" s="271"/>
      <c r="O285" s="271"/>
      <c r="P285" s="271"/>
      <c r="Q285" s="271"/>
    </row>
    <row r="286" spans="1:17" s="3" customFormat="1" ht="25" customHeight="1" x14ac:dyDescent="0.25">
      <c r="A286" s="330" t="s">
        <v>228</v>
      </c>
      <c r="B286" s="509" t="s">
        <v>442</v>
      </c>
      <c r="C286" s="331">
        <v>2</v>
      </c>
      <c r="D286" s="331">
        <v>1</v>
      </c>
      <c r="E286" s="331">
        <v>3</v>
      </c>
      <c r="F286" s="254">
        <f t="shared" si="46"/>
        <v>128.70000000000002</v>
      </c>
      <c r="G286" s="331">
        <v>80</v>
      </c>
      <c r="H286" s="271">
        <f t="shared" si="48"/>
        <v>480</v>
      </c>
      <c r="I286" s="269">
        <f t="shared" si="47"/>
        <v>128.70000000000002</v>
      </c>
      <c r="J286" s="428"/>
      <c r="K286" s="501"/>
      <c r="L286" s="272"/>
      <c r="M286" s="271"/>
      <c r="N286" s="271"/>
      <c r="O286" s="271"/>
      <c r="P286" s="271"/>
      <c r="Q286" s="271"/>
    </row>
    <row r="287" spans="1:17" s="3" customFormat="1" ht="25" customHeight="1" x14ac:dyDescent="0.25">
      <c r="A287" s="330"/>
      <c r="B287" s="508" t="s">
        <v>746</v>
      </c>
      <c r="C287" s="331"/>
      <c r="D287" s="331"/>
      <c r="E287" s="331"/>
      <c r="F287" s="489"/>
      <c r="G287" s="331"/>
      <c r="H287" s="331"/>
      <c r="I287" s="429"/>
      <c r="J287" s="428"/>
      <c r="K287" s="501"/>
      <c r="L287" s="486"/>
      <c r="M287" s="331"/>
      <c r="N287" s="331"/>
      <c r="O287" s="331"/>
      <c r="P287" s="331"/>
      <c r="Q287" s="331"/>
    </row>
    <row r="288" spans="1:17" s="3" customFormat="1" ht="25" customHeight="1" x14ac:dyDescent="0.25">
      <c r="A288" s="330" t="s">
        <v>229</v>
      </c>
      <c r="B288" s="437" t="s">
        <v>443</v>
      </c>
      <c r="C288" s="331">
        <v>3</v>
      </c>
      <c r="D288" s="331">
        <v>1</v>
      </c>
      <c r="E288" s="331">
        <v>1</v>
      </c>
      <c r="F288" s="254">
        <f t="shared" si="46"/>
        <v>64.350000000000009</v>
      </c>
      <c r="G288" s="331">
        <v>80</v>
      </c>
      <c r="H288" s="271">
        <f t="shared" si="48"/>
        <v>240</v>
      </c>
      <c r="I288" s="269">
        <f t="shared" si="47"/>
        <v>64.350000000000009</v>
      </c>
      <c r="J288" s="443"/>
      <c r="K288" s="501"/>
      <c r="L288" s="272"/>
      <c r="M288" s="271"/>
      <c r="N288" s="271"/>
      <c r="O288" s="271"/>
      <c r="P288" s="271"/>
      <c r="Q288" s="271"/>
    </row>
    <row r="289" spans="1:17" s="3" customFormat="1" ht="25" customHeight="1" x14ac:dyDescent="0.25">
      <c r="A289" s="330" t="s">
        <v>230</v>
      </c>
      <c r="B289" s="509" t="s">
        <v>442</v>
      </c>
      <c r="C289" s="331">
        <v>2</v>
      </c>
      <c r="D289" s="331">
        <v>1</v>
      </c>
      <c r="E289" s="331">
        <v>2</v>
      </c>
      <c r="F289" s="254">
        <f t="shared" si="46"/>
        <v>85.8</v>
      </c>
      <c r="G289" s="331">
        <v>80</v>
      </c>
      <c r="H289" s="271">
        <f t="shared" si="48"/>
        <v>320</v>
      </c>
      <c r="I289" s="269">
        <f t="shared" si="47"/>
        <v>85.8</v>
      </c>
      <c r="J289" s="443"/>
      <c r="K289" s="501"/>
      <c r="L289" s="272"/>
      <c r="M289" s="271"/>
      <c r="N289" s="271"/>
      <c r="O289" s="271"/>
      <c r="P289" s="271"/>
      <c r="Q289" s="271"/>
    </row>
    <row r="290" spans="1:17" s="3" customFormat="1" ht="25" customHeight="1" x14ac:dyDescent="0.25">
      <c r="A290" s="330"/>
      <c r="B290" s="508" t="s">
        <v>663</v>
      </c>
      <c r="C290" s="331"/>
      <c r="D290" s="331"/>
      <c r="E290" s="331"/>
      <c r="F290" s="489"/>
      <c r="G290" s="331"/>
      <c r="H290" s="331"/>
      <c r="I290" s="429"/>
      <c r="J290" s="443"/>
      <c r="K290" s="501"/>
      <c r="L290" s="486"/>
      <c r="M290" s="331"/>
      <c r="N290" s="331"/>
      <c r="O290" s="331"/>
      <c r="P290" s="331"/>
      <c r="Q290" s="331"/>
    </row>
    <row r="291" spans="1:17" s="3" customFormat="1" ht="25" customHeight="1" x14ac:dyDescent="0.25">
      <c r="A291" s="330" t="s">
        <v>231</v>
      </c>
      <c r="B291" s="437" t="s">
        <v>440</v>
      </c>
      <c r="C291" s="331">
        <v>2</v>
      </c>
      <c r="D291" s="331">
        <v>1</v>
      </c>
      <c r="E291" s="331">
        <v>1</v>
      </c>
      <c r="F291" s="254">
        <f t="shared" si="46"/>
        <v>42.9</v>
      </c>
      <c r="G291" s="331">
        <v>80</v>
      </c>
      <c r="H291" s="271">
        <f t="shared" si="48"/>
        <v>160</v>
      </c>
      <c r="I291" s="269">
        <f t="shared" si="47"/>
        <v>42.9</v>
      </c>
      <c r="J291" s="443"/>
      <c r="K291" s="501"/>
      <c r="L291" s="272"/>
      <c r="M291" s="271"/>
      <c r="N291" s="271"/>
      <c r="O291" s="271"/>
      <c r="P291" s="271"/>
      <c r="Q291" s="271"/>
    </row>
    <row r="292" spans="1:17" s="3" customFormat="1" ht="25" customHeight="1" x14ac:dyDescent="0.25">
      <c r="A292" s="330" t="s">
        <v>282</v>
      </c>
      <c r="B292" s="509" t="s">
        <v>444</v>
      </c>
      <c r="C292" s="429">
        <v>3</v>
      </c>
      <c r="D292" s="429">
        <v>1</v>
      </c>
      <c r="E292" s="429">
        <v>1</v>
      </c>
      <c r="F292" s="254">
        <f t="shared" si="46"/>
        <v>49.5</v>
      </c>
      <c r="G292" s="429">
        <v>40</v>
      </c>
      <c r="H292" s="271">
        <f t="shared" si="48"/>
        <v>120</v>
      </c>
      <c r="I292" s="269">
        <f t="shared" si="47"/>
        <v>49.5</v>
      </c>
      <c r="J292" s="443"/>
      <c r="K292" s="501"/>
      <c r="L292" s="272"/>
      <c r="M292" s="271"/>
      <c r="N292" s="271"/>
      <c r="O292" s="271"/>
      <c r="P292" s="271"/>
      <c r="Q292" s="271"/>
    </row>
    <row r="293" spans="1:17" s="3" customFormat="1" ht="25" customHeight="1" x14ac:dyDescent="0.25">
      <c r="A293" s="330" t="s">
        <v>283</v>
      </c>
      <c r="B293" s="509" t="s">
        <v>445</v>
      </c>
      <c r="C293" s="429">
        <v>2</v>
      </c>
      <c r="D293" s="429">
        <v>1</v>
      </c>
      <c r="E293" s="429">
        <v>1</v>
      </c>
      <c r="F293" s="254">
        <f t="shared" si="46"/>
        <v>33</v>
      </c>
      <c r="G293" s="429">
        <v>40</v>
      </c>
      <c r="H293" s="271">
        <f t="shared" si="48"/>
        <v>80</v>
      </c>
      <c r="I293" s="269">
        <f t="shared" si="47"/>
        <v>33</v>
      </c>
      <c r="J293" s="443"/>
      <c r="K293" s="501"/>
      <c r="L293" s="272"/>
      <c r="M293" s="271"/>
      <c r="N293" s="271"/>
      <c r="O293" s="271"/>
      <c r="P293" s="271"/>
      <c r="Q293" s="271"/>
    </row>
    <row r="294" spans="1:17" s="3" customFormat="1" ht="25" customHeight="1" x14ac:dyDescent="0.25">
      <c r="A294" s="330" t="s">
        <v>284</v>
      </c>
      <c r="B294" s="509" t="s">
        <v>446</v>
      </c>
      <c r="C294" s="429">
        <v>3</v>
      </c>
      <c r="D294" s="429">
        <v>1</v>
      </c>
      <c r="E294" s="429">
        <v>1</v>
      </c>
      <c r="F294" s="254">
        <f t="shared" si="46"/>
        <v>49.5</v>
      </c>
      <c r="G294" s="429">
        <v>30</v>
      </c>
      <c r="H294" s="271">
        <f t="shared" si="48"/>
        <v>90</v>
      </c>
      <c r="I294" s="269">
        <f t="shared" si="47"/>
        <v>49.5</v>
      </c>
      <c r="J294" s="443"/>
      <c r="K294" s="501"/>
      <c r="L294" s="272"/>
      <c r="M294" s="271"/>
      <c r="N294" s="271"/>
      <c r="O294" s="271"/>
      <c r="P294" s="271"/>
      <c r="Q294" s="271"/>
    </row>
    <row r="295" spans="1:17" s="3" customFormat="1" ht="25" customHeight="1" x14ac:dyDescent="0.25">
      <c r="A295" s="330"/>
      <c r="B295" s="508" t="s">
        <v>664</v>
      </c>
      <c r="C295" s="429"/>
      <c r="D295" s="429"/>
      <c r="E295" s="429"/>
      <c r="F295" s="489"/>
      <c r="G295" s="429"/>
      <c r="H295" s="331"/>
      <c r="I295" s="429"/>
      <c r="J295" s="443"/>
      <c r="K295" s="501"/>
      <c r="L295" s="486"/>
      <c r="M295" s="331"/>
      <c r="N295" s="331"/>
      <c r="O295" s="331"/>
      <c r="P295" s="331"/>
      <c r="Q295" s="331"/>
    </row>
    <row r="296" spans="1:17" s="3" customFormat="1" ht="25" customHeight="1" x14ac:dyDescent="0.25">
      <c r="A296" s="330" t="s">
        <v>285</v>
      </c>
      <c r="B296" s="509" t="s">
        <v>447</v>
      </c>
      <c r="C296" s="429">
        <v>4</v>
      </c>
      <c r="D296" s="429">
        <v>1</v>
      </c>
      <c r="E296" s="429">
        <v>1</v>
      </c>
      <c r="F296" s="254">
        <f t="shared" si="46"/>
        <v>66</v>
      </c>
      <c r="G296" s="429">
        <v>30</v>
      </c>
      <c r="H296" s="271">
        <f t="shared" si="48"/>
        <v>120</v>
      </c>
      <c r="I296" s="269">
        <f t="shared" si="47"/>
        <v>66</v>
      </c>
      <c r="J296" s="443"/>
      <c r="K296" s="501"/>
      <c r="L296" s="272"/>
      <c r="M296" s="271"/>
      <c r="N296" s="271"/>
      <c r="O296" s="271"/>
      <c r="P296" s="271"/>
      <c r="Q296" s="271"/>
    </row>
    <row r="297" spans="1:17" s="3" customFormat="1" ht="25" customHeight="1" x14ac:dyDescent="0.25">
      <c r="A297" s="330" t="s">
        <v>286</v>
      </c>
      <c r="B297" s="437" t="s">
        <v>440</v>
      </c>
      <c r="C297" s="429">
        <v>2</v>
      </c>
      <c r="D297" s="429">
        <v>1</v>
      </c>
      <c r="E297" s="429">
        <v>1</v>
      </c>
      <c r="F297" s="254">
        <f t="shared" si="46"/>
        <v>42.9</v>
      </c>
      <c r="G297" s="429">
        <v>80</v>
      </c>
      <c r="H297" s="271">
        <f t="shared" si="48"/>
        <v>160</v>
      </c>
      <c r="I297" s="269">
        <f t="shared" si="47"/>
        <v>42.9</v>
      </c>
      <c r="J297" s="443"/>
      <c r="K297" s="501"/>
      <c r="L297" s="272"/>
      <c r="M297" s="271"/>
      <c r="N297" s="271"/>
      <c r="O297" s="271"/>
      <c r="P297" s="271"/>
      <c r="Q297" s="271"/>
    </row>
    <row r="298" spans="1:17" s="3" customFormat="1" ht="25" customHeight="1" x14ac:dyDescent="0.25">
      <c r="A298" s="330" t="s">
        <v>289</v>
      </c>
      <c r="B298" s="509" t="s">
        <v>442</v>
      </c>
      <c r="C298" s="331">
        <v>2</v>
      </c>
      <c r="D298" s="331">
        <v>1</v>
      </c>
      <c r="E298" s="429">
        <v>1</v>
      </c>
      <c r="F298" s="254">
        <f t="shared" si="46"/>
        <v>42.9</v>
      </c>
      <c r="G298" s="331">
        <v>80</v>
      </c>
      <c r="H298" s="271">
        <f t="shared" si="48"/>
        <v>160</v>
      </c>
      <c r="I298" s="269">
        <f t="shared" si="47"/>
        <v>42.9</v>
      </c>
      <c r="J298" s="443"/>
      <c r="K298" s="501"/>
      <c r="L298" s="272"/>
      <c r="M298" s="271"/>
      <c r="N298" s="271"/>
      <c r="O298" s="271"/>
      <c r="P298" s="271"/>
      <c r="Q298" s="271"/>
    </row>
    <row r="299" spans="1:17" s="3" customFormat="1" ht="25" customHeight="1" x14ac:dyDescent="0.25">
      <c r="A299" s="330" t="s">
        <v>290</v>
      </c>
      <c r="B299" s="509" t="s">
        <v>448</v>
      </c>
      <c r="C299" s="331">
        <v>4</v>
      </c>
      <c r="D299" s="331">
        <v>1</v>
      </c>
      <c r="E299" s="331">
        <v>1</v>
      </c>
      <c r="F299" s="254">
        <f t="shared" si="46"/>
        <v>66</v>
      </c>
      <c r="G299" s="331">
        <v>30</v>
      </c>
      <c r="H299" s="271">
        <f t="shared" si="48"/>
        <v>120</v>
      </c>
      <c r="I299" s="269">
        <f t="shared" si="47"/>
        <v>66</v>
      </c>
      <c r="J299" s="443"/>
      <c r="K299" s="501"/>
      <c r="L299" s="272"/>
      <c r="M299" s="271"/>
      <c r="N299" s="271"/>
      <c r="O299" s="271"/>
      <c r="P299" s="271"/>
      <c r="Q299" s="271"/>
    </row>
    <row r="300" spans="1:17" s="3" customFormat="1" ht="25" customHeight="1" x14ac:dyDescent="0.25">
      <c r="A300" s="330" t="s">
        <v>291</v>
      </c>
      <c r="B300" s="509" t="s">
        <v>449</v>
      </c>
      <c r="C300" s="548">
        <v>4</v>
      </c>
      <c r="D300" s="490">
        <v>1</v>
      </c>
      <c r="E300" s="490">
        <v>1</v>
      </c>
      <c r="F300" s="254">
        <f t="shared" si="46"/>
        <v>66</v>
      </c>
      <c r="G300" s="490">
        <v>40</v>
      </c>
      <c r="H300" s="271">
        <f t="shared" si="48"/>
        <v>160</v>
      </c>
      <c r="I300" s="269">
        <f t="shared" si="47"/>
        <v>66</v>
      </c>
      <c r="J300" s="443"/>
      <c r="K300" s="501"/>
      <c r="L300" s="272"/>
      <c r="M300" s="271"/>
      <c r="N300" s="271"/>
      <c r="O300" s="271"/>
      <c r="P300" s="271"/>
      <c r="Q300" s="271"/>
    </row>
    <row r="301" spans="1:17" s="3" customFormat="1" ht="25" customHeight="1" x14ac:dyDescent="0.25">
      <c r="A301" s="330"/>
      <c r="B301" s="508" t="s">
        <v>747</v>
      </c>
      <c r="C301" s="548"/>
      <c r="D301" s="490"/>
      <c r="E301" s="490"/>
      <c r="F301" s="489"/>
      <c r="G301" s="490"/>
      <c r="H301" s="331"/>
      <c r="I301" s="429"/>
      <c r="J301" s="443"/>
      <c r="K301" s="501"/>
      <c r="L301" s="486"/>
      <c r="M301" s="331"/>
      <c r="N301" s="331"/>
      <c r="O301" s="331"/>
      <c r="P301" s="331"/>
      <c r="Q301" s="331"/>
    </row>
    <row r="302" spans="1:17" s="3" customFormat="1" ht="25" customHeight="1" x14ac:dyDescent="0.25">
      <c r="A302" s="330" t="s">
        <v>292</v>
      </c>
      <c r="B302" s="437" t="s">
        <v>440</v>
      </c>
      <c r="C302" s="548">
        <v>2</v>
      </c>
      <c r="D302" s="490">
        <v>1</v>
      </c>
      <c r="E302" s="490">
        <v>1</v>
      </c>
      <c r="F302" s="254">
        <f t="shared" si="46"/>
        <v>42.9</v>
      </c>
      <c r="G302" s="490">
        <v>89</v>
      </c>
      <c r="H302" s="271">
        <f t="shared" si="48"/>
        <v>178</v>
      </c>
      <c r="I302" s="269">
        <f t="shared" si="47"/>
        <v>42.9</v>
      </c>
      <c r="J302" s="443"/>
      <c r="K302" s="501"/>
      <c r="L302" s="272"/>
      <c r="M302" s="271"/>
      <c r="N302" s="271"/>
      <c r="O302" s="271"/>
      <c r="P302" s="271"/>
      <c r="Q302" s="271"/>
    </row>
    <row r="303" spans="1:17" s="3" customFormat="1" ht="25" customHeight="1" x14ac:dyDescent="0.25">
      <c r="A303" s="330" t="s">
        <v>394</v>
      </c>
      <c r="B303" s="509" t="s">
        <v>450</v>
      </c>
      <c r="C303" s="548">
        <v>3</v>
      </c>
      <c r="D303" s="490">
        <v>1</v>
      </c>
      <c r="E303" s="490">
        <v>1</v>
      </c>
      <c r="F303" s="254">
        <f t="shared" si="46"/>
        <v>49.5</v>
      </c>
      <c r="G303" s="490">
        <v>40</v>
      </c>
      <c r="H303" s="271">
        <f t="shared" si="48"/>
        <v>120</v>
      </c>
      <c r="I303" s="269">
        <f t="shared" si="47"/>
        <v>49.5</v>
      </c>
      <c r="J303" s="428"/>
      <c r="K303" s="501"/>
      <c r="L303" s="272"/>
      <c r="M303" s="271"/>
      <c r="N303" s="271"/>
      <c r="O303" s="271"/>
      <c r="P303" s="271"/>
      <c r="Q303" s="271"/>
    </row>
    <row r="304" spans="1:17" s="3" customFormat="1" ht="25" customHeight="1" x14ac:dyDescent="0.25">
      <c r="A304" s="330" t="s">
        <v>395</v>
      </c>
      <c r="B304" s="509" t="s">
        <v>442</v>
      </c>
      <c r="C304" s="331">
        <v>2</v>
      </c>
      <c r="D304" s="331">
        <v>1</v>
      </c>
      <c r="E304" s="331">
        <v>1</v>
      </c>
      <c r="F304" s="254">
        <f t="shared" si="46"/>
        <v>42.9</v>
      </c>
      <c r="G304" s="331">
        <v>80</v>
      </c>
      <c r="H304" s="271">
        <f t="shared" si="48"/>
        <v>160</v>
      </c>
      <c r="I304" s="269">
        <f t="shared" si="47"/>
        <v>42.9</v>
      </c>
      <c r="J304" s="428"/>
      <c r="K304" s="501"/>
      <c r="L304" s="272"/>
      <c r="M304" s="271"/>
      <c r="N304" s="271"/>
      <c r="O304" s="271"/>
      <c r="P304" s="271"/>
      <c r="Q304" s="271"/>
    </row>
    <row r="305" spans="1:17" s="3" customFormat="1" ht="25" customHeight="1" x14ac:dyDescent="0.25">
      <c r="A305" s="330" t="s">
        <v>396</v>
      </c>
      <c r="B305" s="489" t="s">
        <v>451</v>
      </c>
      <c r="C305" s="331">
        <v>2</v>
      </c>
      <c r="D305" s="331">
        <v>1</v>
      </c>
      <c r="E305" s="331">
        <v>1</v>
      </c>
      <c r="F305" s="254">
        <f t="shared" si="46"/>
        <v>33</v>
      </c>
      <c r="G305" s="331">
        <v>40</v>
      </c>
      <c r="H305" s="271">
        <f t="shared" si="48"/>
        <v>80</v>
      </c>
      <c r="I305" s="269">
        <f t="shared" si="47"/>
        <v>33</v>
      </c>
      <c r="J305" s="428"/>
      <c r="K305" s="501"/>
      <c r="L305" s="272"/>
      <c r="M305" s="271"/>
      <c r="N305" s="271"/>
      <c r="O305" s="271"/>
      <c r="P305" s="271"/>
      <c r="Q305" s="271"/>
    </row>
    <row r="306" spans="1:17" s="3" customFormat="1" ht="25" customHeight="1" x14ac:dyDescent="0.25">
      <c r="A306" s="330" t="s">
        <v>397</v>
      </c>
      <c r="B306" s="509" t="s">
        <v>452</v>
      </c>
      <c r="C306" s="331">
        <v>3</v>
      </c>
      <c r="D306" s="331">
        <v>1</v>
      </c>
      <c r="E306" s="331">
        <v>1</v>
      </c>
      <c r="F306" s="254">
        <f t="shared" si="46"/>
        <v>49.5</v>
      </c>
      <c r="G306" s="331">
        <v>40</v>
      </c>
      <c r="H306" s="271">
        <f t="shared" si="48"/>
        <v>120</v>
      </c>
      <c r="I306" s="269">
        <f t="shared" si="47"/>
        <v>49.5</v>
      </c>
      <c r="J306" s="428"/>
      <c r="K306" s="501"/>
      <c r="L306" s="272"/>
      <c r="M306" s="271"/>
      <c r="N306" s="271"/>
      <c r="O306" s="271"/>
      <c r="P306" s="271"/>
      <c r="Q306" s="271"/>
    </row>
    <row r="307" spans="1:17" s="3" customFormat="1" ht="25" customHeight="1" x14ac:dyDescent="0.25">
      <c r="A307" s="330" t="s">
        <v>398</v>
      </c>
      <c r="B307" s="509" t="s">
        <v>453</v>
      </c>
      <c r="C307" s="331">
        <v>2</v>
      </c>
      <c r="D307" s="331">
        <v>1</v>
      </c>
      <c r="E307" s="331">
        <v>1</v>
      </c>
      <c r="F307" s="254">
        <f t="shared" si="46"/>
        <v>42.9</v>
      </c>
      <c r="G307" s="331">
        <v>80</v>
      </c>
      <c r="H307" s="271">
        <f t="shared" si="48"/>
        <v>160</v>
      </c>
      <c r="I307" s="269">
        <f t="shared" si="47"/>
        <v>42.9</v>
      </c>
      <c r="J307" s="428"/>
      <c r="K307" s="501"/>
      <c r="L307" s="272"/>
      <c r="M307" s="271"/>
      <c r="N307" s="271"/>
      <c r="O307" s="271"/>
      <c r="P307" s="271"/>
      <c r="Q307" s="271"/>
    </row>
    <row r="308" spans="1:17" s="3" customFormat="1" ht="25" customHeight="1" x14ac:dyDescent="0.25">
      <c r="A308" s="330" t="s">
        <v>399</v>
      </c>
      <c r="B308" s="509" t="s">
        <v>445</v>
      </c>
      <c r="C308" s="429">
        <v>2</v>
      </c>
      <c r="D308" s="491">
        <v>1</v>
      </c>
      <c r="E308" s="491">
        <v>1</v>
      </c>
      <c r="F308" s="254">
        <f t="shared" si="46"/>
        <v>33</v>
      </c>
      <c r="G308" s="491">
        <v>40</v>
      </c>
      <c r="H308" s="271">
        <f t="shared" si="48"/>
        <v>80</v>
      </c>
      <c r="I308" s="269">
        <f t="shared" si="47"/>
        <v>33</v>
      </c>
      <c r="J308" s="428"/>
      <c r="K308" s="501"/>
      <c r="L308" s="272"/>
      <c r="M308" s="271"/>
      <c r="N308" s="271"/>
      <c r="O308" s="271"/>
      <c r="P308" s="271"/>
      <c r="Q308" s="271"/>
    </row>
    <row r="309" spans="1:17" s="3" customFormat="1" ht="25" customHeight="1" x14ac:dyDescent="0.25">
      <c r="A309" s="330" t="s">
        <v>400</v>
      </c>
      <c r="B309" s="509" t="s">
        <v>453</v>
      </c>
      <c r="C309" s="331">
        <v>2</v>
      </c>
      <c r="D309" s="331">
        <v>1.3</v>
      </c>
      <c r="E309" s="331">
        <v>1</v>
      </c>
      <c r="F309" s="254">
        <f t="shared" si="46"/>
        <v>33</v>
      </c>
      <c r="G309" s="331">
        <v>40</v>
      </c>
      <c r="H309" s="271">
        <f t="shared" si="48"/>
        <v>80</v>
      </c>
      <c r="I309" s="269">
        <f t="shared" si="47"/>
        <v>33</v>
      </c>
      <c r="J309" s="428"/>
      <c r="K309" s="501"/>
      <c r="L309" s="272"/>
      <c r="M309" s="271"/>
      <c r="N309" s="271"/>
      <c r="O309" s="271"/>
      <c r="P309" s="271"/>
      <c r="Q309" s="271"/>
    </row>
    <row r="310" spans="1:17" s="3" customFormat="1" ht="25" customHeight="1" x14ac:dyDescent="0.25">
      <c r="A310" s="330"/>
      <c r="B310" s="508" t="s">
        <v>748</v>
      </c>
      <c r="C310" s="331"/>
      <c r="D310" s="331"/>
      <c r="E310" s="331"/>
      <c r="F310" s="489"/>
      <c r="G310" s="331"/>
      <c r="H310" s="331"/>
      <c r="I310" s="429"/>
      <c r="J310" s="428"/>
      <c r="K310" s="501"/>
      <c r="L310" s="486"/>
      <c r="M310" s="331"/>
      <c r="N310" s="331"/>
      <c r="O310" s="331"/>
      <c r="P310" s="331"/>
      <c r="Q310" s="331"/>
    </row>
    <row r="311" spans="1:17" s="3" customFormat="1" ht="25" customHeight="1" x14ac:dyDescent="0.25">
      <c r="A311" s="330" t="s">
        <v>401</v>
      </c>
      <c r="B311" s="509" t="s">
        <v>454</v>
      </c>
      <c r="C311" s="331">
        <v>4</v>
      </c>
      <c r="D311" s="331">
        <v>1</v>
      </c>
      <c r="E311" s="331">
        <v>1</v>
      </c>
      <c r="F311" s="254">
        <f t="shared" si="46"/>
        <v>66</v>
      </c>
      <c r="G311" s="331">
        <v>40</v>
      </c>
      <c r="H311" s="271">
        <f t="shared" si="48"/>
        <v>160</v>
      </c>
      <c r="I311" s="269">
        <f t="shared" si="47"/>
        <v>66</v>
      </c>
      <c r="J311" s="428"/>
      <c r="K311" s="501"/>
      <c r="L311" s="272"/>
      <c r="M311" s="271"/>
      <c r="N311" s="271"/>
      <c r="O311" s="271"/>
      <c r="P311" s="271"/>
      <c r="Q311" s="271"/>
    </row>
    <row r="312" spans="1:17" s="3" customFormat="1" ht="25" customHeight="1" x14ac:dyDescent="0.25">
      <c r="A312" s="330" t="s">
        <v>402</v>
      </c>
      <c r="B312" s="509" t="s">
        <v>455</v>
      </c>
      <c r="C312" s="331">
        <v>4</v>
      </c>
      <c r="D312" s="331">
        <v>1</v>
      </c>
      <c r="E312" s="331">
        <v>1</v>
      </c>
      <c r="F312" s="254">
        <f t="shared" si="46"/>
        <v>66</v>
      </c>
      <c r="G312" s="331">
        <v>40</v>
      </c>
      <c r="H312" s="271">
        <f t="shared" si="48"/>
        <v>160</v>
      </c>
      <c r="I312" s="269">
        <f t="shared" si="47"/>
        <v>66</v>
      </c>
      <c r="J312" s="428"/>
      <c r="K312" s="501"/>
      <c r="L312" s="272"/>
      <c r="M312" s="271"/>
      <c r="N312" s="271"/>
      <c r="O312" s="271"/>
      <c r="P312" s="271"/>
      <c r="Q312" s="271"/>
    </row>
    <row r="313" spans="1:17" s="3" customFormat="1" ht="25" customHeight="1" x14ac:dyDescent="0.25">
      <c r="A313" s="330" t="s">
        <v>403</v>
      </c>
      <c r="B313" s="509" t="s">
        <v>456</v>
      </c>
      <c r="C313" s="331">
        <v>3</v>
      </c>
      <c r="D313" s="331">
        <v>1</v>
      </c>
      <c r="E313" s="331">
        <v>1</v>
      </c>
      <c r="F313" s="254">
        <f t="shared" si="46"/>
        <v>49.5</v>
      </c>
      <c r="G313" s="331">
        <v>40</v>
      </c>
      <c r="H313" s="271">
        <f t="shared" si="48"/>
        <v>120</v>
      </c>
      <c r="I313" s="269">
        <f t="shared" si="47"/>
        <v>49.5</v>
      </c>
      <c r="J313" s="428"/>
      <c r="K313" s="501"/>
      <c r="L313" s="272"/>
      <c r="M313" s="271"/>
      <c r="N313" s="271"/>
      <c r="O313" s="271"/>
      <c r="P313" s="271"/>
      <c r="Q313" s="271"/>
    </row>
    <row r="314" spans="1:17" s="3" customFormat="1" ht="25" customHeight="1" x14ac:dyDescent="0.25">
      <c r="A314" s="330" t="s">
        <v>404</v>
      </c>
      <c r="B314" s="509" t="s">
        <v>457</v>
      </c>
      <c r="C314" s="331">
        <v>1</v>
      </c>
      <c r="D314" s="331">
        <v>1.3</v>
      </c>
      <c r="E314" s="331">
        <v>1</v>
      </c>
      <c r="F314" s="254">
        <f t="shared" si="46"/>
        <v>16.5</v>
      </c>
      <c r="G314" s="331">
        <v>40</v>
      </c>
      <c r="H314" s="271">
        <f t="shared" si="48"/>
        <v>40</v>
      </c>
      <c r="I314" s="269">
        <f t="shared" si="47"/>
        <v>16.5</v>
      </c>
      <c r="J314" s="428"/>
      <c r="K314" s="501"/>
      <c r="L314" s="272"/>
      <c r="M314" s="271"/>
      <c r="N314" s="271"/>
      <c r="O314" s="271"/>
      <c r="P314" s="271"/>
      <c r="Q314" s="271"/>
    </row>
    <row r="315" spans="1:17" s="3" customFormat="1" ht="25" customHeight="1" x14ac:dyDescent="0.25">
      <c r="A315" s="499" t="s">
        <v>148</v>
      </c>
      <c r="B315" s="500" t="s">
        <v>151</v>
      </c>
      <c r="C315" s="331"/>
      <c r="D315" s="331"/>
      <c r="E315" s="331"/>
      <c r="F315" s="271"/>
      <c r="G315" s="331"/>
      <c r="H315" s="271"/>
      <c r="I315" s="270"/>
      <c r="J315" s="428"/>
      <c r="K315" s="501"/>
      <c r="L315" s="272"/>
      <c r="M315" s="271"/>
      <c r="N315" s="271"/>
      <c r="O315" s="271"/>
      <c r="P315" s="271"/>
      <c r="Q315" s="271"/>
    </row>
    <row r="316" spans="1:17" s="3" customFormat="1" ht="25" customHeight="1" x14ac:dyDescent="0.25">
      <c r="A316" s="501" t="s">
        <v>232</v>
      </c>
      <c r="B316" s="486" t="s">
        <v>154</v>
      </c>
      <c r="C316" s="331"/>
      <c r="D316" s="331"/>
      <c r="E316" s="331"/>
      <c r="F316" s="271"/>
      <c r="G316" s="331"/>
      <c r="H316" s="271"/>
      <c r="I316" s="270"/>
      <c r="J316" s="428"/>
      <c r="K316" s="501"/>
      <c r="L316" s="272"/>
      <c r="M316" s="271"/>
      <c r="N316" s="271"/>
      <c r="O316" s="271"/>
      <c r="P316" s="271"/>
      <c r="Q316" s="271"/>
    </row>
    <row r="317" spans="1:17" s="3" customFormat="1" ht="25" customHeight="1" x14ac:dyDescent="0.25">
      <c r="A317" s="501" t="s">
        <v>233</v>
      </c>
      <c r="B317" s="486" t="s">
        <v>153</v>
      </c>
      <c r="C317" s="331"/>
      <c r="D317" s="331"/>
      <c r="E317" s="331"/>
      <c r="F317" s="271"/>
      <c r="G317" s="331"/>
      <c r="H317" s="271"/>
      <c r="I317" s="270"/>
      <c r="J317" s="428"/>
      <c r="K317" s="501"/>
      <c r="L317" s="272"/>
      <c r="M317" s="271"/>
      <c r="N317" s="271"/>
      <c r="O317" s="271"/>
      <c r="P317" s="271"/>
      <c r="Q317" s="271"/>
    </row>
    <row r="318" spans="1:17" s="3" customFormat="1" ht="25" customHeight="1" x14ac:dyDescent="0.25">
      <c r="A318" s="512" t="s">
        <v>234</v>
      </c>
      <c r="B318" s="549" t="s">
        <v>706</v>
      </c>
      <c r="C318" s="514">
        <v>5</v>
      </c>
      <c r="D318" s="514" t="s">
        <v>665</v>
      </c>
      <c r="E318" s="514">
        <v>1</v>
      </c>
      <c r="F318" s="550">
        <f>I318+J318+K318</f>
        <v>42</v>
      </c>
      <c r="G318" s="514">
        <v>21</v>
      </c>
      <c r="H318" s="542">
        <f>C318*E318*G318</f>
        <v>105</v>
      </c>
      <c r="I318" s="551">
        <f>21*2</f>
        <v>42</v>
      </c>
      <c r="J318" s="516"/>
      <c r="K318" s="512"/>
      <c r="L318" s="272"/>
      <c r="M318" s="271"/>
      <c r="N318" s="271"/>
      <c r="O318" s="271"/>
      <c r="P318" s="271"/>
      <c r="Q318" s="271"/>
    </row>
    <row r="319" spans="1:17" s="3" customFormat="1" ht="25" customHeight="1" x14ac:dyDescent="0.25">
      <c r="A319" s="512" t="s">
        <v>235</v>
      </c>
      <c r="B319" s="549" t="s">
        <v>156</v>
      </c>
      <c r="C319" s="514">
        <v>5</v>
      </c>
      <c r="D319" s="514" t="s">
        <v>665</v>
      </c>
      <c r="E319" s="514">
        <v>1</v>
      </c>
      <c r="F319" s="550">
        <f>I319+J319+K319</f>
        <v>42</v>
      </c>
      <c r="G319" s="514">
        <v>21</v>
      </c>
      <c r="H319" s="542">
        <f>C319*E319*G319</f>
        <v>105</v>
      </c>
      <c r="I319" s="551">
        <f>21*2</f>
        <v>42</v>
      </c>
      <c r="J319" s="516"/>
      <c r="K319" s="512"/>
      <c r="L319" s="272"/>
      <c r="M319" s="271"/>
      <c r="N319" s="271"/>
      <c r="O319" s="271"/>
      <c r="P319" s="271"/>
      <c r="Q319" s="271"/>
    </row>
    <row r="320" spans="1:17" s="3" customFormat="1" ht="25" customHeight="1" x14ac:dyDescent="0.25">
      <c r="A320" s="501" t="s">
        <v>236</v>
      </c>
      <c r="B320" s="486" t="s">
        <v>157</v>
      </c>
      <c r="C320" s="331"/>
      <c r="D320" s="331"/>
      <c r="E320" s="331"/>
      <c r="F320" s="271"/>
      <c r="G320" s="331"/>
      <c r="H320" s="271"/>
      <c r="I320" s="270"/>
      <c r="J320" s="428"/>
      <c r="K320" s="501"/>
      <c r="L320" s="272"/>
      <c r="M320" s="271"/>
      <c r="N320" s="271"/>
      <c r="O320" s="271"/>
      <c r="P320" s="271"/>
      <c r="Q320" s="271"/>
    </row>
    <row r="321" spans="1:17" s="3" customFormat="1" ht="25" customHeight="1" x14ac:dyDescent="0.25">
      <c r="A321" s="511"/>
      <c r="B321" s="552" t="s">
        <v>380</v>
      </c>
      <c r="C321" s="553">
        <f t="shared" ref="C321:K321" si="49">SUM(C284:C320)</f>
        <v>78</v>
      </c>
      <c r="D321" s="553">
        <f t="shared" si="49"/>
        <v>26.6</v>
      </c>
      <c r="E321" s="553">
        <f t="shared" si="49"/>
        <v>31</v>
      </c>
      <c r="F321" s="553">
        <f t="shared" si="49"/>
        <v>1428.75</v>
      </c>
      <c r="G321" s="553">
        <f t="shared" si="49"/>
        <v>1401</v>
      </c>
      <c r="H321" s="553">
        <f t="shared" si="49"/>
        <v>4018</v>
      </c>
      <c r="I321" s="553">
        <f t="shared" si="49"/>
        <v>1428.75</v>
      </c>
      <c r="J321" s="553">
        <f t="shared" si="49"/>
        <v>0</v>
      </c>
      <c r="K321" s="553">
        <f t="shared" si="49"/>
        <v>0</v>
      </c>
      <c r="L321" s="486"/>
      <c r="M321" s="331"/>
      <c r="N321" s="331"/>
      <c r="O321" s="331"/>
      <c r="P321" s="331"/>
      <c r="Q321" s="331"/>
    </row>
    <row r="322" spans="1:17" s="3" customFormat="1" ht="25" customHeight="1" x14ac:dyDescent="0.25">
      <c r="A322" s="507">
        <v>2</v>
      </c>
      <c r="B322" s="507" t="s">
        <v>164</v>
      </c>
      <c r="C322" s="331"/>
      <c r="D322" s="331"/>
      <c r="E322" s="331"/>
      <c r="F322" s="271"/>
      <c r="G322" s="331"/>
      <c r="H322" s="271"/>
      <c r="I322" s="270"/>
      <c r="J322" s="428"/>
      <c r="K322" s="501"/>
      <c r="L322" s="272"/>
      <c r="M322" s="271"/>
      <c r="N322" s="271"/>
      <c r="O322" s="271"/>
      <c r="P322" s="271"/>
      <c r="Q322" s="271"/>
    </row>
    <row r="323" spans="1:17" s="3" customFormat="1" ht="25" customHeight="1" x14ac:dyDescent="0.25">
      <c r="A323" s="444" t="s">
        <v>147</v>
      </c>
      <c r="B323" s="508" t="s">
        <v>165</v>
      </c>
      <c r="C323" s="331"/>
      <c r="D323" s="331"/>
      <c r="E323" s="331"/>
      <c r="F323" s="271"/>
      <c r="G323" s="331"/>
      <c r="H323" s="271"/>
      <c r="I323" s="270"/>
      <c r="J323" s="428"/>
      <c r="K323" s="501"/>
      <c r="L323" s="272"/>
      <c r="M323" s="271"/>
      <c r="N323" s="271"/>
      <c r="O323" s="271"/>
      <c r="P323" s="271"/>
      <c r="Q323" s="271"/>
    </row>
    <row r="324" spans="1:17" s="3" customFormat="1" ht="25" customHeight="1" x14ac:dyDescent="0.25">
      <c r="A324" s="486" t="s">
        <v>226</v>
      </c>
      <c r="B324" s="509" t="s">
        <v>458</v>
      </c>
      <c r="C324" s="331">
        <v>3</v>
      </c>
      <c r="D324" s="331">
        <v>1</v>
      </c>
      <c r="E324" s="331">
        <v>6</v>
      </c>
      <c r="F324" s="254">
        <f t="shared" ref="F324:F336" si="50">I324+J324+K324</f>
        <v>445.5</v>
      </c>
      <c r="G324" s="331">
        <v>30</v>
      </c>
      <c r="H324" s="271">
        <f>C324*E324*G324</f>
        <v>540</v>
      </c>
      <c r="I324" s="269">
        <f>IF(G324&lt;70, C324*E324*16.5*1.5, C324*E324*16.5*1.5)</f>
        <v>445.5</v>
      </c>
      <c r="J324" s="428"/>
      <c r="K324" s="501"/>
      <c r="L324" s="272"/>
      <c r="M324" s="271"/>
      <c r="N324" s="271"/>
      <c r="O324" s="271"/>
      <c r="P324" s="271"/>
      <c r="Q324" s="271"/>
    </row>
    <row r="325" spans="1:17" s="3" customFormat="1" ht="25" customHeight="1" x14ac:dyDescent="0.25">
      <c r="A325" s="486" t="s">
        <v>227</v>
      </c>
      <c r="B325" s="509" t="s">
        <v>459</v>
      </c>
      <c r="C325" s="331">
        <v>3</v>
      </c>
      <c r="D325" s="331">
        <v>1</v>
      </c>
      <c r="E325" s="331">
        <v>6</v>
      </c>
      <c r="F325" s="254">
        <f t="shared" si="50"/>
        <v>445.5</v>
      </c>
      <c r="G325" s="331">
        <v>30</v>
      </c>
      <c r="H325" s="271">
        <f t="shared" ref="H325:H336" si="51">C325*E325*G325</f>
        <v>540</v>
      </c>
      <c r="I325" s="269">
        <f t="shared" ref="I325:I331" si="52">IF(G325&lt;70, C325*E325*16.5*1.5, C325*E325*16.5*1.5)</f>
        <v>445.5</v>
      </c>
      <c r="J325" s="428"/>
      <c r="K325" s="501"/>
      <c r="L325" s="272"/>
      <c r="M325" s="271"/>
      <c r="N325" s="271"/>
      <c r="O325" s="271"/>
      <c r="P325" s="271"/>
      <c r="Q325" s="271"/>
    </row>
    <row r="326" spans="1:17" s="3" customFormat="1" ht="25" customHeight="1" x14ac:dyDescent="0.25">
      <c r="A326" s="486" t="s">
        <v>228</v>
      </c>
      <c r="B326" s="509" t="s">
        <v>460</v>
      </c>
      <c r="C326" s="331">
        <v>3</v>
      </c>
      <c r="D326" s="331">
        <v>1</v>
      </c>
      <c r="E326" s="331">
        <v>1</v>
      </c>
      <c r="F326" s="254">
        <f t="shared" si="50"/>
        <v>74.25</v>
      </c>
      <c r="G326" s="331">
        <v>30</v>
      </c>
      <c r="H326" s="271">
        <f t="shared" si="51"/>
        <v>90</v>
      </c>
      <c r="I326" s="269">
        <f t="shared" si="52"/>
        <v>74.25</v>
      </c>
      <c r="J326" s="428"/>
      <c r="K326" s="501"/>
      <c r="L326" s="272"/>
      <c r="M326" s="271"/>
      <c r="N326" s="271"/>
      <c r="O326" s="271"/>
      <c r="P326" s="271"/>
      <c r="Q326" s="271"/>
    </row>
    <row r="327" spans="1:17" s="3" customFormat="1" ht="25" customHeight="1" x14ac:dyDescent="0.25">
      <c r="A327" s="486" t="s">
        <v>229</v>
      </c>
      <c r="B327" s="509" t="s">
        <v>461</v>
      </c>
      <c r="C327" s="331">
        <v>3</v>
      </c>
      <c r="D327" s="331">
        <v>1</v>
      </c>
      <c r="E327" s="331">
        <v>1</v>
      </c>
      <c r="F327" s="254">
        <f t="shared" si="50"/>
        <v>74.25</v>
      </c>
      <c r="G327" s="331">
        <v>30</v>
      </c>
      <c r="H327" s="271">
        <f t="shared" si="51"/>
        <v>90</v>
      </c>
      <c r="I327" s="269">
        <f t="shared" si="52"/>
        <v>74.25</v>
      </c>
      <c r="J327" s="428"/>
      <c r="K327" s="501"/>
      <c r="L327" s="272"/>
      <c r="M327" s="271"/>
      <c r="N327" s="271"/>
      <c r="O327" s="271"/>
      <c r="P327" s="271"/>
      <c r="Q327" s="271"/>
    </row>
    <row r="328" spans="1:17" s="3" customFormat="1" ht="25" customHeight="1" x14ac:dyDescent="0.25">
      <c r="A328" s="486" t="s">
        <v>230</v>
      </c>
      <c r="B328" s="510" t="s">
        <v>462</v>
      </c>
      <c r="C328" s="331">
        <v>3</v>
      </c>
      <c r="D328" s="331">
        <v>1</v>
      </c>
      <c r="E328" s="331">
        <v>6</v>
      </c>
      <c r="F328" s="254">
        <f t="shared" si="50"/>
        <v>445.5</v>
      </c>
      <c r="G328" s="331">
        <v>30</v>
      </c>
      <c r="H328" s="271">
        <f t="shared" si="51"/>
        <v>540</v>
      </c>
      <c r="I328" s="269">
        <f t="shared" si="52"/>
        <v>445.5</v>
      </c>
      <c r="J328" s="428"/>
      <c r="K328" s="501"/>
      <c r="L328" s="272"/>
      <c r="M328" s="271"/>
      <c r="N328" s="271"/>
      <c r="O328" s="271"/>
      <c r="P328" s="271"/>
      <c r="Q328" s="271"/>
    </row>
    <row r="329" spans="1:17" s="3" customFormat="1" ht="25" customHeight="1" x14ac:dyDescent="0.25">
      <c r="A329" s="486" t="s">
        <v>231</v>
      </c>
      <c r="B329" s="510" t="s">
        <v>463</v>
      </c>
      <c r="C329" s="331">
        <v>3</v>
      </c>
      <c r="D329" s="331">
        <v>1</v>
      </c>
      <c r="E329" s="331">
        <v>6</v>
      </c>
      <c r="F329" s="254">
        <f t="shared" si="50"/>
        <v>445.5</v>
      </c>
      <c r="G329" s="331">
        <v>30</v>
      </c>
      <c r="H329" s="271">
        <f t="shared" si="51"/>
        <v>540</v>
      </c>
      <c r="I329" s="269">
        <f t="shared" si="52"/>
        <v>445.5</v>
      </c>
      <c r="J329" s="428"/>
      <c r="K329" s="499"/>
      <c r="L329" s="483"/>
      <c r="M329" s="554"/>
      <c r="N329" s="554"/>
      <c r="O329" s="554"/>
      <c r="P329" s="554"/>
      <c r="Q329" s="554"/>
    </row>
    <row r="330" spans="1:17" s="3" customFormat="1" ht="25" customHeight="1" x14ac:dyDescent="0.25">
      <c r="A330" s="486" t="s">
        <v>282</v>
      </c>
      <c r="B330" s="510" t="s">
        <v>464</v>
      </c>
      <c r="C330" s="331">
        <v>3</v>
      </c>
      <c r="D330" s="331">
        <v>1</v>
      </c>
      <c r="E330" s="331">
        <v>1</v>
      </c>
      <c r="F330" s="254">
        <f t="shared" si="50"/>
        <v>74.25</v>
      </c>
      <c r="G330" s="331">
        <v>30</v>
      </c>
      <c r="H330" s="271">
        <f t="shared" si="51"/>
        <v>90</v>
      </c>
      <c r="I330" s="269">
        <f t="shared" si="52"/>
        <v>74.25</v>
      </c>
      <c r="J330" s="428"/>
      <c r="K330" s="507"/>
      <c r="L330" s="479"/>
      <c r="M330" s="554"/>
      <c r="N330" s="554"/>
      <c r="O330" s="554"/>
      <c r="P330" s="554"/>
      <c r="Q330" s="554"/>
    </row>
    <row r="331" spans="1:17" s="3" customFormat="1" ht="25" customHeight="1" x14ac:dyDescent="0.25">
      <c r="A331" s="486" t="s">
        <v>283</v>
      </c>
      <c r="B331" s="510" t="s">
        <v>465</v>
      </c>
      <c r="C331" s="331">
        <v>3</v>
      </c>
      <c r="D331" s="331">
        <v>1</v>
      </c>
      <c r="E331" s="331">
        <v>1</v>
      </c>
      <c r="F331" s="254">
        <f t="shared" si="50"/>
        <v>74.25</v>
      </c>
      <c r="G331" s="331">
        <v>30</v>
      </c>
      <c r="H331" s="271">
        <f t="shared" si="51"/>
        <v>90</v>
      </c>
      <c r="I331" s="269">
        <f t="shared" si="52"/>
        <v>74.25</v>
      </c>
      <c r="J331" s="428"/>
      <c r="K331" s="499"/>
      <c r="L331" s="479"/>
      <c r="M331" s="554"/>
      <c r="N331" s="554"/>
      <c r="O331" s="554"/>
      <c r="P331" s="554"/>
      <c r="Q331" s="554"/>
    </row>
    <row r="332" spans="1:17" s="3" customFormat="1" ht="25" customHeight="1" x14ac:dyDescent="0.25">
      <c r="A332" s="486" t="s">
        <v>284</v>
      </c>
      <c r="B332" s="510" t="s">
        <v>466</v>
      </c>
      <c r="C332" s="331">
        <v>3</v>
      </c>
      <c r="D332" s="331">
        <v>1</v>
      </c>
      <c r="E332" s="331">
        <v>6</v>
      </c>
      <c r="F332" s="254">
        <f t="shared" si="50"/>
        <v>445.5</v>
      </c>
      <c r="G332" s="331">
        <v>30</v>
      </c>
      <c r="H332" s="271">
        <f t="shared" si="51"/>
        <v>540</v>
      </c>
      <c r="I332" s="300"/>
      <c r="J332" s="429">
        <f>IF(G332&lt;70, C332*E332*16.5*1.5, C332*E332*16.5*1.5)</f>
        <v>445.5</v>
      </c>
      <c r="K332" s="507"/>
      <c r="L332" s="479"/>
      <c r="M332" s="554"/>
      <c r="N332" s="554"/>
      <c r="O332" s="554"/>
      <c r="P332" s="554"/>
      <c r="Q332" s="554"/>
    </row>
    <row r="333" spans="1:17" s="3" customFormat="1" ht="25" customHeight="1" x14ac:dyDescent="0.25">
      <c r="A333" s="486" t="s">
        <v>285</v>
      </c>
      <c r="B333" s="510" t="s">
        <v>467</v>
      </c>
      <c r="C333" s="331">
        <v>3</v>
      </c>
      <c r="D333" s="331">
        <v>1</v>
      </c>
      <c r="E333" s="331">
        <v>6</v>
      </c>
      <c r="F333" s="254">
        <f t="shared" si="50"/>
        <v>445.5</v>
      </c>
      <c r="G333" s="331">
        <v>30</v>
      </c>
      <c r="H333" s="271">
        <f t="shared" si="51"/>
        <v>540</v>
      </c>
      <c r="I333" s="300"/>
      <c r="J333" s="429">
        <f>IF(G333&lt;70, C333*E333*16.5*1.5, C333*E333*16.5*1.5)</f>
        <v>445.5</v>
      </c>
      <c r="K333" s="507"/>
      <c r="L333" s="479"/>
      <c r="M333" s="554"/>
      <c r="N333" s="554"/>
      <c r="O333" s="554"/>
      <c r="P333" s="554"/>
      <c r="Q333" s="554"/>
    </row>
    <row r="334" spans="1:17" s="36" customFormat="1" ht="25" customHeight="1" x14ac:dyDescent="0.25">
      <c r="A334" s="486" t="s">
        <v>286</v>
      </c>
      <c r="B334" s="510" t="s">
        <v>468</v>
      </c>
      <c r="C334" s="331">
        <v>3</v>
      </c>
      <c r="D334" s="331">
        <v>1</v>
      </c>
      <c r="E334" s="331">
        <v>1</v>
      </c>
      <c r="F334" s="254">
        <f t="shared" si="50"/>
        <v>74.25</v>
      </c>
      <c r="G334" s="331">
        <v>30</v>
      </c>
      <c r="H334" s="271">
        <f t="shared" si="51"/>
        <v>90</v>
      </c>
      <c r="I334" s="555"/>
      <c r="J334" s="429">
        <f>IF(G334&lt;70, C334*E334*16.5*1.5, C334*E334*16.5*1.5)</f>
        <v>74.25</v>
      </c>
      <c r="K334" s="501"/>
      <c r="L334" s="277"/>
      <c r="M334" s="554"/>
      <c r="N334" s="554"/>
      <c r="O334" s="554"/>
      <c r="P334" s="554"/>
      <c r="Q334" s="554"/>
    </row>
    <row r="335" spans="1:17" s="36" customFormat="1" ht="25" customHeight="1" x14ac:dyDescent="0.25">
      <c r="A335" s="486" t="s">
        <v>289</v>
      </c>
      <c r="B335" s="510" t="s">
        <v>469</v>
      </c>
      <c r="C335" s="331">
        <v>3</v>
      </c>
      <c r="D335" s="331">
        <v>1</v>
      </c>
      <c r="E335" s="331">
        <v>1</v>
      </c>
      <c r="F335" s="254">
        <f t="shared" si="50"/>
        <v>74.25</v>
      </c>
      <c r="G335" s="331">
        <v>30</v>
      </c>
      <c r="H335" s="271">
        <f t="shared" si="51"/>
        <v>90</v>
      </c>
      <c r="I335" s="555"/>
      <c r="J335" s="429">
        <f>IF(G335&lt;70, C335*E335*16.5*1.5, C335*E335*16.5*1.5)</f>
        <v>74.25</v>
      </c>
      <c r="K335" s="501"/>
      <c r="L335" s="277"/>
      <c r="M335" s="554"/>
      <c r="N335" s="554"/>
      <c r="O335" s="554"/>
      <c r="P335" s="554"/>
      <c r="Q335" s="554"/>
    </row>
    <row r="336" spans="1:17" s="36" customFormat="1" ht="25" customHeight="1" x14ac:dyDescent="0.3">
      <c r="A336" s="486" t="s">
        <v>290</v>
      </c>
      <c r="B336" s="510" t="s">
        <v>463</v>
      </c>
      <c r="C336" s="331">
        <v>3</v>
      </c>
      <c r="D336" s="331">
        <v>1</v>
      </c>
      <c r="E336" s="331">
        <v>1</v>
      </c>
      <c r="F336" s="254">
        <f t="shared" si="50"/>
        <v>74.25</v>
      </c>
      <c r="G336" s="331">
        <v>30</v>
      </c>
      <c r="H336" s="271">
        <f t="shared" si="51"/>
        <v>90</v>
      </c>
      <c r="I336" s="270"/>
      <c r="J336" s="429">
        <f>IF(G336&lt;70, C336*E336*16.5*1.5, C336*E336*16.5*1.5)</f>
        <v>74.25</v>
      </c>
      <c r="K336" s="448"/>
      <c r="L336" s="556"/>
      <c r="M336" s="557"/>
      <c r="N336" s="557"/>
      <c r="O336" s="557"/>
      <c r="P336" s="557"/>
      <c r="Q336" s="557"/>
    </row>
    <row r="337" spans="1:17" s="36" customFormat="1" ht="25" customHeight="1" x14ac:dyDescent="0.3">
      <c r="A337" s="499" t="s">
        <v>148</v>
      </c>
      <c r="B337" s="500" t="s">
        <v>507</v>
      </c>
      <c r="C337" s="331"/>
      <c r="D337" s="331"/>
      <c r="E337" s="331"/>
      <c r="F337" s="271"/>
      <c r="G337" s="331"/>
      <c r="H337" s="271"/>
      <c r="I337" s="270"/>
      <c r="J337" s="428"/>
      <c r="K337" s="448"/>
      <c r="L337" s="556"/>
      <c r="M337" s="557"/>
      <c r="N337" s="557"/>
      <c r="O337" s="557"/>
      <c r="P337" s="557"/>
      <c r="Q337" s="557"/>
    </row>
    <row r="338" spans="1:17" s="36" customFormat="1" ht="25" customHeight="1" x14ac:dyDescent="0.3">
      <c r="A338" s="501" t="s">
        <v>512</v>
      </c>
      <c r="B338" s="486" t="s">
        <v>471</v>
      </c>
      <c r="C338" s="331">
        <v>15</v>
      </c>
      <c r="D338" s="331">
        <v>1</v>
      </c>
      <c r="E338" s="331">
        <v>1</v>
      </c>
      <c r="F338" s="254">
        <f>I338+J338+K338</f>
        <v>175</v>
      </c>
      <c r="G338" s="331">
        <v>5</v>
      </c>
      <c r="H338" s="271">
        <f>C338*G338</f>
        <v>75</v>
      </c>
      <c r="I338" s="269">
        <f>G338*35</f>
        <v>175</v>
      </c>
      <c r="J338" s="428"/>
      <c r="K338" s="448"/>
      <c r="L338" s="558"/>
      <c r="M338" s="558"/>
      <c r="N338" s="558"/>
      <c r="O338" s="558"/>
      <c r="P338" s="558"/>
      <c r="Q338" s="558"/>
    </row>
    <row r="339" spans="1:17" s="36" customFormat="1" ht="25" customHeight="1" x14ac:dyDescent="0.3">
      <c r="A339" s="501" t="s">
        <v>513</v>
      </c>
      <c r="B339" s="486" t="s">
        <v>666</v>
      </c>
      <c r="C339" s="331">
        <v>15</v>
      </c>
      <c r="D339" s="331">
        <v>1</v>
      </c>
      <c r="E339" s="331">
        <v>1</v>
      </c>
      <c r="F339" s="254">
        <f t="shared" ref="F339:F351" si="53">I339+J339+K339</f>
        <v>245</v>
      </c>
      <c r="G339" s="331">
        <v>7</v>
      </c>
      <c r="H339" s="271">
        <f t="shared" ref="H339:H350" si="54">C339*G339</f>
        <v>105</v>
      </c>
      <c r="I339" s="269"/>
      <c r="J339" s="429">
        <v>245</v>
      </c>
      <c r="K339" s="448"/>
      <c r="L339" s="557"/>
      <c r="M339" s="557"/>
      <c r="N339" s="557"/>
      <c r="O339" s="557"/>
      <c r="P339" s="557"/>
      <c r="Q339" s="557"/>
    </row>
    <row r="340" spans="1:17" s="36" customFormat="1" ht="25" customHeight="1" x14ac:dyDescent="0.3">
      <c r="A340" s="501" t="s">
        <v>514</v>
      </c>
      <c r="B340" s="486" t="s">
        <v>472</v>
      </c>
      <c r="C340" s="331">
        <v>15</v>
      </c>
      <c r="D340" s="331">
        <v>1</v>
      </c>
      <c r="E340" s="331">
        <v>1</v>
      </c>
      <c r="F340" s="254">
        <f t="shared" si="53"/>
        <v>175</v>
      </c>
      <c r="G340" s="331">
        <v>5</v>
      </c>
      <c r="H340" s="271">
        <f t="shared" si="54"/>
        <v>75</v>
      </c>
      <c r="I340" s="269">
        <f>G340*35</f>
        <v>175</v>
      </c>
      <c r="J340" s="429"/>
      <c r="K340" s="448"/>
      <c r="L340" s="559"/>
      <c r="M340" s="559"/>
      <c r="N340" s="559"/>
      <c r="O340" s="559"/>
      <c r="P340" s="559"/>
      <c r="Q340" s="559"/>
    </row>
    <row r="341" spans="1:17" s="36" customFormat="1" ht="25" customHeight="1" x14ac:dyDescent="0.3">
      <c r="A341" s="501" t="s">
        <v>515</v>
      </c>
      <c r="B341" s="486" t="s">
        <v>473</v>
      </c>
      <c r="C341" s="331">
        <v>15</v>
      </c>
      <c r="D341" s="331">
        <v>1</v>
      </c>
      <c r="E341" s="331">
        <v>1</v>
      </c>
      <c r="F341" s="254">
        <f t="shared" si="53"/>
        <v>175</v>
      </c>
      <c r="G341" s="331">
        <v>5</v>
      </c>
      <c r="H341" s="271">
        <f t="shared" si="54"/>
        <v>75</v>
      </c>
      <c r="I341" s="270"/>
      <c r="J341" s="429">
        <f>G341*35</f>
        <v>175</v>
      </c>
      <c r="K341" s="448"/>
      <c r="L341" s="556"/>
      <c r="M341" s="1484"/>
      <c r="N341" s="1484"/>
      <c r="O341" s="1484"/>
      <c r="P341" s="1484"/>
      <c r="Q341" s="1484"/>
    </row>
    <row r="342" spans="1:17" s="36" customFormat="1" ht="25" customHeight="1" x14ac:dyDescent="0.3">
      <c r="A342" s="501" t="s">
        <v>516</v>
      </c>
      <c r="B342" s="486" t="s">
        <v>474</v>
      </c>
      <c r="C342" s="331">
        <v>15</v>
      </c>
      <c r="D342" s="331">
        <v>1</v>
      </c>
      <c r="E342" s="331">
        <v>1</v>
      </c>
      <c r="F342" s="254">
        <f t="shared" si="53"/>
        <v>175</v>
      </c>
      <c r="G342" s="331">
        <v>5</v>
      </c>
      <c r="H342" s="271">
        <f t="shared" si="54"/>
        <v>75</v>
      </c>
      <c r="I342" s="270"/>
      <c r="J342" s="429">
        <f>G342*35</f>
        <v>175</v>
      </c>
      <c r="K342" s="448"/>
      <c r="L342" s="556"/>
      <c r="M342" s="557"/>
      <c r="N342" s="557"/>
      <c r="O342" s="557"/>
      <c r="P342" s="557"/>
      <c r="Q342" s="557"/>
    </row>
    <row r="343" spans="1:17" ht="25" customHeight="1" x14ac:dyDescent="0.3">
      <c r="A343" s="501" t="s">
        <v>517</v>
      </c>
      <c r="B343" s="486" t="s">
        <v>508</v>
      </c>
      <c r="C343" s="331">
        <v>15</v>
      </c>
      <c r="D343" s="331">
        <v>1</v>
      </c>
      <c r="E343" s="331">
        <v>1</v>
      </c>
      <c r="F343" s="254">
        <f t="shared" si="53"/>
        <v>175</v>
      </c>
      <c r="G343" s="331">
        <v>5</v>
      </c>
      <c r="H343" s="271">
        <f t="shared" si="54"/>
        <v>75</v>
      </c>
      <c r="I343" s="269">
        <f t="shared" ref="I343:I350" si="55">G343*35</f>
        <v>175</v>
      </c>
      <c r="J343" s="560"/>
      <c r="K343" s="448"/>
      <c r="L343" s="556"/>
      <c r="M343" s="557"/>
      <c r="N343" s="557"/>
      <c r="O343" s="557"/>
      <c r="P343" s="557"/>
      <c r="Q343" s="557"/>
    </row>
    <row r="344" spans="1:17" ht="25" customHeight="1" x14ac:dyDescent="0.3">
      <c r="A344" s="501" t="s">
        <v>518</v>
      </c>
      <c r="B344" s="486" t="s">
        <v>509</v>
      </c>
      <c r="C344" s="331">
        <v>15</v>
      </c>
      <c r="D344" s="331">
        <v>1</v>
      </c>
      <c r="E344" s="331">
        <v>1</v>
      </c>
      <c r="F344" s="254">
        <f t="shared" si="53"/>
        <v>175</v>
      </c>
      <c r="G344" s="331">
        <v>5</v>
      </c>
      <c r="H344" s="271">
        <f t="shared" si="54"/>
        <v>75</v>
      </c>
      <c r="I344" s="269">
        <f t="shared" si="55"/>
        <v>175</v>
      </c>
      <c r="J344" s="560"/>
      <c r="K344" s="448"/>
      <c r="L344" s="556"/>
      <c r="M344" s="561"/>
      <c r="N344" s="561"/>
      <c r="O344" s="561"/>
      <c r="P344" s="561"/>
      <c r="Q344" s="561"/>
    </row>
    <row r="345" spans="1:17" ht="25" customHeight="1" x14ac:dyDescent="0.3">
      <c r="A345" s="501" t="s">
        <v>519</v>
      </c>
      <c r="B345" s="486" t="s">
        <v>510</v>
      </c>
      <c r="C345" s="331">
        <v>15</v>
      </c>
      <c r="D345" s="331">
        <v>1</v>
      </c>
      <c r="E345" s="331">
        <v>1</v>
      </c>
      <c r="F345" s="254">
        <f t="shared" si="53"/>
        <v>175</v>
      </c>
      <c r="G345" s="331">
        <v>5</v>
      </c>
      <c r="H345" s="271">
        <f t="shared" si="54"/>
        <v>75</v>
      </c>
      <c r="I345" s="269">
        <f t="shared" si="55"/>
        <v>175</v>
      </c>
      <c r="J345" s="562"/>
      <c r="K345" s="448"/>
      <c r="L345" s="556"/>
      <c r="M345" s="561"/>
      <c r="N345" s="561"/>
      <c r="O345" s="561"/>
      <c r="P345" s="561"/>
      <c r="Q345" s="561"/>
    </row>
    <row r="346" spans="1:17" ht="25" customHeight="1" x14ac:dyDescent="0.3">
      <c r="A346" s="501" t="s">
        <v>520</v>
      </c>
      <c r="B346" s="486" t="s">
        <v>511</v>
      </c>
      <c r="C346" s="331">
        <v>15</v>
      </c>
      <c r="D346" s="331">
        <v>1</v>
      </c>
      <c r="E346" s="331">
        <v>1</v>
      </c>
      <c r="F346" s="254">
        <f t="shared" si="53"/>
        <v>175</v>
      </c>
      <c r="G346" s="331">
        <v>5</v>
      </c>
      <c r="H346" s="271">
        <f t="shared" si="54"/>
        <v>75</v>
      </c>
      <c r="I346" s="269">
        <f t="shared" si="55"/>
        <v>175</v>
      </c>
      <c r="J346" s="429"/>
      <c r="K346" s="448"/>
      <c r="L346" s="556"/>
      <c r="M346" s="561"/>
      <c r="N346" s="561"/>
      <c r="O346" s="561"/>
      <c r="P346" s="561"/>
      <c r="Q346" s="561"/>
    </row>
    <row r="347" spans="1:17" ht="25" customHeight="1" x14ac:dyDescent="0.3">
      <c r="A347" s="501" t="s">
        <v>521</v>
      </c>
      <c r="B347" s="486" t="s">
        <v>566</v>
      </c>
      <c r="C347" s="331">
        <v>15</v>
      </c>
      <c r="D347" s="331">
        <v>1</v>
      </c>
      <c r="E347" s="331">
        <v>1</v>
      </c>
      <c r="F347" s="254">
        <f t="shared" si="53"/>
        <v>175</v>
      </c>
      <c r="G347" s="331">
        <v>5</v>
      </c>
      <c r="H347" s="271">
        <f t="shared" si="54"/>
        <v>75</v>
      </c>
      <c r="I347" s="269">
        <f t="shared" si="55"/>
        <v>175</v>
      </c>
      <c r="J347" s="429"/>
      <c r="K347" s="448"/>
      <c r="L347" s="556"/>
      <c r="M347" s="561"/>
      <c r="N347" s="561"/>
      <c r="O347" s="561"/>
      <c r="P347" s="561"/>
      <c r="Q347" s="561"/>
    </row>
    <row r="348" spans="1:17" ht="25" customHeight="1" x14ac:dyDescent="0.3">
      <c r="A348" s="501" t="s">
        <v>667</v>
      </c>
      <c r="B348" s="486" t="s">
        <v>668</v>
      </c>
      <c r="C348" s="331">
        <v>15</v>
      </c>
      <c r="D348" s="331">
        <v>1</v>
      </c>
      <c r="E348" s="331">
        <v>1</v>
      </c>
      <c r="F348" s="254">
        <f t="shared" si="53"/>
        <v>175</v>
      </c>
      <c r="G348" s="331">
        <v>5</v>
      </c>
      <c r="H348" s="271">
        <f t="shared" si="54"/>
        <v>75</v>
      </c>
      <c r="I348" s="269">
        <f t="shared" si="55"/>
        <v>175</v>
      </c>
      <c r="J348" s="429"/>
      <c r="K348" s="448"/>
      <c r="L348" s="556"/>
      <c r="M348" s="561"/>
      <c r="N348" s="561"/>
      <c r="O348" s="561"/>
      <c r="P348" s="561"/>
      <c r="Q348" s="561"/>
    </row>
    <row r="349" spans="1:17" ht="25" customHeight="1" x14ac:dyDescent="0.3">
      <c r="A349" s="501" t="s">
        <v>669</v>
      </c>
      <c r="B349" s="486" t="s">
        <v>670</v>
      </c>
      <c r="C349" s="331">
        <v>15</v>
      </c>
      <c r="D349" s="331">
        <v>1</v>
      </c>
      <c r="E349" s="331">
        <v>1</v>
      </c>
      <c r="F349" s="254">
        <f t="shared" si="53"/>
        <v>140</v>
      </c>
      <c r="G349" s="331">
        <v>2</v>
      </c>
      <c r="H349" s="271">
        <f>C349*G349</f>
        <v>30</v>
      </c>
      <c r="I349" s="269">
        <f t="shared" si="55"/>
        <v>70</v>
      </c>
      <c r="J349" s="429">
        <f>G349*35</f>
        <v>70</v>
      </c>
      <c r="K349" s="448"/>
      <c r="L349" s="556"/>
      <c r="M349" s="561"/>
      <c r="N349" s="561"/>
      <c r="O349" s="561"/>
      <c r="P349" s="561"/>
      <c r="Q349" s="561"/>
    </row>
    <row r="350" spans="1:17" ht="25" customHeight="1" x14ac:dyDescent="0.3">
      <c r="A350" s="501" t="s">
        <v>671</v>
      </c>
      <c r="B350" s="486" t="s">
        <v>672</v>
      </c>
      <c r="C350" s="331">
        <v>15</v>
      </c>
      <c r="D350" s="331">
        <v>1</v>
      </c>
      <c r="E350" s="331">
        <v>1</v>
      </c>
      <c r="F350" s="254">
        <f t="shared" si="53"/>
        <v>140</v>
      </c>
      <c r="G350" s="331">
        <v>2</v>
      </c>
      <c r="H350" s="271">
        <f t="shared" si="54"/>
        <v>30</v>
      </c>
      <c r="I350" s="269">
        <f t="shared" si="55"/>
        <v>70</v>
      </c>
      <c r="J350" s="429">
        <f>G350*35</f>
        <v>70</v>
      </c>
      <c r="K350" s="448"/>
      <c r="L350" s="556"/>
      <c r="M350" s="563"/>
      <c r="N350" s="563"/>
      <c r="O350" s="563"/>
      <c r="P350" s="563"/>
      <c r="Q350" s="563"/>
    </row>
    <row r="351" spans="1:17" ht="25" customHeight="1" x14ac:dyDescent="0.3">
      <c r="A351" s="539"/>
      <c r="B351" s="564" t="s">
        <v>673</v>
      </c>
      <c r="C351" s="331">
        <v>15</v>
      </c>
      <c r="D351" s="331">
        <v>1</v>
      </c>
      <c r="E351" s="331">
        <v>1</v>
      </c>
      <c r="F351" s="254">
        <f t="shared" si="53"/>
        <v>2030</v>
      </c>
      <c r="G351" s="331">
        <v>58</v>
      </c>
      <c r="H351" s="271">
        <f>C351*G351</f>
        <v>870</v>
      </c>
      <c r="I351" s="269"/>
      <c r="J351" s="429"/>
      <c r="K351" s="429">
        <f>G351*35</f>
        <v>2030</v>
      </c>
      <c r="L351" s="556"/>
      <c r="M351" s="557"/>
      <c r="N351" s="557"/>
      <c r="O351" s="557"/>
      <c r="P351" s="557"/>
      <c r="Q351" s="557"/>
    </row>
    <row r="352" spans="1:17" ht="25" customHeight="1" x14ac:dyDescent="0.3">
      <c r="A352" s="502"/>
      <c r="B352" s="503" t="s">
        <v>380</v>
      </c>
      <c r="C352" s="504">
        <f>SUM(C324:C351)</f>
        <v>249</v>
      </c>
      <c r="D352" s="504">
        <f t="shared" ref="D352:K352" si="56">SUM(D324:D351)</f>
        <v>27</v>
      </c>
      <c r="E352" s="504">
        <f t="shared" si="56"/>
        <v>57</v>
      </c>
      <c r="F352" s="504">
        <f t="shared" si="56"/>
        <v>7497.75</v>
      </c>
      <c r="G352" s="504">
        <f t="shared" si="56"/>
        <v>509</v>
      </c>
      <c r="H352" s="504">
        <f t="shared" si="56"/>
        <v>5655</v>
      </c>
      <c r="I352" s="504">
        <f t="shared" si="56"/>
        <v>3619</v>
      </c>
      <c r="J352" s="504">
        <f t="shared" si="56"/>
        <v>1848.75</v>
      </c>
      <c r="K352" s="504">
        <f t="shared" si="56"/>
        <v>2030</v>
      </c>
      <c r="L352" s="556"/>
      <c r="M352" s="557"/>
      <c r="N352" s="557"/>
      <c r="O352" s="557"/>
      <c r="P352" s="557"/>
      <c r="Q352" s="557"/>
    </row>
    <row r="353" spans="1:17" ht="25" customHeight="1" x14ac:dyDescent="0.3">
      <c r="A353" s="507">
        <v>3</v>
      </c>
      <c r="B353" s="507" t="s">
        <v>166</v>
      </c>
      <c r="C353" s="331"/>
      <c r="D353" s="331"/>
      <c r="E353" s="331"/>
      <c r="F353" s="254"/>
      <c r="G353" s="331"/>
      <c r="H353" s="271"/>
      <c r="I353" s="269"/>
      <c r="J353" s="428"/>
      <c r="K353" s="448"/>
      <c r="L353" s="556"/>
      <c r="M353" s="557"/>
      <c r="N353" s="557"/>
      <c r="O353" s="557"/>
      <c r="P353" s="557"/>
      <c r="Q353" s="557"/>
    </row>
    <row r="354" spans="1:17" ht="25" customHeight="1" x14ac:dyDescent="0.3">
      <c r="A354" s="444" t="s">
        <v>147</v>
      </c>
      <c r="B354" s="508" t="s">
        <v>167</v>
      </c>
      <c r="C354" s="331"/>
      <c r="D354" s="331"/>
      <c r="E354" s="331"/>
      <c r="F354" s="254"/>
      <c r="G354" s="331"/>
      <c r="H354" s="271"/>
      <c r="I354" s="269"/>
      <c r="J354" s="428"/>
      <c r="K354" s="448"/>
      <c r="L354" s="556"/>
      <c r="M354" s="557"/>
      <c r="N354" s="557"/>
      <c r="O354" s="557"/>
      <c r="P354" s="557"/>
      <c r="Q354" s="557"/>
    </row>
    <row r="355" spans="1:17" ht="25" customHeight="1" x14ac:dyDescent="0.3">
      <c r="A355" s="486" t="s">
        <v>226</v>
      </c>
      <c r="B355" s="509" t="s">
        <v>475</v>
      </c>
      <c r="C355" s="331">
        <v>3</v>
      </c>
      <c r="D355" s="331">
        <v>1</v>
      </c>
      <c r="E355" s="331">
        <v>1</v>
      </c>
      <c r="F355" s="271">
        <f>I355+J355+K355</f>
        <v>99</v>
      </c>
      <c r="G355" s="331">
        <v>11</v>
      </c>
      <c r="H355" s="271">
        <f>C355*E355*G355</f>
        <v>33</v>
      </c>
      <c r="I355" s="269">
        <f>IF(G355&lt;70, C355*E355*16.5*2, C355*E355*16.5*2)</f>
        <v>99</v>
      </c>
      <c r="J355" s="428"/>
      <c r="K355" s="448"/>
      <c r="L355" s="556"/>
      <c r="M355" s="557"/>
      <c r="N355" s="557"/>
      <c r="O355" s="557"/>
      <c r="P355" s="557"/>
      <c r="Q355" s="557"/>
    </row>
    <row r="356" spans="1:17" ht="25" customHeight="1" x14ac:dyDescent="0.3">
      <c r="A356" s="486" t="s">
        <v>227</v>
      </c>
      <c r="B356" s="509" t="s">
        <v>476</v>
      </c>
      <c r="C356" s="331">
        <v>3</v>
      </c>
      <c r="D356" s="331">
        <v>1</v>
      </c>
      <c r="E356" s="331">
        <v>1</v>
      </c>
      <c r="F356" s="271">
        <f>I356+J356+K356</f>
        <v>99</v>
      </c>
      <c r="G356" s="331">
        <v>11</v>
      </c>
      <c r="H356" s="271">
        <f>C356*E356*G356</f>
        <v>33</v>
      </c>
      <c r="I356" s="269">
        <f>IF(G356&lt;70, C356*E356*16.5*2, C356*E356*16.5*2)</f>
        <v>99</v>
      </c>
      <c r="J356" s="428"/>
      <c r="K356" s="448"/>
      <c r="L356" s="556"/>
      <c r="M356" s="557"/>
      <c r="N356" s="557"/>
      <c r="O356" s="557"/>
      <c r="P356" s="557"/>
      <c r="Q356" s="557"/>
    </row>
    <row r="357" spans="1:17" ht="25" customHeight="1" x14ac:dyDescent="0.3">
      <c r="A357" s="501" t="s">
        <v>477</v>
      </c>
      <c r="B357" s="486" t="s">
        <v>478</v>
      </c>
      <c r="C357" s="331">
        <v>3</v>
      </c>
      <c r="D357" s="331">
        <v>1</v>
      </c>
      <c r="E357" s="331">
        <v>1</v>
      </c>
      <c r="F357" s="271">
        <f>I357+J357+K357</f>
        <v>99</v>
      </c>
      <c r="G357" s="331">
        <v>11</v>
      </c>
      <c r="H357" s="271">
        <f>C357*E357*G357</f>
        <v>33</v>
      </c>
      <c r="I357" s="269">
        <f>IF(G357&lt;70, C357*E357*16.5*2, C357*E357*16.5*2)</f>
        <v>99</v>
      </c>
      <c r="J357" s="428"/>
      <c r="K357" s="448"/>
      <c r="L357" s="556"/>
      <c r="M357" s="557"/>
      <c r="N357" s="557"/>
      <c r="O357" s="557"/>
      <c r="P357" s="557"/>
      <c r="Q357" s="557"/>
    </row>
    <row r="358" spans="1:17" ht="25" customHeight="1" x14ac:dyDescent="0.3">
      <c r="A358" s="499" t="s">
        <v>148</v>
      </c>
      <c r="B358" s="500" t="s">
        <v>168</v>
      </c>
      <c r="C358" s="331"/>
      <c r="D358" s="331"/>
      <c r="E358" s="331"/>
      <c r="F358" s="254"/>
      <c r="G358" s="331"/>
      <c r="H358" s="271"/>
      <c r="I358" s="270"/>
      <c r="J358" s="428"/>
      <c r="K358" s="448"/>
      <c r="L358" s="556"/>
      <c r="M358" s="557"/>
      <c r="N358" s="557"/>
      <c r="O358" s="557"/>
      <c r="P358" s="557"/>
      <c r="Q358" s="557"/>
    </row>
    <row r="359" spans="1:17" ht="25" customHeight="1" x14ac:dyDescent="0.3">
      <c r="A359" s="499"/>
      <c r="B359" s="500" t="s">
        <v>674</v>
      </c>
      <c r="C359" s="331"/>
      <c r="D359" s="331"/>
      <c r="E359" s="331"/>
      <c r="F359" s="271">
        <f>I359+J359+K359</f>
        <v>1440</v>
      </c>
      <c r="G359" s="331"/>
      <c r="H359" s="271"/>
      <c r="I359" s="270">
        <v>1440</v>
      </c>
      <c r="J359" s="428"/>
      <c r="K359" s="448"/>
      <c r="L359" s="556"/>
      <c r="M359" s="557"/>
      <c r="N359" s="557"/>
      <c r="O359" s="557"/>
      <c r="P359" s="557"/>
      <c r="Q359" s="557" t="s">
        <v>707</v>
      </c>
    </row>
    <row r="360" spans="1:17" ht="25" customHeight="1" x14ac:dyDescent="0.3">
      <c r="A360" s="499"/>
      <c r="B360" s="500" t="s">
        <v>675</v>
      </c>
      <c r="C360" s="331"/>
      <c r="D360" s="331"/>
      <c r="E360" s="331"/>
      <c r="F360" s="271"/>
      <c r="G360" s="331"/>
      <c r="H360" s="271"/>
      <c r="I360" s="270"/>
      <c r="J360" s="428"/>
      <c r="K360" s="448"/>
      <c r="L360" s="556"/>
      <c r="M360" s="557"/>
      <c r="N360" s="557"/>
      <c r="O360" s="557"/>
      <c r="P360" s="557"/>
      <c r="Q360" s="557"/>
    </row>
    <row r="361" spans="1:17" ht="25" customHeight="1" x14ac:dyDescent="0.3">
      <c r="A361" s="499"/>
      <c r="B361" s="500" t="s">
        <v>479</v>
      </c>
      <c r="C361" s="331"/>
      <c r="D361" s="331"/>
      <c r="E361" s="331"/>
      <c r="F361" s="271"/>
      <c r="G361" s="331"/>
      <c r="H361" s="271"/>
      <c r="I361" s="270"/>
      <c r="J361" s="428"/>
      <c r="K361" s="448"/>
      <c r="L361" s="556"/>
      <c r="M361" s="557"/>
      <c r="N361" s="557"/>
      <c r="O361" s="557"/>
      <c r="P361" s="557"/>
      <c r="Q361" s="557"/>
    </row>
    <row r="362" spans="1:17" ht="25" customHeight="1" x14ac:dyDescent="0.3">
      <c r="A362" s="501"/>
      <c r="B362" s="486" t="s">
        <v>480</v>
      </c>
      <c r="C362" s="331"/>
      <c r="D362" s="331"/>
      <c r="E362" s="331"/>
      <c r="F362" s="254"/>
      <c r="G362" s="331"/>
      <c r="H362" s="271"/>
      <c r="I362" s="270"/>
      <c r="J362" s="428"/>
      <c r="K362" s="448"/>
      <c r="L362" s="556"/>
      <c r="M362" s="557"/>
      <c r="N362" s="557"/>
      <c r="O362" s="557"/>
      <c r="P362" s="557"/>
      <c r="Q362" s="557"/>
    </row>
    <row r="363" spans="1:17" ht="25" customHeight="1" x14ac:dyDescent="0.3">
      <c r="A363" s="499" t="s">
        <v>169</v>
      </c>
      <c r="B363" s="500" t="s">
        <v>170</v>
      </c>
      <c r="C363" s="331"/>
      <c r="D363" s="331"/>
      <c r="E363" s="331"/>
      <c r="F363" s="254"/>
      <c r="G363" s="331"/>
      <c r="H363" s="271"/>
      <c r="I363" s="270"/>
      <c r="J363" s="428"/>
      <c r="K363" s="448"/>
      <c r="L363" s="556"/>
      <c r="M363" s="557"/>
      <c r="N363" s="557"/>
      <c r="O363" s="557"/>
      <c r="P363" s="557"/>
      <c r="Q363" s="557"/>
    </row>
    <row r="364" spans="1:17" ht="25" customHeight="1" x14ac:dyDescent="0.3">
      <c r="A364" s="501"/>
      <c r="B364" s="486" t="s">
        <v>708</v>
      </c>
      <c r="C364" s="331"/>
      <c r="D364" s="331"/>
      <c r="E364" s="331"/>
      <c r="F364" s="271">
        <f>I364+J364+K364</f>
        <v>1000</v>
      </c>
      <c r="G364" s="331"/>
      <c r="H364" s="279"/>
      <c r="I364" s="279">
        <v>1000</v>
      </c>
      <c r="J364" s="428"/>
      <c r="K364" s="448"/>
      <c r="L364" s="556"/>
      <c r="M364" s="557"/>
      <c r="N364" s="557"/>
      <c r="O364" s="557"/>
      <c r="P364" s="557"/>
      <c r="Q364" s="557"/>
    </row>
    <row r="365" spans="1:17" ht="25" customHeight="1" x14ac:dyDescent="0.3">
      <c r="A365" s="501"/>
      <c r="B365" s="486" t="s">
        <v>481</v>
      </c>
      <c r="C365" s="331"/>
      <c r="D365" s="331"/>
      <c r="E365" s="331"/>
      <c r="F365" s="271">
        <f>I365+J365+K365</f>
        <v>0</v>
      </c>
      <c r="G365" s="331"/>
      <c r="H365" s="271"/>
      <c r="I365" s="270"/>
      <c r="J365" s="428"/>
      <c r="K365" s="448"/>
      <c r="L365" s="556"/>
      <c r="M365" s="557"/>
      <c r="N365" s="557"/>
      <c r="O365" s="557"/>
      <c r="P365" s="557"/>
      <c r="Q365" s="557"/>
    </row>
    <row r="366" spans="1:17" ht="25" customHeight="1" x14ac:dyDescent="0.3">
      <c r="A366" s="501"/>
      <c r="B366" s="486" t="s">
        <v>480</v>
      </c>
      <c r="C366" s="331"/>
      <c r="D366" s="331"/>
      <c r="E366" s="331"/>
      <c r="F366" s="271">
        <f>I366+J366+K366</f>
        <v>550</v>
      </c>
      <c r="G366" s="331"/>
      <c r="H366" s="271"/>
      <c r="I366" s="270"/>
      <c r="J366" s="428">
        <v>550</v>
      </c>
      <c r="K366" s="448"/>
      <c r="L366" s="556"/>
      <c r="M366" s="557"/>
      <c r="N366" s="557"/>
      <c r="O366" s="557"/>
      <c r="P366" s="557"/>
      <c r="Q366" s="557"/>
    </row>
    <row r="367" spans="1:17" ht="25" customHeight="1" x14ac:dyDescent="0.3">
      <c r="A367" s="502"/>
      <c r="B367" s="503" t="s">
        <v>380</v>
      </c>
      <c r="C367" s="504">
        <f>SUM(C355:C366)</f>
        <v>9</v>
      </c>
      <c r="D367" s="504">
        <f t="shared" ref="D367:K367" si="57">SUM(D355:D366)</f>
        <v>3</v>
      </c>
      <c r="E367" s="504">
        <f t="shared" si="57"/>
        <v>3</v>
      </c>
      <c r="F367" s="504">
        <f>SUM(F355:F366)</f>
        <v>3287</v>
      </c>
      <c r="G367" s="504">
        <f t="shared" si="57"/>
        <v>33</v>
      </c>
      <c r="H367" s="504">
        <f t="shared" si="57"/>
        <v>99</v>
      </c>
      <c r="I367" s="504">
        <f t="shared" si="57"/>
        <v>2737</v>
      </c>
      <c r="J367" s="504">
        <f t="shared" si="57"/>
        <v>550</v>
      </c>
      <c r="K367" s="504">
        <f t="shared" si="57"/>
        <v>0</v>
      </c>
      <c r="L367" s="556"/>
      <c r="M367" s="557"/>
      <c r="N367" s="557"/>
      <c r="O367" s="557"/>
      <c r="P367" s="557"/>
      <c r="Q367" s="557"/>
    </row>
    <row r="368" spans="1:17" ht="25" customHeight="1" x14ac:dyDescent="0.3">
      <c r="A368" s="531" t="s">
        <v>502</v>
      </c>
      <c r="B368" s="531" t="s">
        <v>503</v>
      </c>
      <c r="C368" s="331"/>
      <c r="D368" s="331"/>
      <c r="E368" s="331"/>
      <c r="F368" s="254"/>
      <c r="G368" s="331"/>
      <c r="H368" s="271"/>
      <c r="I368" s="269"/>
      <c r="J368" s="428"/>
      <c r="K368" s="448"/>
      <c r="L368" s="556"/>
      <c r="M368" s="557"/>
      <c r="N368" s="557"/>
      <c r="O368" s="557"/>
      <c r="P368" s="557"/>
      <c r="Q368" s="557"/>
    </row>
    <row r="369" spans="1:17" ht="25" customHeight="1" x14ac:dyDescent="0.3">
      <c r="A369" s="531">
        <v>1</v>
      </c>
      <c r="B369" s="508" t="s">
        <v>225</v>
      </c>
      <c r="C369" s="331"/>
      <c r="D369" s="331"/>
      <c r="E369" s="331"/>
      <c r="F369" s="254"/>
      <c r="G369" s="331"/>
      <c r="H369" s="271"/>
      <c r="I369" s="269"/>
      <c r="J369" s="428"/>
      <c r="K369" s="448"/>
      <c r="L369" s="556"/>
      <c r="M369" s="557"/>
      <c r="N369" s="557"/>
      <c r="O369" s="557"/>
      <c r="P369" s="557"/>
      <c r="Q369" s="557"/>
    </row>
    <row r="370" spans="1:17" ht="25" customHeight="1" x14ac:dyDescent="0.3">
      <c r="A370" s="531" t="s">
        <v>381</v>
      </c>
      <c r="B370" s="508" t="s">
        <v>163</v>
      </c>
      <c r="C370" s="331"/>
      <c r="D370" s="331"/>
      <c r="E370" s="331"/>
      <c r="F370" s="271"/>
      <c r="G370" s="331"/>
      <c r="H370" s="279"/>
      <c r="I370" s="279"/>
      <c r="J370" s="428"/>
      <c r="K370" s="448"/>
      <c r="L370" s="556"/>
      <c r="M370" s="557"/>
      <c r="N370" s="557"/>
      <c r="O370" s="557"/>
      <c r="P370" s="557"/>
      <c r="Q370" s="557"/>
    </row>
    <row r="371" spans="1:17" s="568" customFormat="1" ht="25" customHeight="1" x14ac:dyDescent="0.3">
      <c r="A371" s="512" t="s">
        <v>226</v>
      </c>
      <c r="B371" s="565" t="s">
        <v>677</v>
      </c>
      <c r="C371" s="514">
        <v>2</v>
      </c>
      <c r="D371" s="514">
        <v>1</v>
      </c>
      <c r="E371" s="514">
        <v>5</v>
      </c>
      <c r="F371" s="542">
        <f>I371+J371+K371</f>
        <v>165</v>
      </c>
      <c r="G371" s="331">
        <v>40</v>
      </c>
      <c r="H371" s="271">
        <f>C371*E371*G371</f>
        <v>400</v>
      </c>
      <c r="I371" s="269">
        <f>IF(G371&lt;70, C371*E371*16.5*1, C371*E371*16.5*1.3)</f>
        <v>165</v>
      </c>
      <c r="J371" s="428"/>
      <c r="K371" s="448"/>
      <c r="L371" s="566"/>
      <c r="M371" s="567"/>
      <c r="N371" s="567"/>
      <c r="O371" s="567"/>
      <c r="P371" s="567"/>
      <c r="Q371" s="567"/>
    </row>
    <row r="372" spans="1:17" s="568" customFormat="1" ht="25" customHeight="1" x14ac:dyDescent="0.3">
      <c r="A372" s="512" t="s">
        <v>226</v>
      </c>
      <c r="B372" s="565" t="s">
        <v>678</v>
      </c>
      <c r="C372" s="514">
        <v>2</v>
      </c>
      <c r="D372" s="514">
        <v>1</v>
      </c>
      <c r="E372" s="514">
        <v>4</v>
      </c>
      <c r="F372" s="542">
        <f>I372+J372+K372</f>
        <v>132</v>
      </c>
      <c r="G372" s="331">
        <v>40</v>
      </c>
      <c r="H372" s="271">
        <f>C372*E372*G372</f>
        <v>320</v>
      </c>
      <c r="I372" s="269">
        <f>IF(G372&lt;70, C372*E372*16.5*1, C372*E372*16.5*1.3)</f>
        <v>132</v>
      </c>
      <c r="J372" s="428"/>
      <c r="K372" s="448"/>
      <c r="L372" s="569"/>
      <c r="M372" s="570"/>
      <c r="N372" s="570"/>
      <c r="O372" s="570"/>
      <c r="P372" s="570"/>
      <c r="Q372" s="570"/>
    </row>
    <row r="373" spans="1:17" s="568" customFormat="1" ht="25" customHeight="1" x14ac:dyDescent="0.3">
      <c r="A373" s="512" t="s">
        <v>227</v>
      </c>
      <c r="B373" s="565" t="s">
        <v>679</v>
      </c>
      <c r="C373" s="514">
        <v>2</v>
      </c>
      <c r="D373" s="514">
        <v>1</v>
      </c>
      <c r="E373" s="514">
        <v>4</v>
      </c>
      <c r="F373" s="542">
        <f>I373+J373+K373</f>
        <v>132</v>
      </c>
      <c r="G373" s="331">
        <v>40</v>
      </c>
      <c r="H373" s="271">
        <f>C373*E373*G373</f>
        <v>320</v>
      </c>
      <c r="I373" s="269">
        <f>IF(G373&lt;70, C373*E373*16.5*1, C373*E373*16.5*1.3)</f>
        <v>132</v>
      </c>
      <c r="J373" s="428"/>
      <c r="K373" s="448"/>
      <c r="L373" s="571"/>
      <c r="M373" s="571"/>
      <c r="N373" s="571"/>
      <c r="O373" s="571"/>
      <c r="P373" s="571"/>
      <c r="Q373" s="570"/>
    </row>
    <row r="374" spans="1:17" s="568" customFormat="1" ht="25" customHeight="1" x14ac:dyDescent="0.3">
      <c r="A374" s="502"/>
      <c r="B374" s="503" t="s">
        <v>380</v>
      </c>
      <c r="C374" s="504">
        <f>SUM(C371:C373)</f>
        <v>6</v>
      </c>
      <c r="D374" s="504">
        <f t="shared" ref="D374:K374" si="58">SUM(D371:D373)</f>
        <v>3</v>
      </c>
      <c r="E374" s="504">
        <f t="shared" si="58"/>
        <v>13</v>
      </c>
      <c r="F374" s="504">
        <f t="shared" si="58"/>
        <v>429</v>
      </c>
      <c r="G374" s="504">
        <f t="shared" si="58"/>
        <v>120</v>
      </c>
      <c r="H374" s="504">
        <f t="shared" si="58"/>
        <v>1040</v>
      </c>
      <c r="I374" s="504">
        <f t="shared" si="58"/>
        <v>429</v>
      </c>
      <c r="J374" s="504">
        <f t="shared" si="58"/>
        <v>0</v>
      </c>
      <c r="K374" s="504">
        <f t="shared" si="58"/>
        <v>0</v>
      </c>
      <c r="L374" s="572"/>
      <c r="M374" s="572"/>
      <c r="N374" s="572"/>
      <c r="O374" s="572"/>
      <c r="P374" s="572"/>
      <c r="Q374" s="570"/>
    </row>
    <row r="375" spans="1:17" s="568" customFormat="1" ht="25" customHeight="1" x14ac:dyDescent="0.3">
      <c r="A375" s="539"/>
      <c r="B375" s="540" t="s">
        <v>482</v>
      </c>
      <c r="C375" s="438">
        <f>C321+C352+C367+C374</f>
        <v>342</v>
      </c>
      <c r="D375" s="438">
        <f t="shared" ref="D375:K375" si="59">D321+D352+D367+D374</f>
        <v>59.6</v>
      </c>
      <c r="E375" s="438">
        <f t="shared" si="59"/>
        <v>104</v>
      </c>
      <c r="F375" s="438">
        <f t="shared" si="59"/>
        <v>12642.5</v>
      </c>
      <c r="G375" s="438">
        <f t="shared" si="59"/>
        <v>2063</v>
      </c>
      <c r="H375" s="438">
        <f t="shared" si="59"/>
        <v>10812</v>
      </c>
      <c r="I375" s="438">
        <f t="shared" si="59"/>
        <v>8213.75</v>
      </c>
      <c r="J375" s="438">
        <f t="shared" si="59"/>
        <v>2398.75</v>
      </c>
      <c r="K375" s="438">
        <f t="shared" si="59"/>
        <v>2030</v>
      </c>
      <c r="L375" s="573">
        <f>'Bieu3 QLGD'!F25</f>
        <v>1890</v>
      </c>
      <c r="M375" s="573">
        <f>'Bieu3 QLGD'!N25</f>
        <v>1606.5</v>
      </c>
      <c r="N375" s="573">
        <f>I375-M375</f>
        <v>6607.25</v>
      </c>
      <c r="O375" s="573">
        <f>'Bieu3 QLGD'!O25</f>
        <v>1266.75</v>
      </c>
      <c r="P375" s="573">
        <f>'Bieu3 QLGD'!P25</f>
        <v>650</v>
      </c>
      <c r="Q375" s="574" t="s">
        <v>709</v>
      </c>
    </row>
    <row r="376" spans="1:17" s="568" customFormat="1" ht="25" customHeight="1" x14ac:dyDescent="0.3">
      <c r="A376" s="575"/>
      <c r="B376" s="576"/>
      <c r="C376" s="577"/>
      <c r="D376" s="577"/>
      <c r="E376" s="578"/>
      <c r="F376" s="577"/>
      <c r="G376" s="577"/>
      <c r="H376" s="577"/>
      <c r="I376" s="577"/>
      <c r="J376" s="577"/>
      <c r="K376" s="579"/>
      <c r="L376" s="572"/>
      <c r="M376" s="572"/>
      <c r="N376" s="572"/>
      <c r="O376" s="572"/>
      <c r="P376" s="572"/>
      <c r="Q376" s="570"/>
    </row>
    <row r="377" spans="1:17" ht="25" customHeight="1" x14ac:dyDescent="0.25">
      <c r="A377" s="479" t="s">
        <v>7</v>
      </c>
      <c r="B377" s="479" t="s">
        <v>162</v>
      </c>
      <c r="C377" s="279">
        <f t="shared" ref="C377:P377" si="60">C63+C207+C243+C321+C150</f>
        <v>315</v>
      </c>
      <c r="D377" s="279">
        <f t="shared" si="60"/>
        <v>119.28</v>
      </c>
      <c r="E377" s="279">
        <f t="shared" si="60"/>
        <v>367</v>
      </c>
      <c r="F377" s="279">
        <f t="shared" si="60"/>
        <v>19452.900000000001</v>
      </c>
      <c r="G377" s="279">
        <f t="shared" si="60"/>
        <v>6143</v>
      </c>
      <c r="H377" s="279">
        <f t="shared" si="60"/>
        <v>53107</v>
      </c>
      <c r="I377" s="279">
        <f t="shared" si="60"/>
        <v>19353.900000000001</v>
      </c>
      <c r="J377" s="279">
        <f t="shared" si="60"/>
        <v>99</v>
      </c>
      <c r="K377" s="279">
        <f t="shared" si="60"/>
        <v>0</v>
      </c>
      <c r="L377" s="279">
        <f t="shared" si="60"/>
        <v>0</v>
      </c>
      <c r="M377" s="279">
        <f t="shared" si="60"/>
        <v>0</v>
      </c>
      <c r="N377" s="279">
        <f t="shared" si="60"/>
        <v>0</v>
      </c>
      <c r="O377" s="279">
        <f t="shared" si="60"/>
        <v>0</v>
      </c>
      <c r="P377" s="279">
        <f t="shared" si="60"/>
        <v>0</v>
      </c>
      <c r="Q377" s="254"/>
    </row>
    <row r="378" spans="1:17" ht="25" customHeight="1" x14ac:dyDescent="0.25">
      <c r="A378" s="580" t="s">
        <v>8</v>
      </c>
      <c r="B378" s="479" t="s">
        <v>172</v>
      </c>
      <c r="C378" s="279">
        <f t="shared" ref="C378:K378" si="61">C352+C262+C217+C162+C74</f>
        <v>351</v>
      </c>
      <c r="D378" s="279">
        <f t="shared" si="61"/>
        <v>53</v>
      </c>
      <c r="E378" s="279">
        <f t="shared" si="61"/>
        <v>93</v>
      </c>
      <c r="F378" s="279">
        <f t="shared" si="61"/>
        <v>10512.25</v>
      </c>
      <c r="G378" s="279">
        <f t="shared" si="61"/>
        <v>844</v>
      </c>
      <c r="H378" s="279">
        <f t="shared" si="61"/>
        <v>7398</v>
      </c>
      <c r="I378" s="279">
        <f t="shared" si="61"/>
        <v>6485</v>
      </c>
      <c r="J378" s="279">
        <f t="shared" si="61"/>
        <v>1848.75</v>
      </c>
      <c r="K378" s="279">
        <f t="shared" si="61"/>
        <v>2178.5</v>
      </c>
      <c r="L378" s="279">
        <v>0</v>
      </c>
      <c r="M378" s="279">
        <v>0</v>
      </c>
      <c r="N378" s="279">
        <v>0</v>
      </c>
      <c r="O378" s="279">
        <v>0</v>
      </c>
      <c r="P378" s="279">
        <v>0</v>
      </c>
      <c r="Q378" s="254"/>
    </row>
    <row r="379" spans="1:17" ht="25" customHeight="1" x14ac:dyDescent="0.25">
      <c r="A379" s="580" t="s">
        <v>25</v>
      </c>
      <c r="B379" s="483" t="s">
        <v>166</v>
      </c>
      <c r="C379" s="279">
        <f>C367</f>
        <v>9</v>
      </c>
      <c r="D379" s="279">
        <f>D364+D260</f>
        <v>0</v>
      </c>
      <c r="E379" s="279">
        <f>E367</f>
        <v>3</v>
      </c>
      <c r="F379" s="279">
        <f t="shared" ref="F379:K379" si="62">F367</f>
        <v>3287</v>
      </c>
      <c r="G379" s="279">
        <f t="shared" si="62"/>
        <v>33</v>
      </c>
      <c r="H379" s="279">
        <f t="shared" si="62"/>
        <v>99</v>
      </c>
      <c r="I379" s="279">
        <f t="shared" si="62"/>
        <v>2737</v>
      </c>
      <c r="J379" s="279">
        <f t="shared" si="62"/>
        <v>550</v>
      </c>
      <c r="K379" s="279">
        <f t="shared" si="62"/>
        <v>0</v>
      </c>
      <c r="L379" s="279">
        <v>0</v>
      </c>
      <c r="M379" s="279">
        <v>0</v>
      </c>
      <c r="N379" s="279">
        <v>0</v>
      </c>
      <c r="O379" s="279">
        <v>0</v>
      </c>
      <c r="P379" s="279">
        <v>0</v>
      </c>
      <c r="Q379" s="254"/>
    </row>
    <row r="380" spans="1:17" ht="25" customHeight="1" x14ac:dyDescent="0.25">
      <c r="A380" s="580"/>
      <c r="B380" s="483" t="s">
        <v>542</v>
      </c>
      <c r="C380" s="279">
        <f t="shared" ref="C380:K380" si="63">C374+C277+C224+C184+C103</f>
        <v>124</v>
      </c>
      <c r="D380" s="279">
        <f t="shared" si="63"/>
        <v>37</v>
      </c>
      <c r="E380" s="279">
        <f t="shared" si="63"/>
        <v>298</v>
      </c>
      <c r="F380" s="279">
        <f t="shared" si="63"/>
        <v>21781.65</v>
      </c>
      <c r="G380" s="279">
        <f t="shared" si="63"/>
        <v>1940</v>
      </c>
      <c r="H380" s="279">
        <f t="shared" si="63"/>
        <v>61440</v>
      </c>
      <c r="I380" s="279">
        <f t="shared" si="63"/>
        <v>21781.65</v>
      </c>
      <c r="J380" s="279">
        <f t="shared" si="63"/>
        <v>0</v>
      </c>
      <c r="K380" s="279">
        <f t="shared" si="63"/>
        <v>0</v>
      </c>
      <c r="L380" s="279">
        <v>0</v>
      </c>
      <c r="M380" s="279">
        <v>0</v>
      </c>
      <c r="N380" s="279">
        <v>0</v>
      </c>
      <c r="O380" s="279">
        <v>0</v>
      </c>
      <c r="P380" s="279">
        <v>0</v>
      </c>
      <c r="Q380" s="254"/>
    </row>
    <row r="381" spans="1:17" ht="25" customHeight="1" x14ac:dyDescent="0.25">
      <c r="A381" s="580"/>
      <c r="B381" s="483" t="s">
        <v>543</v>
      </c>
      <c r="C381" s="279">
        <v>0</v>
      </c>
      <c r="D381" s="279"/>
      <c r="E381" s="279">
        <v>0</v>
      </c>
      <c r="F381" s="279">
        <v>0</v>
      </c>
      <c r="G381" s="279">
        <v>0</v>
      </c>
      <c r="H381" s="279">
        <v>0</v>
      </c>
      <c r="I381" s="279">
        <v>0</v>
      </c>
      <c r="J381" s="279">
        <v>0</v>
      </c>
      <c r="K381" s="581">
        <v>0</v>
      </c>
      <c r="L381" s="581">
        <v>0</v>
      </c>
      <c r="M381" s="581">
        <v>0</v>
      </c>
      <c r="N381" s="581">
        <v>0</v>
      </c>
      <c r="O381" s="581">
        <v>0</v>
      </c>
      <c r="P381" s="581">
        <v>0</v>
      </c>
      <c r="Q381" s="254"/>
    </row>
    <row r="382" spans="1:17" ht="25" customHeight="1" x14ac:dyDescent="0.25">
      <c r="A382" s="274"/>
      <c r="B382" s="301" t="s">
        <v>484</v>
      </c>
      <c r="C382" s="282">
        <f t="shared" ref="C382:P382" si="64">C375+C278+C225+C185+C105</f>
        <v>799</v>
      </c>
      <c r="D382" s="282">
        <f t="shared" si="64"/>
        <v>212.28</v>
      </c>
      <c r="E382" s="282">
        <f t="shared" si="64"/>
        <v>761</v>
      </c>
      <c r="F382" s="282">
        <f t="shared" si="64"/>
        <v>55033.8</v>
      </c>
      <c r="G382" s="282">
        <f t="shared" si="64"/>
        <v>8960</v>
      </c>
      <c r="H382" s="282">
        <f t="shared" si="64"/>
        <v>122044</v>
      </c>
      <c r="I382" s="282">
        <f>I375+I278+I225+I185+I105</f>
        <v>50357.55</v>
      </c>
      <c r="J382" s="282">
        <f t="shared" si="64"/>
        <v>2497.75</v>
      </c>
      <c r="K382" s="282">
        <f t="shared" si="64"/>
        <v>2178.5</v>
      </c>
      <c r="L382" s="282">
        <f t="shared" si="64"/>
        <v>9922</v>
      </c>
      <c r="M382" s="282">
        <f t="shared" si="64"/>
        <v>8923</v>
      </c>
      <c r="N382" s="282">
        <f t="shared" si="64"/>
        <v>41434.550000000003</v>
      </c>
      <c r="O382" s="282">
        <f t="shared" si="64"/>
        <v>6367.25</v>
      </c>
      <c r="P382" s="282">
        <f t="shared" si="64"/>
        <v>3350</v>
      </c>
      <c r="Q382" s="254"/>
    </row>
    <row r="383" spans="1:17" x14ac:dyDescent="0.3">
      <c r="C383" s="175"/>
      <c r="D383" s="1482" t="s">
        <v>570</v>
      </c>
      <c r="E383" s="1482"/>
      <c r="F383" s="1482"/>
      <c r="G383" s="1482"/>
      <c r="H383" s="1482"/>
      <c r="I383" s="1482"/>
      <c r="J383" s="583">
        <f>J382+K382</f>
        <v>4676.25</v>
      </c>
      <c r="K383" s="7"/>
      <c r="L383" s="7"/>
      <c r="M383" s="7"/>
      <c r="N383" s="1483" t="s">
        <v>589</v>
      </c>
      <c r="O383" s="1483"/>
      <c r="P383" s="1483"/>
      <c r="Q383" s="1483"/>
    </row>
    <row r="384" spans="1:17" ht="12.75" customHeight="1" x14ac:dyDescent="0.3">
      <c r="A384" s="5"/>
      <c r="B384" s="5"/>
      <c r="C384" s="175"/>
      <c r="D384" s="175"/>
      <c r="E384" s="175"/>
      <c r="G384" s="175"/>
      <c r="H384" s="175"/>
      <c r="I384" s="175"/>
      <c r="J384" s="175"/>
      <c r="K384" s="7"/>
      <c r="L384" s="7"/>
      <c r="M384" s="7"/>
      <c r="N384" s="1477" t="s">
        <v>548</v>
      </c>
      <c r="O384" s="1477"/>
      <c r="P384" s="1477"/>
      <c r="Q384" s="1477"/>
    </row>
    <row r="385" spans="1:17" x14ac:dyDescent="0.3">
      <c r="A385" s="5"/>
      <c r="B385" s="1478" t="s">
        <v>710</v>
      </c>
      <c r="C385" s="1478"/>
      <c r="D385" s="1478"/>
      <c r="E385" s="1478"/>
      <c r="F385" s="1478"/>
      <c r="G385" s="1478"/>
      <c r="H385" s="1478"/>
      <c r="I385" s="1478"/>
      <c r="J385" s="1478"/>
      <c r="K385" s="1478"/>
      <c r="L385" s="7"/>
      <c r="M385" s="7"/>
      <c r="N385" s="7"/>
      <c r="O385" s="7"/>
      <c r="P385" s="7"/>
      <c r="Q385" s="584"/>
    </row>
    <row r="386" spans="1:17" ht="26.25" customHeight="1" x14ac:dyDescent="0.3">
      <c r="A386" s="5"/>
      <c r="B386" s="1471" t="s">
        <v>237</v>
      </c>
      <c r="C386" s="1471"/>
      <c r="D386" s="1471"/>
      <c r="E386" s="1471"/>
      <c r="F386" s="1471"/>
      <c r="G386" s="1471"/>
      <c r="H386" s="1471"/>
      <c r="I386" s="1471"/>
      <c r="J386" s="1471"/>
      <c r="K386" s="1471"/>
      <c r="L386" s="7"/>
      <c r="M386" s="7"/>
      <c r="N386" s="7"/>
      <c r="O386" s="7"/>
      <c r="P386" s="7"/>
      <c r="Q386" s="584"/>
    </row>
    <row r="387" spans="1:17" ht="30" customHeight="1" x14ac:dyDescent="0.3">
      <c r="A387" s="5"/>
      <c r="B387" s="1472" t="s">
        <v>74</v>
      </c>
      <c r="C387" s="1472"/>
      <c r="D387" s="1472"/>
      <c r="E387" s="1472"/>
      <c r="F387" s="1472"/>
      <c r="G387" s="1472"/>
      <c r="H387" s="1472"/>
      <c r="I387" s="1472"/>
      <c r="J387" s="1472"/>
      <c r="K387" s="1472"/>
      <c r="L387" s="7"/>
      <c r="M387" s="7"/>
      <c r="N387" s="1473" t="s">
        <v>549</v>
      </c>
      <c r="O387" s="1473"/>
      <c r="P387" s="1473"/>
      <c r="Q387" s="1473"/>
    </row>
  </sheetData>
  <mergeCells count="29">
    <mergeCell ref="F5:F6"/>
    <mergeCell ref="G5:G6"/>
    <mergeCell ref="H5:H6"/>
    <mergeCell ref="A5:A6"/>
    <mergeCell ref="B5:B6"/>
    <mergeCell ref="C5:C6"/>
    <mergeCell ref="D5:D6"/>
    <mergeCell ref="E5:E6"/>
    <mergeCell ref="A1:C1"/>
    <mergeCell ref="I1:N1"/>
    <mergeCell ref="A2:C2"/>
    <mergeCell ref="I2:N2"/>
    <mergeCell ref="A3:Q3"/>
    <mergeCell ref="B386:K386"/>
    <mergeCell ref="B387:K387"/>
    <mergeCell ref="N387:Q387"/>
    <mergeCell ref="P5:P6"/>
    <mergeCell ref="Q5:Q6"/>
    <mergeCell ref="Q151:Q157"/>
    <mergeCell ref="N384:Q384"/>
    <mergeCell ref="B385:K385"/>
    <mergeCell ref="I5:K5"/>
    <mergeCell ref="L5:L6"/>
    <mergeCell ref="M5:M6"/>
    <mergeCell ref="N5:N6"/>
    <mergeCell ref="O5:O6"/>
    <mergeCell ref="D383:I383"/>
    <mergeCell ref="N383:Q383"/>
    <mergeCell ref="M341:Q341"/>
  </mergeCells>
  <pageMargins left="0.2" right="0.2" top="0.5" bottom="0.42" header="0.62" footer="0.6"/>
  <pageSetup paperSize="9" scale="85"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F2AD4DD63D94E46A05C5D22C210A949" ma:contentTypeVersion="15" ma:contentTypeDescription="Create a new document." ma:contentTypeScope="" ma:versionID="b1e6f0e7742be13d99436803285ebc84">
  <xsd:schema xmlns:xsd="http://www.w3.org/2001/XMLSchema" xmlns:xs="http://www.w3.org/2001/XMLSchema" xmlns:p="http://schemas.microsoft.com/office/2006/metadata/properties" xmlns:ns2="740197ad-b108-4f47-8222-499df5378a8c" targetNamespace="http://schemas.microsoft.com/office/2006/metadata/properties" ma:root="true" ma:fieldsID="301a93c0e97e2c70bc18900e0984ebee"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40760C-1E3A-4664-B414-1075E38D9FBC}">
  <ds:schemaRefs>
    <ds:schemaRef ds:uri="http://schemas.microsoft.com/office/2006/metadata/properties"/>
    <ds:schemaRef ds:uri="http://schemas.microsoft.com/office/infopath/2007/PartnerControls"/>
    <ds:schemaRef ds:uri="740197ad-b108-4f47-8222-499df5378a8c"/>
  </ds:schemaRefs>
</ds:datastoreItem>
</file>

<file path=customXml/itemProps2.xml><?xml version="1.0" encoding="utf-8"?>
<ds:datastoreItem xmlns:ds="http://schemas.openxmlformats.org/officeDocument/2006/customXml" ds:itemID="{47419DDE-5BC3-45FC-BE9A-21C46FB87459}">
  <ds:schemaRefs>
    <ds:schemaRef ds:uri="http://schemas.microsoft.com/sharepoint/v3/contenttype/forms"/>
  </ds:schemaRefs>
</ds:datastoreItem>
</file>

<file path=customXml/itemProps3.xml><?xml version="1.0" encoding="utf-8"?>
<ds:datastoreItem xmlns:ds="http://schemas.openxmlformats.org/officeDocument/2006/customXml" ds:itemID="{4241E080-8070-412D-8C85-FE66FE042E5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29</vt:i4>
      </vt:variant>
    </vt:vector>
  </HeadingPairs>
  <TitlesOfParts>
    <vt:vector size="63" baseType="lpstr">
      <vt:lpstr>Xac nhạn so lượng SV 2021</vt:lpstr>
      <vt:lpstr>Bieu1</vt:lpstr>
      <vt:lpstr>Bieu2</vt:lpstr>
      <vt:lpstr>Bieu2 GDTH</vt:lpstr>
      <vt:lpstr>Bieu2 GDMN</vt:lpstr>
      <vt:lpstr>Bieu2 QLGD</vt:lpstr>
      <vt:lpstr>Bieu2 TLH</vt:lpstr>
      <vt:lpstr>Bieu2 GDH</vt:lpstr>
      <vt:lpstr>Bieu2 các tổ</vt:lpstr>
      <vt:lpstr>Bieu3</vt:lpstr>
      <vt:lpstr>Bieu3 GDH</vt:lpstr>
      <vt:lpstr>Bieu3 TLH</vt:lpstr>
      <vt:lpstr>Bieu3 QLGD</vt:lpstr>
      <vt:lpstr>Bieu3 GDMN</vt:lpstr>
      <vt:lpstr>Bieu3 GDTH</vt:lpstr>
      <vt:lpstr>Bieu4</vt:lpstr>
      <vt:lpstr>Bieu5</vt:lpstr>
      <vt:lpstr>Bieu6</vt:lpstr>
      <vt:lpstr>Bieu 7 NCKH</vt:lpstr>
      <vt:lpstr>Biểu 7B Xuất bản</vt:lpstr>
      <vt:lpstr>Bieu 8</vt:lpstr>
      <vt:lpstr>Bieu 9</vt:lpstr>
      <vt:lpstr>Bieu 10</vt:lpstr>
      <vt:lpstr>Bieu11</vt:lpstr>
      <vt:lpstr>Bieu 12</vt:lpstr>
      <vt:lpstr>Dự toán TTSP GDTH</vt:lpstr>
      <vt:lpstr>Dự toán HK1 RLNV GDTH</vt:lpstr>
      <vt:lpstr>Dự toán hk2 RLNVSP GDTH</vt:lpstr>
      <vt:lpstr>Dự toán hội thi VCĐ-GTN GDTH</vt:lpstr>
      <vt:lpstr>Dự toán TTSP GDMN k58</vt:lpstr>
      <vt:lpstr>Dự toán RLNVSP 1 GDMN</vt:lpstr>
      <vt:lpstr>Dự toán RLNVSP2 GDMN</vt:lpstr>
      <vt:lpstr>Sheet7</vt:lpstr>
      <vt:lpstr>Sheet8</vt:lpstr>
      <vt:lpstr>Bieu2!Print_Area</vt:lpstr>
      <vt:lpstr>'Bieu2 các tổ'!Print_Area</vt:lpstr>
      <vt:lpstr>'Bieu2 GDH'!Print_Area</vt:lpstr>
      <vt:lpstr>'Bieu2 GDMN'!Print_Area</vt:lpstr>
      <vt:lpstr>'Bieu2 GDTH'!Print_Area</vt:lpstr>
      <vt:lpstr>'Bieu2 QLGD'!Print_Area</vt:lpstr>
      <vt:lpstr>'Bieu2 TLH'!Print_Area</vt:lpstr>
      <vt:lpstr>'Bieu3 GDH'!Print_Area</vt:lpstr>
      <vt:lpstr>'Bieu3 GDMN'!Print_Area</vt:lpstr>
      <vt:lpstr>'Bieu3 GDTH'!Print_Area</vt:lpstr>
      <vt:lpstr>'Bieu3 QLGD'!Print_Area</vt:lpstr>
      <vt:lpstr>'Bieu3 TLH'!Print_Area</vt:lpstr>
      <vt:lpstr>'Bieu 12'!Print_Titles</vt:lpstr>
      <vt:lpstr>Bieu2!Print_Titles</vt:lpstr>
      <vt:lpstr>'Bieu2 các tổ'!Print_Titles</vt:lpstr>
      <vt:lpstr>'Bieu2 GDH'!Print_Titles</vt:lpstr>
      <vt:lpstr>'Bieu2 GDMN'!Print_Titles</vt:lpstr>
      <vt:lpstr>'Bieu2 GDTH'!Print_Titles</vt:lpstr>
      <vt:lpstr>'Bieu2 QLGD'!Print_Titles</vt:lpstr>
      <vt:lpstr>'Bieu2 TLH'!Print_Titles</vt:lpstr>
      <vt:lpstr>Bieu3!Print_Titles</vt:lpstr>
      <vt:lpstr>'Bieu3 GDH'!Print_Titles</vt:lpstr>
      <vt:lpstr>'Bieu3 GDMN'!Print_Titles</vt:lpstr>
      <vt:lpstr>'Bieu3 GDTH'!Print_Titles</vt:lpstr>
      <vt:lpstr>'Bieu3 QLGD'!Print_Titles</vt:lpstr>
      <vt:lpstr>'Bieu3 TLH'!Print_Titles</vt:lpstr>
      <vt:lpstr>Bieu4!Print_Titles</vt:lpstr>
      <vt:lpstr>Bieu5!Print_Titles</vt:lpstr>
      <vt:lpstr>Bieu6!Print_Titles</vt:lpstr>
    </vt:vector>
  </TitlesOfParts>
  <Company>DAPT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Phuong</dc:creator>
  <cp:lastModifiedBy>Uyen Tran</cp:lastModifiedBy>
  <cp:lastPrinted>2018-08-09T10:51:00Z</cp:lastPrinted>
  <dcterms:created xsi:type="dcterms:W3CDTF">2002-09-19T17:35:53Z</dcterms:created>
  <dcterms:modified xsi:type="dcterms:W3CDTF">2025-08-08T04:07:02Z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