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showInkAnnotation="0" codeName="ThisWorkbook" autoCompressPictures="0"/>
  <mc:AlternateContent xmlns:mc="http://schemas.openxmlformats.org/markup-compatibility/2006">
    <mc:Choice Requires="x15">
      <x15ac:absPath xmlns:x15ac="http://schemas.microsoft.com/office/spreadsheetml/2010/11/ac" url="/Users/macbook/Desktop/"/>
    </mc:Choice>
  </mc:AlternateContent>
  <xr:revisionPtr revIDLastSave="0" documentId="13_ncr:1_{DFF38938-AD26-E948-B793-700DB9184220}" xr6:coauthVersionLast="43" xr6:coauthVersionMax="43" xr10:uidLastSave="{00000000-0000-0000-0000-000000000000}"/>
  <bookViews>
    <workbookView xWindow="0" yWindow="0" windowWidth="28800" windowHeight="18000" tabRatio="889" activeTab="23" xr2:uid="{00000000-000D-0000-FFFF-FFFF00000000}"/>
  </bookViews>
  <sheets>
    <sheet name="Xac nhạn so lượng SV 2021" sheetId="55" r:id="rId1"/>
    <sheet name="Bieu1" sheetId="20" r:id="rId2"/>
    <sheet name="Bieu2" sheetId="52" r:id="rId3"/>
    <sheet name="Bieu2 GDTH" sheetId="51" state="hidden" r:id="rId4"/>
    <sheet name="Bieu2 GDMN" sheetId="50" state="hidden" r:id="rId5"/>
    <sheet name="Bieu2 QLGD" sheetId="49" state="hidden" r:id="rId6"/>
    <sheet name="Bieu2 TLH" sheetId="48" state="hidden" r:id="rId7"/>
    <sheet name="Bieu2 GDH" sheetId="42" state="hidden" r:id="rId8"/>
    <sheet name="Bieu2 các tổ" sheetId="53" state="hidden" r:id="rId9"/>
    <sheet name="Bieu3" sheetId="37" r:id="rId10"/>
    <sheet name="Bieu3 GDH" sheetId="41" r:id="rId11"/>
    <sheet name="Bieu3 TLH" sheetId="40" r:id="rId12"/>
    <sheet name="Bieu3 QLGD" sheetId="39" r:id="rId13"/>
    <sheet name="Bieu3 GDMN" sheetId="38" r:id="rId14"/>
    <sheet name="Bieu3 GDTH" sheetId="7" r:id="rId15"/>
    <sheet name="Bieu4" sheetId="10" r:id="rId16"/>
    <sheet name="Bieu5" sheetId="11" r:id="rId17"/>
    <sheet name="Bieu6" sheetId="12" r:id="rId18"/>
    <sheet name="Bieu 7 NCKH" sheetId="13" r:id="rId19"/>
    <sheet name="Biểu 7B Xuất bản" sheetId="64" r:id="rId20"/>
    <sheet name="Bieu 8" sheetId="36" r:id="rId21"/>
    <sheet name="Bieu 9" sheetId="19" r:id="rId22"/>
    <sheet name="Bieu 10" sheetId="17" r:id="rId23"/>
    <sheet name="Bieu11" sheetId="18" r:id="rId24"/>
    <sheet name="Bieu 12" sheetId="32" r:id="rId25"/>
    <sheet name="Dự toán TTSP GDTH" sheetId="47" r:id="rId26"/>
    <sheet name="Dự toán HK1 RLNV GDTH" sheetId="56" r:id="rId27"/>
    <sheet name="Dự toán hk2 RLNVSP GDTH" sheetId="58" r:id="rId28"/>
    <sheet name="Dự toán hội thi VCĐ-GTN GDTH" sheetId="59" r:id="rId29"/>
    <sheet name="Dự toán TTSP GDMN k58" sheetId="60" r:id="rId30"/>
    <sheet name="Dự toán RLNVSP 1 GDMN" sheetId="57" r:id="rId31"/>
    <sheet name="Dự toán RLNVSP2 GDMN" sheetId="61" r:id="rId32"/>
    <sheet name="Sheet7" sheetId="62" r:id="rId33"/>
    <sheet name="Sheet8" sheetId="63" r:id="rId34"/>
  </sheets>
  <definedNames>
    <definedName name="_xlnm.Print_Area" localSheetId="2">Bieu2!$A$1:$Q$303</definedName>
    <definedName name="_xlnm.Print_Area" localSheetId="8">'Bieu2 các tổ'!$A$1:$Q$387</definedName>
    <definedName name="_xlnm.Print_Area" localSheetId="7">'Bieu2 GDH'!$A$1:$Q$346</definedName>
    <definedName name="_xlnm.Print_Area" localSheetId="4">'Bieu2 GDMN'!$A$1:$Q$346</definedName>
    <definedName name="_xlnm.Print_Area" localSheetId="3">'Bieu2 GDTH'!$A$1:$Q$346</definedName>
    <definedName name="_xlnm.Print_Area" localSheetId="5">'Bieu2 QLGD'!$A$1:$Q$346</definedName>
    <definedName name="_xlnm.Print_Area" localSheetId="6">'Bieu2 TLH'!$A$1:$Q$346</definedName>
    <definedName name="_xlnm.Print_Area" localSheetId="10">'Bieu3 GDH'!$A$1:$Q$22</definedName>
    <definedName name="_xlnm.Print_Area" localSheetId="13">'Bieu3 GDMN'!$A$1:$Q$27</definedName>
    <definedName name="_xlnm.Print_Area" localSheetId="14">'Bieu3 GDTH'!$A$1:$Q$26</definedName>
    <definedName name="_xlnm.Print_Area" localSheetId="12">'Bieu3 QLGD'!$A$1:$Q$27</definedName>
    <definedName name="_xlnm.Print_Area" localSheetId="11">'Bieu3 TLH'!$A$1:$Q$24</definedName>
    <definedName name="_xlnm.Print_Titles" localSheetId="24">'Bieu 12'!$4:$4</definedName>
    <definedName name="_xlnm.Print_Titles" localSheetId="2">Bieu2!$5:$5</definedName>
    <definedName name="_xlnm.Print_Titles" localSheetId="8">'Bieu2 các tổ'!$5:$5</definedName>
    <definedName name="_xlnm.Print_Titles" localSheetId="7">'Bieu2 GDH'!$5:$5</definedName>
    <definedName name="_xlnm.Print_Titles" localSheetId="4">'Bieu2 GDMN'!$5:$5</definedName>
    <definedName name="_xlnm.Print_Titles" localSheetId="3">'Bieu2 GDTH'!$5:$5</definedName>
    <definedName name="_xlnm.Print_Titles" localSheetId="5">'Bieu2 QLGD'!$5:$5</definedName>
    <definedName name="_xlnm.Print_Titles" localSheetId="6">'Bieu2 TLH'!$5:$5</definedName>
    <definedName name="_xlnm.Print_Titles" localSheetId="9">Bieu3!$5:$5</definedName>
    <definedName name="_xlnm.Print_Titles" localSheetId="10">'Bieu3 GDH'!$5:$5</definedName>
    <definedName name="_xlnm.Print_Titles" localSheetId="13">'Bieu3 GDMN'!$5:$5</definedName>
    <definedName name="_xlnm.Print_Titles" localSheetId="14">'Bieu3 GDTH'!$5:$5</definedName>
    <definedName name="_xlnm.Print_Titles" localSheetId="12">'Bieu3 QLGD'!$5:$5</definedName>
    <definedName name="_xlnm.Print_Titles" localSheetId="11">'Bieu3 TLH'!$5:$5</definedName>
    <definedName name="_xlnm.Print_Titles" localSheetId="15">Bieu4!$5:$5</definedName>
    <definedName name="_xlnm.Print_Titles" localSheetId="16">Bieu5!$5:$5</definedName>
    <definedName name="_xlnm.Print_Titles" localSheetId="17">Bieu6!$5:$5</definedName>
  </definedNames>
  <calcPr calcId="191029"/>
  <fileRecoveryPr repairLoad="1"/>
</workbook>
</file>

<file path=xl/calcChain.xml><?xml version="1.0" encoding="utf-8"?>
<calcChain xmlns="http://schemas.openxmlformats.org/spreadsheetml/2006/main">
  <c r="C10" i="18" l="1"/>
  <c r="C8" i="18"/>
  <c r="E51" i="20"/>
  <c r="E50" i="20" s="1"/>
  <c r="C38" i="17"/>
  <c r="C35" i="17"/>
  <c r="C37" i="17"/>
  <c r="F11" i="64"/>
  <c r="F20" i="11"/>
  <c r="C36" i="17"/>
  <c r="C33" i="17"/>
  <c r="C32" i="17"/>
  <c r="C31" i="17"/>
  <c r="C19" i="17"/>
  <c r="C14" i="17"/>
  <c r="C10"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F43" i="32" s="1"/>
  <c r="E33" i="19" l="1"/>
  <c r="E35" i="19"/>
  <c r="E34" i="19"/>
  <c r="E18" i="36" l="1"/>
  <c r="D18" i="36"/>
  <c r="C18" i="36"/>
  <c r="F17" i="36"/>
  <c r="F16" i="36"/>
  <c r="F15" i="36"/>
  <c r="F14" i="36"/>
  <c r="F13" i="36"/>
  <c r="F18" i="36" s="1"/>
  <c r="F12" i="36"/>
  <c r="F11" i="36"/>
  <c r="F10" i="36"/>
  <c r="F9" i="36"/>
  <c r="D21" i="13" l="1"/>
  <c r="D14" i="13"/>
  <c r="D29" i="13" s="1"/>
  <c r="H8" i="10" l="1"/>
  <c r="H22" i="10"/>
  <c r="H21" i="10"/>
  <c r="H20" i="10"/>
  <c r="H19" i="10"/>
  <c r="H18" i="10"/>
  <c r="H17" i="10" s="1"/>
  <c r="H16" i="10" l="1"/>
  <c r="H15" i="10"/>
  <c r="F8" i="60"/>
  <c r="H14" i="10"/>
  <c r="H93" i="61"/>
  <c r="H85" i="61"/>
  <c r="H77" i="61"/>
  <c r="H69" i="61"/>
  <c r="H61" i="61"/>
  <c r="H53" i="61"/>
  <c r="H10" i="61"/>
  <c r="H13" i="10" l="1"/>
  <c r="H26" i="10" s="1"/>
  <c r="H96" i="57"/>
  <c r="H95" i="57"/>
  <c r="H91" i="57"/>
  <c r="H90" i="57"/>
  <c r="H88" i="57"/>
  <c r="H87" i="57"/>
  <c r="H83" i="57"/>
  <c r="H82" i="57"/>
  <c r="H89" i="57" s="1"/>
  <c r="H80" i="57"/>
  <c r="H79" i="57"/>
  <c r="H75" i="57"/>
  <c r="H74" i="57"/>
  <c r="H81" i="57" s="1"/>
  <c r="H72" i="57"/>
  <c r="H73" i="57" s="1"/>
  <c r="H71" i="57"/>
  <c r="H67" i="57"/>
  <c r="H66" i="57"/>
  <c r="H64" i="57"/>
  <c r="H63" i="57"/>
  <c r="H59" i="57"/>
  <c r="H58" i="57"/>
  <c r="H65" i="57" s="1"/>
  <c r="H57" i="57"/>
  <c r="H56" i="57"/>
  <c r="H55" i="57"/>
  <c r="H51" i="57"/>
  <c r="H50" i="57"/>
  <c r="H48" i="57"/>
  <c r="H47" i="57"/>
  <c r="H43" i="57"/>
  <c r="H49" i="57" s="1"/>
  <c r="H42" i="57"/>
  <c r="H40" i="57"/>
  <c r="H39" i="57"/>
  <c r="H35" i="57"/>
  <c r="H34" i="57"/>
  <c r="H41" i="57" s="1"/>
  <c r="F33" i="60"/>
  <c r="F32" i="60"/>
  <c r="F31" i="60"/>
  <c r="F29" i="60"/>
  <c r="F28" i="60"/>
  <c r="F25" i="60"/>
  <c r="F24" i="60"/>
  <c r="F22" i="60"/>
  <c r="F20" i="60"/>
  <c r="F19" i="60"/>
  <c r="F17" i="60"/>
  <c r="F16" i="60"/>
  <c r="F15" i="60"/>
  <c r="F14" i="60"/>
  <c r="F13" i="60"/>
  <c r="F12" i="60"/>
  <c r="F11" i="60"/>
  <c r="F9" i="60"/>
  <c r="F34" i="60"/>
  <c r="F17" i="59"/>
  <c r="F13" i="59"/>
  <c r="F10" i="59"/>
  <c r="F8" i="59" s="1"/>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N20" i="41" l="1"/>
  <c r="L291" i="52"/>
  <c r="E295" i="52"/>
  <c r="F295" i="52"/>
  <c r="G295" i="52"/>
  <c r="H295" i="52"/>
  <c r="I295" i="52"/>
  <c r="J295" i="52"/>
  <c r="K295" i="52"/>
  <c r="D295" i="52"/>
  <c r="C295" i="52"/>
  <c r="D294" i="52"/>
  <c r="C294" i="52"/>
  <c r="C268" i="52"/>
  <c r="D293" i="52"/>
  <c r="C293" i="52"/>
  <c r="D298" i="52"/>
  <c r="E298" i="52"/>
  <c r="F298" i="52"/>
  <c r="G298" i="52"/>
  <c r="H298" i="52"/>
  <c r="I298" i="52"/>
  <c r="J298" i="52"/>
  <c r="K298" i="52"/>
  <c r="L298" i="52"/>
  <c r="O298" i="52"/>
  <c r="P298" i="52"/>
  <c r="D291" i="52"/>
  <c r="E291" i="52"/>
  <c r="F291" i="52"/>
  <c r="G291" i="52"/>
  <c r="H291" i="52"/>
  <c r="I291" i="52"/>
  <c r="D268" i="52"/>
  <c r="E268" i="52"/>
  <c r="F268" i="52"/>
  <c r="G268" i="52"/>
  <c r="H268" i="52"/>
  <c r="I268" i="52"/>
  <c r="J268" i="52"/>
  <c r="J265" i="52"/>
  <c r="J266" i="52"/>
  <c r="H267" i="52"/>
  <c r="H266" i="52"/>
  <c r="H265" i="52"/>
  <c r="H252" i="52"/>
  <c r="D235" i="52"/>
  <c r="E235" i="52"/>
  <c r="G235" i="52"/>
  <c r="C235" i="52"/>
  <c r="C291" i="52" l="1"/>
  <c r="C298" i="52" s="1"/>
  <c r="C163" i="52"/>
  <c r="H167" i="52"/>
  <c r="F18" i="11" l="1"/>
  <c r="D130" i="52"/>
  <c r="E130" i="52"/>
  <c r="G130" i="52"/>
  <c r="C130" i="52"/>
  <c r="G117" i="52"/>
  <c r="H116" i="52"/>
  <c r="I85" i="52"/>
  <c r="H85" i="52"/>
  <c r="I90" i="52"/>
  <c r="F90" i="52" s="1"/>
  <c r="I91" i="52"/>
  <c r="F91" i="52" s="1"/>
  <c r="H90" i="52"/>
  <c r="H91" i="52"/>
  <c r="H25" i="38"/>
  <c r="G25" i="38"/>
  <c r="J17" i="38"/>
  <c r="J15" i="38"/>
  <c r="J16" i="38"/>
  <c r="L16" i="38"/>
  <c r="L17" i="38"/>
  <c r="K16" i="38"/>
  <c r="J18" i="38"/>
  <c r="I61" i="52" l="1"/>
  <c r="H65" i="52"/>
  <c r="I53" i="52"/>
  <c r="I55" i="52"/>
  <c r="F55" i="52" s="1"/>
  <c r="H55" i="52"/>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9" i="20"/>
  <c r="D8" i="20" s="1"/>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D8" i="55" s="1"/>
  <c r="H84" i="52"/>
  <c r="H93" i="52"/>
  <c r="H95" i="52"/>
  <c r="H96" i="52"/>
  <c r="H97" i="52"/>
  <c r="H89" i="52"/>
  <c r="I84" i="52"/>
  <c r="F84" i="52" s="1"/>
  <c r="I93" i="52"/>
  <c r="F93"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I242" i="52"/>
  <c r="I243" i="52"/>
  <c r="F243" i="52" s="1"/>
  <c r="I244" i="52"/>
  <c r="F244" i="52" s="1"/>
  <c r="I245" i="52"/>
  <c r="I238" i="52"/>
  <c r="F238" i="52" s="1"/>
  <c r="I193" i="52"/>
  <c r="F193" i="52" s="1"/>
  <c r="I194" i="52"/>
  <c r="F194" i="52" s="1"/>
  <c r="I195" i="52"/>
  <c r="F195" i="52" s="1"/>
  <c r="I192" i="52"/>
  <c r="F192" i="52" s="1"/>
  <c r="I157" i="52"/>
  <c r="F157" i="52" s="1"/>
  <c r="I158" i="52"/>
  <c r="F158" i="52" s="1"/>
  <c r="I159" i="52"/>
  <c r="F159" i="52" s="1"/>
  <c r="I160" i="52"/>
  <c r="F160" i="52" s="1"/>
  <c r="I161" i="52"/>
  <c r="F161" i="52" s="1"/>
  <c r="I162" i="52"/>
  <c r="F162" i="52" s="1"/>
  <c r="I156" i="52"/>
  <c r="F156" i="52" s="1"/>
  <c r="K114" i="52"/>
  <c r="F114" i="52" s="1"/>
  <c r="K113" i="52"/>
  <c r="F113" i="52" s="1"/>
  <c r="I109" i="52"/>
  <c r="F109" i="52" s="1"/>
  <c r="I110" i="52"/>
  <c r="F110" i="52" s="1"/>
  <c r="I111" i="52"/>
  <c r="F111" i="52" s="1"/>
  <c r="I112" i="52"/>
  <c r="F112" i="52" s="1"/>
  <c r="I108" i="52"/>
  <c r="F108" i="52" s="1"/>
  <c r="F241" i="52"/>
  <c r="F242" i="52"/>
  <c r="F249" i="52"/>
  <c r="N16" i="41"/>
  <c r="N17" i="41"/>
  <c r="C76" i="52"/>
  <c r="C56" i="52"/>
  <c r="D45" i="52"/>
  <c r="E45" i="52"/>
  <c r="G45" i="52"/>
  <c r="J45" i="52"/>
  <c r="K45" i="52"/>
  <c r="C45" i="52"/>
  <c r="K15" i="7"/>
  <c r="O15" i="7" s="1"/>
  <c r="K18" i="7"/>
  <c r="K19" i="7"/>
  <c r="K20" i="7"/>
  <c r="K21" i="7"/>
  <c r="K14" i="7"/>
  <c r="J15" i="7"/>
  <c r="J16" i="7"/>
  <c r="J17" i="7"/>
  <c r="J18" i="7"/>
  <c r="J19" i="7"/>
  <c r="N19" i="7" s="1"/>
  <c r="J20" i="7"/>
  <c r="J21" i="7"/>
  <c r="J22" i="7"/>
  <c r="N22" i="7" s="1"/>
  <c r="J14" i="7"/>
  <c r="G51" i="20"/>
  <c r="G50" i="20" s="1"/>
  <c r="E56" i="20"/>
  <c r="E9" i="20"/>
  <c r="E8" i="20" s="1"/>
  <c r="E23" i="20"/>
  <c r="E29" i="20"/>
  <c r="E28" i="20" s="1"/>
  <c r="E34" i="20"/>
  <c r="F51" i="20"/>
  <c r="F50" i="20" s="1"/>
  <c r="F56" i="20"/>
  <c r="F9" i="20"/>
  <c r="F8" i="20" s="1"/>
  <c r="F23" i="20"/>
  <c r="F29" i="20"/>
  <c r="F34" i="20"/>
  <c r="D51" i="20"/>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H103" i="52"/>
  <c r="I103" i="52" s="1"/>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H83" i="52"/>
  <c r="H86" i="52"/>
  <c r="H87" i="52"/>
  <c r="H88" i="52"/>
  <c r="H92" i="52"/>
  <c r="H94" i="52"/>
  <c r="H98" i="52"/>
  <c r="H99" i="52"/>
  <c r="H100" i="52"/>
  <c r="H101" i="52"/>
  <c r="H102" i="52"/>
  <c r="H104" i="52"/>
  <c r="H108" i="52"/>
  <c r="H109" i="52"/>
  <c r="H110" i="52"/>
  <c r="H111" i="52"/>
  <c r="H112" i="52"/>
  <c r="H113" i="52"/>
  <c r="H114" i="52"/>
  <c r="H120" i="52"/>
  <c r="H121" i="52"/>
  <c r="H122" i="52"/>
  <c r="H123" i="52"/>
  <c r="H124" i="52"/>
  <c r="H125" i="52"/>
  <c r="H126" i="52"/>
  <c r="H127" i="52"/>
  <c r="H128" i="52"/>
  <c r="H129" i="52"/>
  <c r="I101" i="52"/>
  <c r="J105" i="52"/>
  <c r="J117" i="52"/>
  <c r="J130" i="52"/>
  <c r="K105" i="52"/>
  <c r="K130" i="52"/>
  <c r="C105" i="52"/>
  <c r="C117" i="52"/>
  <c r="D117" i="52"/>
  <c r="K18" i="38"/>
  <c r="K20" i="38"/>
  <c r="K21" i="38"/>
  <c r="K22" i="38"/>
  <c r="K23" i="38"/>
  <c r="N15" i="38"/>
  <c r="N16" i="38"/>
  <c r="N18" i="38"/>
  <c r="J19" i="38"/>
  <c r="J20" i="38"/>
  <c r="J21" i="38"/>
  <c r="J22" i="38"/>
  <c r="J23" i="38"/>
  <c r="N23" i="38" s="1"/>
  <c r="J24" i="38"/>
  <c r="N24" i="38" s="1"/>
  <c r="H16" i="38"/>
  <c r="H17" i="38"/>
  <c r="P17" i="38" s="1"/>
  <c r="H18" i="38"/>
  <c r="H19" i="38"/>
  <c r="H20" i="38"/>
  <c r="H21" i="38"/>
  <c r="H22" i="38"/>
  <c r="H23" i="38"/>
  <c r="H24" i="38"/>
  <c r="G19" i="38"/>
  <c r="K19" i="38" s="1"/>
  <c r="O19" i="38" s="1"/>
  <c r="G20" i="38"/>
  <c r="G21" i="38"/>
  <c r="E21" i="38" s="1"/>
  <c r="G22" i="38"/>
  <c r="G23" i="38"/>
  <c r="G24" i="38"/>
  <c r="K24" i="38" s="1"/>
  <c r="E24" i="38"/>
  <c r="E20" i="38"/>
  <c r="E18" i="38"/>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17" i="52"/>
  <c r="H218" i="52"/>
  <c r="H219" i="52"/>
  <c r="H220" i="52"/>
  <c r="H221" i="52"/>
  <c r="H222" i="52"/>
  <c r="H223" i="52"/>
  <c r="H224" i="52"/>
  <c r="H225" i="52"/>
  <c r="H226" i="52"/>
  <c r="H227" i="52"/>
  <c r="H228" i="52"/>
  <c r="H229" i="52"/>
  <c r="H233"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0" i="52"/>
  <c r="K235" i="52"/>
  <c r="K290" i="52"/>
  <c r="C283" i="52"/>
  <c r="C290" i="52"/>
  <c r="K17" i="40"/>
  <c r="K18" i="40"/>
  <c r="K19" i="40"/>
  <c r="K20" i="40"/>
  <c r="K15" i="40"/>
  <c r="J16" i="40"/>
  <c r="J17" i="40"/>
  <c r="J18" i="40"/>
  <c r="J19" i="40"/>
  <c r="J20" i="40"/>
  <c r="J15" i="40"/>
  <c r="J15" i="39"/>
  <c r="N15" i="39" s="1"/>
  <c r="K21" i="39"/>
  <c r="K22" i="39"/>
  <c r="K23" i="39"/>
  <c r="G15" i="39"/>
  <c r="H15" i="39"/>
  <c r="K16" i="39"/>
  <c r="K17" i="39"/>
  <c r="J16" i="39"/>
  <c r="J17" i="39"/>
  <c r="N17" i="39" s="1"/>
  <c r="J18" i="39"/>
  <c r="N18" i="39" s="1"/>
  <c r="J19" i="39"/>
  <c r="J20" i="39"/>
  <c r="J21" i="39"/>
  <c r="J22" i="39"/>
  <c r="J23" i="39"/>
  <c r="L16" i="39"/>
  <c r="I16" i="39"/>
  <c r="N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H136" i="52"/>
  <c r="H137" i="52"/>
  <c r="H138" i="52"/>
  <c r="H139" i="52"/>
  <c r="H140" i="52"/>
  <c r="H141" i="52"/>
  <c r="H142" i="52"/>
  <c r="H143" i="52"/>
  <c r="H144" i="52"/>
  <c r="H145" i="52"/>
  <c r="H146" i="52"/>
  <c r="H147" i="52"/>
  <c r="H148" i="52"/>
  <c r="H149" i="52"/>
  <c r="E20" i="11"/>
  <c r="D20" i="11"/>
  <c r="F7" i="11"/>
  <c r="F6" i="11" s="1"/>
  <c r="F8" i="11"/>
  <c r="F9" i="11"/>
  <c r="F10" i="11"/>
  <c r="F13" i="11"/>
  <c r="F12" i="11" s="1"/>
  <c r="F14" i="11"/>
  <c r="F15" i="11"/>
  <c r="G11" i="20"/>
  <c r="G13" i="20"/>
  <c r="G14" i="20"/>
  <c r="G15" i="20"/>
  <c r="G10" i="20"/>
  <c r="F365" i="53"/>
  <c r="F366" i="53"/>
  <c r="F364" i="53"/>
  <c r="F359" i="53"/>
  <c r="I117" i="53"/>
  <c r="F117" i="53"/>
  <c r="F122" i="53"/>
  <c r="I123" i="53"/>
  <c r="F123" i="53" s="1"/>
  <c r="I124" i="53"/>
  <c r="F124" i="53" s="1"/>
  <c r="I83" i="53"/>
  <c r="F83" i="53" s="1"/>
  <c r="I22" i="53"/>
  <c r="F22" i="53"/>
  <c r="I31" i="53"/>
  <c r="F31" i="53" s="1"/>
  <c r="F27" i="53"/>
  <c r="I28" i="53"/>
  <c r="F28" i="53"/>
  <c r="I29" i="53"/>
  <c r="F29" i="53"/>
  <c r="I30" i="53"/>
  <c r="F30" i="53" s="1"/>
  <c r="I51" i="53"/>
  <c r="F51" i="53" s="1"/>
  <c r="I47" i="53"/>
  <c r="F47" i="53"/>
  <c r="F55" i="53"/>
  <c r="I56" i="53"/>
  <c r="F56" i="53"/>
  <c r="I57" i="53"/>
  <c r="F57" i="53" s="1"/>
  <c r="I54" i="53"/>
  <c r="F54" i="53" s="1"/>
  <c r="J321" i="53"/>
  <c r="J332" i="53"/>
  <c r="J333" i="53"/>
  <c r="J352" i="53" s="1"/>
  <c r="J334" i="53"/>
  <c r="F334" i="53" s="1"/>
  <c r="J335" i="53"/>
  <c r="J336" i="53"/>
  <c r="J341" i="53"/>
  <c r="J342" i="53"/>
  <c r="J349" i="53"/>
  <c r="J350" i="53"/>
  <c r="F350" i="53" s="1"/>
  <c r="J367" i="53"/>
  <c r="J379" i="53" s="1"/>
  <c r="J374" i="53"/>
  <c r="J243" i="53"/>
  <c r="J278" i="53" s="1"/>
  <c r="J262" i="53"/>
  <c r="J277" i="53"/>
  <c r="J207" i="53"/>
  <c r="J217" i="53"/>
  <c r="J225" i="53" s="1"/>
  <c r="J224" i="53"/>
  <c r="J134" i="53"/>
  <c r="J150" i="53" s="1"/>
  <c r="J185" i="53" s="1"/>
  <c r="J162" i="53"/>
  <c r="J184" i="53"/>
  <c r="K321" i="53"/>
  <c r="K375" i="53"/>
  <c r="K351" i="53"/>
  <c r="K352" i="53"/>
  <c r="K367" i="53"/>
  <c r="K374" i="53"/>
  <c r="K243" i="53"/>
  <c r="K262" i="53"/>
  <c r="K277" i="53"/>
  <c r="K380" i="53" s="1"/>
  <c r="K207" i="53"/>
  <c r="K225" i="53"/>
  <c r="K217" i="53"/>
  <c r="K224" i="53"/>
  <c r="K150" i="53"/>
  <c r="K158" i="53"/>
  <c r="K159" i="53"/>
  <c r="F159" i="53" s="1"/>
  <c r="K184" i="53"/>
  <c r="I284" i="53"/>
  <c r="I285" i="53"/>
  <c r="I286" i="53"/>
  <c r="I288" i="53"/>
  <c r="I289" i="53"/>
  <c r="I291" i="53"/>
  <c r="F291" i="53" s="1"/>
  <c r="I292" i="53"/>
  <c r="I293" i="53"/>
  <c r="I294" i="53"/>
  <c r="I296" i="53"/>
  <c r="I297" i="53"/>
  <c r="I298" i="53"/>
  <c r="I299" i="53"/>
  <c r="I300" i="53"/>
  <c r="F300" i="53" s="1"/>
  <c r="I302" i="53"/>
  <c r="I303" i="53"/>
  <c r="I304" i="53"/>
  <c r="I305" i="53"/>
  <c r="I306" i="53"/>
  <c r="I307" i="53"/>
  <c r="I308" i="53"/>
  <c r="I309" i="53"/>
  <c r="F309" i="53" s="1"/>
  <c r="I321" i="53"/>
  <c r="I311" i="53"/>
  <c r="I312" i="53"/>
  <c r="I313" i="53"/>
  <c r="I314" i="53"/>
  <c r="I318" i="53"/>
  <c r="I319" i="53"/>
  <c r="I324" i="53"/>
  <c r="F324" i="53" s="1"/>
  <c r="I325" i="53"/>
  <c r="I326" i="53"/>
  <c r="I327" i="53"/>
  <c r="I328" i="53"/>
  <c r="I329" i="53"/>
  <c r="I330" i="53"/>
  <c r="I331" i="53"/>
  <c r="F331" i="53" s="1"/>
  <c r="I338" i="53"/>
  <c r="F338" i="53" s="1"/>
  <c r="I340" i="53"/>
  <c r="I343" i="53"/>
  <c r="I344" i="53"/>
  <c r="I345" i="53"/>
  <c r="I346" i="53"/>
  <c r="I347" i="53"/>
  <c r="I348" i="53"/>
  <c r="F348" i="53" s="1"/>
  <c r="I349" i="53"/>
  <c r="F349" i="53" s="1"/>
  <c r="I350" i="53"/>
  <c r="I355" i="53"/>
  <c r="I367" i="53" s="1"/>
  <c r="I379" i="53" s="1"/>
  <c r="I356" i="53"/>
  <c r="I357" i="53"/>
  <c r="I371" i="53"/>
  <c r="I372" i="53"/>
  <c r="I373" i="53"/>
  <c r="I230" i="53"/>
  <c r="I232" i="53"/>
  <c r="I234" i="53"/>
  <c r="I235" i="53"/>
  <c r="F235" i="53" s="1"/>
  <c r="I237" i="53"/>
  <c r="F237" i="53" s="1"/>
  <c r="I238" i="53"/>
  <c r="I239" i="53"/>
  <c r="I241" i="53"/>
  <c r="I242" i="53"/>
  <c r="F242" i="53"/>
  <c r="I253" i="53"/>
  <c r="I254" i="53"/>
  <c r="I255" i="53"/>
  <c r="F255" i="53" s="1"/>
  <c r="I256" i="53"/>
  <c r="I267" i="53"/>
  <c r="I269" i="53"/>
  <c r="I270" i="53"/>
  <c r="I272" i="53"/>
  <c r="I274" i="53"/>
  <c r="I276" i="53"/>
  <c r="I191" i="53"/>
  <c r="I193" i="53"/>
  <c r="I195" i="53"/>
  <c r="I197" i="53"/>
  <c r="I198" i="53"/>
  <c r="F198" i="53" s="1"/>
  <c r="I200" i="53"/>
  <c r="F200" i="53" s="1"/>
  <c r="I201" i="53"/>
  <c r="I202" i="53"/>
  <c r="I204" i="53"/>
  <c r="I205" i="53"/>
  <c r="I206" i="53"/>
  <c r="I210" i="53"/>
  <c r="I211" i="53"/>
  <c r="I212" i="53"/>
  <c r="I213" i="53"/>
  <c r="I214" i="53"/>
  <c r="I215" i="53"/>
  <c r="I216" i="53"/>
  <c r="I222" i="53"/>
  <c r="I223" i="53"/>
  <c r="I111" i="53"/>
  <c r="I112" i="53"/>
  <c r="I114" i="53"/>
  <c r="I115" i="53"/>
  <c r="I116" i="53"/>
  <c r="I119" i="53"/>
  <c r="I121" i="53"/>
  <c r="F121" i="53" s="1"/>
  <c r="I126" i="53"/>
  <c r="F126" i="53" s="1"/>
  <c r="I127" i="53"/>
  <c r="I129" i="53"/>
  <c r="I130" i="53"/>
  <c r="I132" i="53"/>
  <c r="I133" i="53"/>
  <c r="I135" i="53"/>
  <c r="I136" i="53"/>
  <c r="F136" i="53" s="1"/>
  <c r="I137" i="53"/>
  <c r="F137" i="53" s="1"/>
  <c r="I138" i="53"/>
  <c r="I139" i="53"/>
  <c r="I141" i="53"/>
  <c r="I143" i="53"/>
  <c r="I145" i="53"/>
  <c r="I146" i="53"/>
  <c r="I147" i="53"/>
  <c r="F147" i="53" s="1"/>
  <c r="H148" i="53"/>
  <c r="I148" i="53" s="1"/>
  <c r="I149" i="53"/>
  <c r="I153" i="53"/>
  <c r="I162" i="53" s="1"/>
  <c r="I154" i="53"/>
  <c r="I155" i="53"/>
  <c r="I156" i="53"/>
  <c r="F156" i="53" s="1"/>
  <c r="I157" i="53"/>
  <c r="F157" i="53" s="1"/>
  <c r="I161" i="53"/>
  <c r="I166" i="53"/>
  <c r="I184" i="53" s="1"/>
  <c r="I168" i="53"/>
  <c r="I170" i="53"/>
  <c r="I172" i="53"/>
  <c r="I174" i="53"/>
  <c r="F174" i="53" s="1"/>
  <c r="I176" i="53"/>
  <c r="F176" i="53" s="1"/>
  <c r="I178" i="53"/>
  <c r="I179" i="53"/>
  <c r="I181" i="53"/>
  <c r="I182" i="53"/>
  <c r="I183" i="53"/>
  <c r="I13" i="53"/>
  <c r="F13" i="53"/>
  <c r="I53" i="53"/>
  <c r="F53" i="53" s="1"/>
  <c r="I15" i="53"/>
  <c r="F15" i="53" s="1"/>
  <c r="I16" i="53"/>
  <c r="F16" i="53" s="1"/>
  <c r="I17" i="53"/>
  <c r="F17" i="53"/>
  <c r="I40" i="53"/>
  <c r="F40" i="53" s="1"/>
  <c r="I21" i="53"/>
  <c r="F21" i="53" s="1"/>
  <c r="I24" i="53"/>
  <c r="F24" i="53" s="1"/>
  <c r="I26" i="53"/>
  <c r="F26" i="53"/>
  <c r="I32" i="53"/>
  <c r="F32" i="53" s="1"/>
  <c r="I44" i="53"/>
  <c r="F44" i="53" s="1"/>
  <c r="I34" i="53"/>
  <c r="F34" i="53" s="1"/>
  <c r="I35" i="53"/>
  <c r="F35" i="53"/>
  <c r="I37" i="53"/>
  <c r="F37" i="53" s="1"/>
  <c r="I25" i="53"/>
  <c r="F25" i="53" s="1"/>
  <c r="I43" i="53"/>
  <c r="F43" i="53" s="1"/>
  <c r="I46" i="53"/>
  <c r="F46" i="53"/>
  <c r="I20" i="53"/>
  <c r="I38" i="53"/>
  <c r="F38" i="53" s="1"/>
  <c r="I48" i="53"/>
  <c r="F48" i="53" s="1"/>
  <c r="I49" i="53"/>
  <c r="F49" i="53"/>
  <c r="I50" i="53"/>
  <c r="F50" i="53" s="1"/>
  <c r="I14" i="53"/>
  <c r="F14" i="53" s="1"/>
  <c r="I33" i="53"/>
  <c r="F33" i="53" s="1"/>
  <c r="I41" i="53"/>
  <c r="F41" i="53"/>
  <c r="I42" i="53"/>
  <c r="F42" i="53" s="1"/>
  <c r="I19" i="53"/>
  <c r="F19" i="53" s="1"/>
  <c r="I58" i="53"/>
  <c r="F58" i="53" s="1"/>
  <c r="I59" i="53"/>
  <c r="F59" i="53"/>
  <c r="I61" i="53"/>
  <c r="F61" i="53" s="1"/>
  <c r="I66" i="53"/>
  <c r="F66" i="53" s="1"/>
  <c r="F74" i="53" s="1"/>
  <c r="I67" i="53"/>
  <c r="F67" i="53"/>
  <c r="I68" i="53"/>
  <c r="F68" i="53"/>
  <c r="I69" i="53"/>
  <c r="F69" i="53"/>
  <c r="I70" i="53"/>
  <c r="F70" i="53" s="1"/>
  <c r="I71" i="53"/>
  <c r="F71" i="53"/>
  <c r="I73" i="53"/>
  <c r="F73" i="53"/>
  <c r="I80" i="53"/>
  <c r="F80" i="53" s="1"/>
  <c r="I82" i="53"/>
  <c r="F82" i="53" s="1"/>
  <c r="I85" i="53"/>
  <c r="F85" i="53"/>
  <c r="I86" i="53"/>
  <c r="F86" i="53"/>
  <c r="I87" i="53"/>
  <c r="F87" i="53" s="1"/>
  <c r="I89" i="53"/>
  <c r="F89" i="53" s="1"/>
  <c r="I91" i="53"/>
  <c r="F91" i="53"/>
  <c r="I92" i="53"/>
  <c r="F92" i="53"/>
  <c r="I94" i="53"/>
  <c r="F94" i="53" s="1"/>
  <c r="I95" i="53"/>
  <c r="F95" i="53" s="1"/>
  <c r="I96" i="53"/>
  <c r="F96" i="53"/>
  <c r="I98" i="53"/>
  <c r="F98" i="53" s="1"/>
  <c r="I100" i="53"/>
  <c r="F100" i="53" s="1"/>
  <c r="I102" i="53"/>
  <c r="F102" i="53" s="1"/>
  <c r="I74" i="53"/>
  <c r="I103" i="53"/>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52" i="53" s="1"/>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67" i="53" s="1"/>
  <c r="H379" i="53" s="1"/>
  <c r="H356" i="53"/>
  <c r="H357" i="53"/>
  <c r="H371" i="53"/>
  <c r="H374" i="53"/>
  <c r="H372" i="53"/>
  <c r="H373" i="53"/>
  <c r="H230" i="53"/>
  <c r="H243" i="53" s="1"/>
  <c r="H232" i="53"/>
  <c r="H234" i="53"/>
  <c r="H235" i="53"/>
  <c r="H237" i="53"/>
  <c r="H238" i="53"/>
  <c r="H239" i="53"/>
  <c r="H241" i="53"/>
  <c r="H242" i="53"/>
  <c r="H253" i="53"/>
  <c r="H254" i="53"/>
  <c r="H262" i="53"/>
  <c r="H255" i="53"/>
  <c r="H256" i="53"/>
  <c r="H267" i="53"/>
  <c r="H269" i="53"/>
  <c r="H277" i="53" s="1"/>
  <c r="H270" i="53"/>
  <c r="H272" i="53"/>
  <c r="H274" i="53"/>
  <c r="H276" i="53"/>
  <c r="H191" i="53"/>
  <c r="H193" i="53"/>
  <c r="H195" i="53"/>
  <c r="H197" i="53"/>
  <c r="H198" i="53"/>
  <c r="H200" i="53"/>
  <c r="H201" i="53"/>
  <c r="H202" i="53"/>
  <c r="H204" i="53"/>
  <c r="H205" i="53"/>
  <c r="H206" i="53"/>
  <c r="H210" i="53"/>
  <c r="H211" i="53"/>
  <c r="H217" i="53" s="1"/>
  <c r="H212" i="53"/>
  <c r="H213" i="53"/>
  <c r="H214" i="53"/>
  <c r="H215" i="53"/>
  <c r="H216" i="53"/>
  <c r="H222" i="53"/>
  <c r="H223" i="53"/>
  <c r="H224" i="53" s="1"/>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62" i="53" s="1"/>
  <c r="H155" i="53"/>
  <c r="H156" i="53"/>
  <c r="H157" i="53"/>
  <c r="H158" i="53"/>
  <c r="H159" i="53"/>
  <c r="H161" i="53"/>
  <c r="H166" i="53"/>
  <c r="H184" i="53" s="1"/>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75" i="53" s="1"/>
  <c r="G352" i="53"/>
  <c r="G367" i="53"/>
  <c r="G379" i="53" s="1"/>
  <c r="G374" i="53"/>
  <c r="G243" i="53"/>
  <c r="G278" i="53" s="1"/>
  <c r="G262" i="53"/>
  <c r="G277" i="53"/>
  <c r="G207" i="53"/>
  <c r="G217" i="53"/>
  <c r="G225" i="53" s="1"/>
  <c r="G224" i="53"/>
  <c r="G150" i="53"/>
  <c r="G185" i="53" s="1"/>
  <c r="G162" i="53"/>
  <c r="G184" i="53"/>
  <c r="G63" i="53"/>
  <c r="G74" i="53"/>
  <c r="G103" i="53"/>
  <c r="F284" i="53"/>
  <c r="F285" i="53"/>
  <c r="F286" i="53"/>
  <c r="F288" i="53"/>
  <c r="F289" i="53"/>
  <c r="F292" i="53"/>
  <c r="F293" i="53"/>
  <c r="F294" i="53"/>
  <c r="F296" i="53"/>
  <c r="F297" i="53"/>
  <c r="F298" i="53"/>
  <c r="F299" i="53"/>
  <c r="F302" i="53"/>
  <c r="F303" i="53"/>
  <c r="F304" i="53"/>
  <c r="F305" i="53"/>
  <c r="F306" i="53"/>
  <c r="F307" i="53"/>
  <c r="F308" i="53"/>
  <c r="F311" i="53"/>
  <c r="F312" i="53"/>
  <c r="F313" i="53"/>
  <c r="F314" i="53"/>
  <c r="F318" i="53"/>
  <c r="F319" i="53"/>
  <c r="F325" i="53"/>
  <c r="F326" i="53"/>
  <c r="F327" i="53"/>
  <c r="F328" i="53"/>
  <c r="F329" i="53"/>
  <c r="F330" i="53"/>
  <c r="F332" i="53"/>
  <c r="F333" i="53"/>
  <c r="F335" i="53"/>
  <c r="F336" i="53"/>
  <c r="F339" i="53"/>
  <c r="F340" i="53"/>
  <c r="F341" i="53"/>
  <c r="F342" i="53"/>
  <c r="F343" i="53"/>
  <c r="F344" i="53"/>
  <c r="F345" i="53"/>
  <c r="F346" i="53"/>
  <c r="F347" i="53"/>
  <c r="F351" i="53"/>
  <c r="F355" i="53"/>
  <c r="F367" i="53" s="1"/>
  <c r="F379" i="53" s="1"/>
  <c r="F356" i="53"/>
  <c r="F357" i="53"/>
  <c r="F372" i="53"/>
  <c r="F373" i="53"/>
  <c r="F230" i="53"/>
  <c r="F232" i="53"/>
  <c r="F234" i="53"/>
  <c r="F238" i="53"/>
  <c r="F239" i="53"/>
  <c r="F241" i="53"/>
  <c r="F253" i="53"/>
  <c r="F256" i="53"/>
  <c r="F267" i="53"/>
  <c r="F269" i="53"/>
  <c r="F270" i="53"/>
  <c r="F272" i="53"/>
  <c r="F276" i="53"/>
  <c r="F191" i="53"/>
  <c r="F193" i="53"/>
  <c r="F195" i="53"/>
  <c r="F197" i="53"/>
  <c r="F201" i="53"/>
  <c r="F202" i="53"/>
  <c r="F204" i="53"/>
  <c r="F205" i="53"/>
  <c r="F206" i="53"/>
  <c r="F210" i="53"/>
  <c r="F212" i="53"/>
  <c r="F213" i="53"/>
  <c r="F214" i="53"/>
  <c r="F215" i="53"/>
  <c r="F216" i="53"/>
  <c r="F222" i="53"/>
  <c r="F111" i="53"/>
  <c r="F112" i="53"/>
  <c r="F114" i="53"/>
  <c r="F115" i="53"/>
  <c r="F116" i="53"/>
  <c r="F119" i="53"/>
  <c r="F127" i="53"/>
  <c r="F129" i="53"/>
  <c r="F130" i="53"/>
  <c r="F132" i="53"/>
  <c r="F133" i="53"/>
  <c r="F134" i="53"/>
  <c r="F135" i="53"/>
  <c r="F138" i="53"/>
  <c r="F139" i="53"/>
  <c r="F141" i="53"/>
  <c r="F143" i="53"/>
  <c r="F145" i="53"/>
  <c r="F149" i="53"/>
  <c r="F153" i="53"/>
  <c r="F154" i="53"/>
  <c r="F162" i="53"/>
  <c r="F155" i="53"/>
  <c r="F158" i="53"/>
  <c r="F161" i="53"/>
  <c r="F166" i="53"/>
  <c r="F184" i="53" s="1"/>
  <c r="F168" i="53"/>
  <c r="F170" i="53"/>
  <c r="F172" i="53"/>
  <c r="F178" i="53"/>
  <c r="F179" i="53"/>
  <c r="F181" i="53"/>
  <c r="F182" i="53"/>
  <c r="F183" i="53"/>
  <c r="E321" i="53"/>
  <c r="E352" i="53"/>
  <c r="E367" i="53"/>
  <c r="E374" i="53"/>
  <c r="E375" i="53" s="1"/>
  <c r="E243" i="53"/>
  <c r="E278" i="53" s="1"/>
  <c r="E262" i="53"/>
  <c r="E277" i="53"/>
  <c r="E207" i="53"/>
  <c r="E217" i="53"/>
  <c r="E224" i="53"/>
  <c r="E150" i="53"/>
  <c r="E185" i="53"/>
  <c r="E162" i="53"/>
  <c r="E184" i="53"/>
  <c r="E63" i="53"/>
  <c r="E74" i="53"/>
  <c r="E103" i="53"/>
  <c r="D321" i="53"/>
  <c r="D375" i="53" s="1"/>
  <c r="D352" i="53"/>
  <c r="D367" i="53"/>
  <c r="D374" i="53"/>
  <c r="D243" i="53"/>
  <c r="D262" i="53"/>
  <c r="D277" i="53"/>
  <c r="D207" i="53"/>
  <c r="D225" i="53" s="1"/>
  <c r="D217" i="53"/>
  <c r="D224" i="53"/>
  <c r="D150" i="53"/>
  <c r="D185" i="53"/>
  <c r="D162" i="53"/>
  <c r="D184" i="53"/>
  <c r="D63" i="53"/>
  <c r="D74" i="53"/>
  <c r="D103" i="53"/>
  <c r="C321" i="53"/>
  <c r="C352" i="53"/>
  <c r="C367" i="53"/>
  <c r="C374" i="53"/>
  <c r="C243" i="53"/>
  <c r="C262" i="53"/>
  <c r="C278" i="53" s="1"/>
  <c r="C277" i="53"/>
  <c r="C207" i="53"/>
  <c r="C225" i="53"/>
  <c r="C217" i="53"/>
  <c r="C224" i="53"/>
  <c r="C150" i="53"/>
  <c r="C162" i="53"/>
  <c r="C185" i="53" s="1"/>
  <c r="C184" i="53"/>
  <c r="C63" i="53"/>
  <c r="C105" i="53"/>
  <c r="C74" i="53"/>
  <c r="C103" i="53"/>
  <c r="J380" i="53"/>
  <c r="G380" i="53"/>
  <c r="D380" i="53"/>
  <c r="K379" i="53"/>
  <c r="E379" i="53"/>
  <c r="D379" i="53"/>
  <c r="C379" i="53"/>
  <c r="P377" i="53"/>
  <c r="O377" i="53"/>
  <c r="N377" i="53"/>
  <c r="M377" i="53"/>
  <c r="L377" i="53"/>
  <c r="K63" i="53"/>
  <c r="K377" i="53"/>
  <c r="J63" i="53"/>
  <c r="G377" i="53"/>
  <c r="E377" i="53"/>
  <c r="C377" i="53"/>
  <c r="I77" i="53"/>
  <c r="F77" i="53" s="1"/>
  <c r="H77" i="53"/>
  <c r="I76" i="53"/>
  <c r="F76" i="53" s="1"/>
  <c r="H76" i="53"/>
  <c r="I75" i="53"/>
  <c r="H75" i="53"/>
  <c r="F75" i="53"/>
  <c r="I65" i="53"/>
  <c r="F65" i="53" s="1"/>
  <c r="H65" i="53"/>
  <c r="H25" i="52"/>
  <c r="H40" i="52"/>
  <c r="H14" i="52"/>
  <c r="H12" i="52"/>
  <c r="H13" i="52"/>
  <c r="H15" i="52"/>
  <c r="H16" i="52"/>
  <c r="H17" i="52"/>
  <c r="H18" i="52"/>
  <c r="H19" i="52"/>
  <c r="H20" i="52"/>
  <c r="H21" i="52"/>
  <c r="H22" i="52"/>
  <c r="H23" i="52"/>
  <c r="H24" i="52"/>
  <c r="H26" i="52"/>
  <c r="H27" i="52"/>
  <c r="H28" i="52"/>
  <c r="H29" i="52"/>
  <c r="H30" i="52"/>
  <c r="H31" i="52"/>
  <c r="H32" i="52"/>
  <c r="H33" i="52"/>
  <c r="H34" i="52"/>
  <c r="H35" i="52"/>
  <c r="H36" i="52"/>
  <c r="H37" i="52"/>
  <c r="H38" i="52"/>
  <c r="H39" i="52"/>
  <c r="H41" i="52"/>
  <c r="H43" i="52"/>
  <c r="H174" i="52"/>
  <c r="H175" i="52"/>
  <c r="H176" i="52"/>
  <c r="H177" i="52"/>
  <c r="H178" i="52"/>
  <c r="H179" i="52"/>
  <c r="H180" i="52"/>
  <c r="H181" i="52"/>
  <c r="H182" i="52"/>
  <c r="E10" i="19"/>
  <c r="E11" i="19"/>
  <c r="H61" i="52"/>
  <c r="H62" i="52"/>
  <c r="H63" i="52"/>
  <c r="H64" i="52"/>
  <c r="H66" i="52"/>
  <c r="H67" i="52"/>
  <c r="H68" i="52"/>
  <c r="H69" i="52"/>
  <c r="H70" i="52"/>
  <c r="H71" i="52"/>
  <c r="H72" i="52"/>
  <c r="H73" i="52"/>
  <c r="H74" i="52"/>
  <c r="H75" i="52"/>
  <c r="H168" i="52"/>
  <c r="H205" i="52"/>
  <c r="H206" i="52"/>
  <c r="H207" i="52"/>
  <c r="H208" i="52"/>
  <c r="H209" i="52"/>
  <c r="H210" i="52"/>
  <c r="E13" i="19"/>
  <c r="E14" i="19"/>
  <c r="E15" i="19"/>
  <c r="E16" i="19"/>
  <c r="E17" i="19"/>
  <c r="H192" i="52"/>
  <c r="H193" i="52"/>
  <c r="H194" i="52"/>
  <c r="H195" i="52"/>
  <c r="H156" i="52"/>
  <c r="H157" i="52"/>
  <c r="H158" i="52"/>
  <c r="H159" i="52"/>
  <c r="H160" i="52"/>
  <c r="H161" i="52"/>
  <c r="H162" i="52"/>
  <c r="H48" i="52"/>
  <c r="H49" i="52"/>
  <c r="H50" i="52"/>
  <c r="H51" i="52"/>
  <c r="H52" i="52"/>
  <c r="H53"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N21" i="7"/>
  <c r="N19" i="39"/>
  <c r="N20" i="39"/>
  <c r="N21" i="39"/>
  <c r="N22" i="39"/>
  <c r="N23" i="39"/>
  <c r="I174" i="52"/>
  <c r="F174" i="52" s="1"/>
  <c r="I175" i="52"/>
  <c r="F175" i="52" s="1"/>
  <c r="I176" i="52"/>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I169" i="52" s="1"/>
  <c r="N15" i="40"/>
  <c r="N16" i="40"/>
  <c r="N17" i="40"/>
  <c r="N18" i="40"/>
  <c r="N19" i="40"/>
  <c r="N20" i="40"/>
  <c r="N19" i="38"/>
  <c r="N20" i="38"/>
  <c r="N21" i="38"/>
  <c r="N22" i="38"/>
  <c r="C13" i="17"/>
  <c r="J183" i="52"/>
  <c r="J201" i="52"/>
  <c r="J211" i="52"/>
  <c r="J163" i="52"/>
  <c r="J169" i="52"/>
  <c r="J170" i="52" s="1"/>
  <c r="D183" i="52"/>
  <c r="D105" i="52"/>
  <c r="D131" i="52" s="1"/>
  <c r="E183" i="52"/>
  <c r="F176" i="52"/>
  <c r="G183" i="52"/>
  <c r="C183" i="52"/>
  <c r="C201" i="52"/>
  <c r="C211" i="52"/>
  <c r="D211" i="52"/>
  <c r="D169" i="52"/>
  <c r="D76" i="52"/>
  <c r="G169" i="52"/>
  <c r="G211" i="52"/>
  <c r="G76" i="52"/>
  <c r="E169" i="52"/>
  <c r="E211" i="52"/>
  <c r="E76" i="52"/>
  <c r="E56" i="52"/>
  <c r="E201" i="52"/>
  <c r="E163" i="52"/>
  <c r="D201" i="52"/>
  <c r="D163" i="52"/>
  <c r="D56" i="52"/>
  <c r="G201" i="52"/>
  <c r="G163" i="52"/>
  <c r="G56" i="52"/>
  <c r="F25" i="39"/>
  <c r="L375" i="53" s="1"/>
  <c r="F20" i="41"/>
  <c r="L278" i="53" s="1"/>
  <c r="F22" i="40"/>
  <c r="L225" i="53"/>
  <c r="L170" i="52"/>
  <c r="F25" i="38"/>
  <c r="L185" i="53" s="1"/>
  <c r="F24" i="7"/>
  <c r="L78" i="52" s="1"/>
  <c r="G17" i="39"/>
  <c r="O17" i="39"/>
  <c r="G18" i="39"/>
  <c r="K18" i="39" s="1"/>
  <c r="G19" i="39"/>
  <c r="K19" i="39" s="1"/>
  <c r="G20" i="39"/>
  <c r="K20" i="39" s="1"/>
  <c r="O20" i="39" s="1"/>
  <c r="G21" i="39"/>
  <c r="O21" i="39" s="1"/>
  <c r="O22" i="39"/>
  <c r="O23" i="39"/>
  <c r="G15" i="41"/>
  <c r="O15" i="41" s="1"/>
  <c r="G16" i="41"/>
  <c r="G17" i="41"/>
  <c r="O17" i="41"/>
  <c r="G18" i="41"/>
  <c r="K18" i="41" s="1"/>
  <c r="G15" i="40"/>
  <c r="O15" i="40"/>
  <c r="G16" i="40"/>
  <c r="K16" i="40" s="1"/>
  <c r="G17" i="40"/>
  <c r="O17" i="40"/>
  <c r="G18" i="40"/>
  <c r="O18" i="40"/>
  <c r="G19" i="40"/>
  <c r="O19" i="40"/>
  <c r="G20" i="40"/>
  <c r="O20" i="40" s="1"/>
  <c r="G15" i="38"/>
  <c r="K15" i="38" s="1"/>
  <c r="G16" i="38"/>
  <c r="E16" i="38" s="1"/>
  <c r="O16" i="38"/>
  <c r="G17" i="38"/>
  <c r="G18" i="38"/>
  <c r="O20" i="38"/>
  <c r="O21" i="38"/>
  <c r="O22" i="38"/>
  <c r="O23" i="38"/>
  <c r="O24" i="38"/>
  <c r="G14" i="7"/>
  <c r="G15" i="7"/>
  <c r="G16" i="7"/>
  <c r="K16" i="7" s="1"/>
  <c r="I16" i="7" s="1"/>
  <c r="G17" i="7"/>
  <c r="K17" i="7" s="1"/>
  <c r="G18" i="7"/>
  <c r="O18" i="7" s="1"/>
  <c r="G19" i="7"/>
  <c r="O20" i="7"/>
  <c r="G21" i="7"/>
  <c r="O21" i="7" s="1"/>
  <c r="M21" i="7" s="1"/>
  <c r="G22" i="7"/>
  <c r="L15" i="39"/>
  <c r="H17" i="39"/>
  <c r="L17" i="39"/>
  <c r="P17" i="39"/>
  <c r="H18" i="39"/>
  <c r="L18" i="39"/>
  <c r="H19" i="39"/>
  <c r="P19" i="39" s="1"/>
  <c r="L19" i="39"/>
  <c r="H20" i="39"/>
  <c r="L20" i="39"/>
  <c r="P20" i="39"/>
  <c r="H21" i="39"/>
  <c r="L21" i="39"/>
  <c r="P21" i="39"/>
  <c r="L22" i="39"/>
  <c r="P22" i="39" s="1"/>
  <c r="L23" i="39"/>
  <c r="P23" i="39"/>
  <c r="H15" i="41"/>
  <c r="P15" i="41" s="1"/>
  <c r="L15" i="41"/>
  <c r="H16" i="41"/>
  <c r="L16" i="41"/>
  <c r="H17" i="41"/>
  <c r="L17" i="41"/>
  <c r="H18" i="41"/>
  <c r="L18" i="41"/>
  <c r="P18" i="41" s="1"/>
  <c r="H15" i="40"/>
  <c r="L15" i="40"/>
  <c r="H16" i="40"/>
  <c r="P16" i="40" s="1"/>
  <c r="L16" i="40"/>
  <c r="H17" i="40"/>
  <c r="L17" i="40"/>
  <c r="P17" i="40" s="1"/>
  <c r="H18" i="40"/>
  <c r="L18" i="40"/>
  <c r="P18" i="40"/>
  <c r="M18" i="40" s="1"/>
  <c r="H19" i="40"/>
  <c r="P19" i="40" s="1"/>
  <c r="L19" i="40"/>
  <c r="H20" i="40"/>
  <c r="H15" i="38"/>
  <c r="L15" i="38"/>
  <c r="L18" i="38"/>
  <c r="P18" i="38" s="1"/>
  <c r="L19" i="38"/>
  <c r="P19" i="38" s="1"/>
  <c r="L20" i="38"/>
  <c r="P20" i="38" s="1"/>
  <c r="L21" i="38"/>
  <c r="P21" i="38" s="1"/>
  <c r="L22" i="38"/>
  <c r="P22" i="38"/>
  <c r="L23" i="38"/>
  <c r="P23" i="38"/>
  <c r="L24" i="38"/>
  <c r="P24" i="38" s="1"/>
  <c r="M24" i="38" s="1"/>
  <c r="H14" i="7"/>
  <c r="L14" i="7"/>
  <c r="P14" i="7"/>
  <c r="H15" i="7"/>
  <c r="L15" i="7"/>
  <c r="H16" i="7"/>
  <c r="L16" i="7"/>
  <c r="H17" i="7"/>
  <c r="L17" i="7"/>
  <c r="P17" i="7"/>
  <c r="H18" i="7"/>
  <c r="L18" i="7"/>
  <c r="I18" i="7" s="1"/>
  <c r="H19" i="7"/>
  <c r="L20" i="7"/>
  <c r="P20" i="7"/>
  <c r="H21" i="7"/>
  <c r="L21" i="7"/>
  <c r="P21" i="7"/>
  <c r="H22" i="7"/>
  <c r="P22" i="7" s="1"/>
  <c r="L22" i="7"/>
  <c r="L293" i="52"/>
  <c r="M293" i="52"/>
  <c r="N293" i="52"/>
  <c r="O293" i="52"/>
  <c r="P293" i="52"/>
  <c r="J290" i="51"/>
  <c r="J291" i="51"/>
  <c r="J292" i="51"/>
  <c r="J293" i="51"/>
  <c r="J294" i="51"/>
  <c r="F294" i="51" s="1"/>
  <c r="J298" i="51"/>
  <c r="J308" i="51" s="1"/>
  <c r="J300" i="51"/>
  <c r="J301" i="51"/>
  <c r="J329" i="51"/>
  <c r="J339" i="51" s="1"/>
  <c r="J323" i="51"/>
  <c r="J112" i="51"/>
  <c r="J164" i="51"/>
  <c r="K307" i="51"/>
  <c r="K308" i="51"/>
  <c r="K126" i="51"/>
  <c r="K165" i="51"/>
  <c r="K164" i="51"/>
  <c r="I247" i="51"/>
  <c r="I248" i="51"/>
  <c r="F248" i="51" s="1"/>
  <c r="I249" i="51"/>
  <c r="I250" i="51"/>
  <c r="I251" i="51"/>
  <c r="I252" i="51"/>
  <c r="F252" i="51" s="1"/>
  <c r="I253" i="51"/>
  <c r="I254" i="51"/>
  <c r="F254" i="51" s="1"/>
  <c r="I255" i="51"/>
  <c r="F255" i="51" s="1"/>
  <c r="I256" i="51"/>
  <c r="I257" i="51"/>
  <c r="I258" i="51"/>
  <c r="I259" i="51"/>
  <c r="I260" i="51"/>
  <c r="F260" i="51" s="1"/>
  <c r="I261" i="51"/>
  <c r="I262" i="51"/>
  <c r="F262" i="51" s="1"/>
  <c r="I263" i="51"/>
  <c r="F263" i="51" s="1"/>
  <c r="I264" i="51"/>
  <c r="I265" i="51"/>
  <c r="I266" i="51"/>
  <c r="I267" i="51"/>
  <c r="I268" i="51"/>
  <c r="F268" i="51" s="1"/>
  <c r="I269" i="51"/>
  <c r="I270" i="51"/>
  <c r="F270" i="51" s="1"/>
  <c r="I271" i="51"/>
  <c r="F271" i="51" s="1"/>
  <c r="I272" i="51"/>
  <c r="I282" i="51"/>
  <c r="I283" i="51"/>
  <c r="I284" i="51"/>
  <c r="I285" i="51"/>
  <c r="I286" i="51"/>
  <c r="F286" i="51" s="1"/>
  <c r="I287" i="51"/>
  <c r="F287" i="51" s="1"/>
  <c r="I288" i="51"/>
  <c r="I289" i="51"/>
  <c r="I297" i="51"/>
  <c r="I299" i="51"/>
  <c r="I302" i="51"/>
  <c r="I303" i="51"/>
  <c r="F303" i="51" s="1"/>
  <c r="I304" i="51"/>
  <c r="F304" i="51" s="1"/>
  <c r="I305" i="51"/>
  <c r="I306" i="51"/>
  <c r="I327" i="51"/>
  <c r="I328" i="51"/>
  <c r="F328" i="51" s="1"/>
  <c r="F329" i="51" s="1"/>
  <c r="C311" i="51"/>
  <c r="H311" i="51" s="1"/>
  <c r="H323" i="51" s="1"/>
  <c r="H338" i="51" s="1"/>
  <c r="E311" i="51"/>
  <c r="I311" i="51"/>
  <c r="I312" i="51"/>
  <c r="I313" i="51"/>
  <c r="I204" i="51"/>
  <c r="I205" i="51"/>
  <c r="I206" i="51"/>
  <c r="I207" i="51"/>
  <c r="I208" i="51"/>
  <c r="I209" i="51"/>
  <c r="I210" i="51"/>
  <c r="I220" i="51"/>
  <c r="I221" i="51"/>
  <c r="I222" i="51"/>
  <c r="I229" i="51"/>
  <c r="I233" i="51"/>
  <c r="I239" i="51" s="1"/>
  <c r="I234" i="51"/>
  <c r="I235" i="51"/>
  <c r="I236" i="51"/>
  <c r="F236" i="51" s="1"/>
  <c r="I237" i="51"/>
  <c r="I238" i="51"/>
  <c r="F238" i="51" s="1"/>
  <c r="I96" i="51"/>
  <c r="I97" i="51"/>
  <c r="I98" i="51"/>
  <c r="I99" i="51"/>
  <c r="F99" i="51" s="1"/>
  <c r="I100" i="51"/>
  <c r="I101" i="51"/>
  <c r="F101" i="51" s="1"/>
  <c r="I102" i="51"/>
  <c r="F102" i="51" s="1"/>
  <c r="I103" i="51"/>
  <c r="I104" i="51"/>
  <c r="I105" i="51"/>
  <c r="I106" i="51"/>
  <c r="I107" i="51"/>
  <c r="F107" i="51" s="1"/>
  <c r="I108" i="51"/>
  <c r="I109" i="51"/>
  <c r="F109" i="51" s="1"/>
  <c r="I110" i="51"/>
  <c r="F110" i="51" s="1"/>
  <c r="I111" i="51"/>
  <c r="I113" i="51"/>
  <c r="I114" i="51"/>
  <c r="I115" i="51"/>
  <c r="I116" i="51"/>
  <c r="F116" i="51" s="1"/>
  <c r="I117" i="51"/>
  <c r="I118" i="51"/>
  <c r="F118" i="51" s="1"/>
  <c r="I119" i="51"/>
  <c r="I124" i="51"/>
  <c r="I149" i="51"/>
  <c r="I150" i="51"/>
  <c r="I151" i="51"/>
  <c r="I152" i="51"/>
  <c r="I153" i="51"/>
  <c r="F153" i="51" s="1"/>
  <c r="I154" i="51"/>
  <c r="F154" i="51" s="1"/>
  <c r="I155" i="51"/>
  <c r="I156" i="51"/>
  <c r="I157" i="51"/>
  <c r="I158" i="51"/>
  <c r="I159" i="51"/>
  <c r="F159" i="51" s="1"/>
  <c r="I160" i="51"/>
  <c r="I161" i="51"/>
  <c r="F161" i="51" s="1"/>
  <c r="I162" i="51"/>
  <c r="F162" i="51" s="1"/>
  <c r="I163" i="51"/>
  <c r="C137" i="51"/>
  <c r="C140" i="51"/>
  <c r="E137" i="51"/>
  <c r="I137" i="51"/>
  <c r="I138" i="51"/>
  <c r="F138" i="51" s="1"/>
  <c r="I139" i="51"/>
  <c r="F139" i="51" s="1"/>
  <c r="E140" i="51"/>
  <c r="I141" i="51"/>
  <c r="F141" i="51" s="1"/>
  <c r="I142" i="51"/>
  <c r="I143" i="51"/>
  <c r="I145" i="51"/>
  <c r="I12" i="51"/>
  <c r="I13" i="51"/>
  <c r="F13" i="51" s="1"/>
  <c r="I14" i="51"/>
  <c r="F14" i="51" s="1"/>
  <c r="I15" i="51"/>
  <c r="F15" i="51" s="1"/>
  <c r="I16" i="51"/>
  <c r="I17" i="51"/>
  <c r="I18" i="51"/>
  <c r="I19" i="51"/>
  <c r="I20" i="51"/>
  <c r="I21" i="51"/>
  <c r="F21" i="51" s="1"/>
  <c r="I22" i="51"/>
  <c r="F22" i="51" s="1"/>
  <c r="I23" i="51"/>
  <c r="F23" i="51" s="1"/>
  <c r="I24" i="51"/>
  <c r="I25" i="51"/>
  <c r="I26" i="51"/>
  <c r="I27" i="51"/>
  <c r="I28" i="51"/>
  <c r="I29" i="51"/>
  <c r="I30" i="51"/>
  <c r="F30" i="51" s="1"/>
  <c r="I31" i="51"/>
  <c r="F31" i="51" s="1"/>
  <c r="I32" i="51"/>
  <c r="I33" i="51"/>
  <c r="I34" i="51"/>
  <c r="I35" i="51"/>
  <c r="I36" i="51"/>
  <c r="I37" i="51"/>
  <c r="F37" i="51" s="1"/>
  <c r="I38" i="51"/>
  <c r="F38" i="51" s="1"/>
  <c r="I39" i="51"/>
  <c r="F39" i="51" s="1"/>
  <c r="I40" i="51"/>
  <c r="I41" i="51"/>
  <c r="I42" i="51"/>
  <c r="I43" i="51"/>
  <c r="I44" i="51"/>
  <c r="I45" i="51"/>
  <c r="F45" i="51" s="1"/>
  <c r="I46" i="51"/>
  <c r="F46" i="51" s="1"/>
  <c r="I55" i="51"/>
  <c r="I56" i="51"/>
  <c r="I57" i="51"/>
  <c r="I58" i="51"/>
  <c r="I59" i="51"/>
  <c r="I60" i="51"/>
  <c r="F60" i="51" s="1"/>
  <c r="I61" i="51"/>
  <c r="F61" i="51" s="1"/>
  <c r="I62" i="51"/>
  <c r="F62" i="51" s="1"/>
  <c r="I68" i="51"/>
  <c r="C69" i="51"/>
  <c r="I69" i="51" s="1"/>
  <c r="E69" i="51"/>
  <c r="I70" i="51"/>
  <c r="I71" i="51"/>
  <c r="F71" i="51" s="1"/>
  <c r="I72" i="51"/>
  <c r="I73" i="51"/>
  <c r="F73" i="51" s="1"/>
  <c r="I74" i="51"/>
  <c r="I75" i="51"/>
  <c r="I76" i="51"/>
  <c r="I77" i="51"/>
  <c r="I78" i="51"/>
  <c r="I79" i="51"/>
  <c r="F79" i="51" s="1"/>
  <c r="I80" i="51"/>
  <c r="I81" i="51"/>
  <c r="F81" i="51" s="1"/>
  <c r="I82" i="51"/>
  <c r="L240" i="51"/>
  <c r="L165" i="51"/>
  <c r="L85" i="51"/>
  <c r="H247" i="51"/>
  <c r="H273" i="51" s="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83" i="51"/>
  <c r="H284" i="51"/>
  <c r="H285" i="51"/>
  <c r="H286" i="51"/>
  <c r="H287" i="51"/>
  <c r="H288" i="51"/>
  <c r="H289" i="51"/>
  <c r="H290" i="51"/>
  <c r="H291" i="51"/>
  <c r="H292" i="51"/>
  <c r="H293" i="51"/>
  <c r="H294" i="51"/>
  <c r="H295" i="51"/>
  <c r="H297" i="51"/>
  <c r="H298" i="51"/>
  <c r="H299" i="51"/>
  <c r="H300" i="51"/>
  <c r="H301" i="51"/>
  <c r="H302" i="51"/>
  <c r="H303" i="51"/>
  <c r="H304" i="51"/>
  <c r="H305" i="51"/>
  <c r="H306" i="51"/>
  <c r="H307" i="51"/>
  <c r="H327" i="51"/>
  <c r="H329" i="51" s="1"/>
  <c r="H328" i="51"/>
  <c r="D311" i="51"/>
  <c r="H312" i="51"/>
  <c r="H313" i="51"/>
  <c r="H204" i="51"/>
  <c r="H205" i="51"/>
  <c r="H206" i="51"/>
  <c r="H207" i="51"/>
  <c r="H208" i="51"/>
  <c r="H209" i="51"/>
  <c r="H210" i="51"/>
  <c r="H220" i="51"/>
  <c r="H221" i="51"/>
  <c r="H223" i="51" s="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7" i="51"/>
  <c r="H138" i="51"/>
  <c r="H139" i="51"/>
  <c r="D140" i="51"/>
  <c r="H141" i="51"/>
  <c r="H142" i="51"/>
  <c r="H143" i="51"/>
  <c r="H145" i="51"/>
  <c r="H12" i="51"/>
  <c r="H13" i="51"/>
  <c r="H14" i="51"/>
  <c r="H15" i="51"/>
  <c r="H16" i="51"/>
  <c r="H17" i="51"/>
  <c r="H18" i="51"/>
  <c r="H19" i="51"/>
  <c r="H20" i="51"/>
  <c r="H21" i="51"/>
  <c r="H48" i="51" s="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3" i="51" s="1"/>
  <c r="H68" i="51"/>
  <c r="D69" i="51"/>
  <c r="H69" i="51" s="1"/>
  <c r="H70" i="51"/>
  <c r="H71" i="51"/>
  <c r="H72" i="51"/>
  <c r="H73" i="51"/>
  <c r="H74" i="51"/>
  <c r="H75" i="51"/>
  <c r="H76" i="51"/>
  <c r="H77" i="51"/>
  <c r="H78" i="51"/>
  <c r="H79" i="51"/>
  <c r="H80" i="51"/>
  <c r="H81" i="51"/>
  <c r="H82" i="51"/>
  <c r="H83" i="51"/>
  <c r="G273" i="51"/>
  <c r="G330" i="51" s="1"/>
  <c r="G295" i="51"/>
  <c r="G308" i="51"/>
  <c r="G329" i="51"/>
  <c r="G323" i="51"/>
  <c r="G211" i="51"/>
  <c r="G223" i="51"/>
  <c r="G240" i="51"/>
  <c r="G229" i="51"/>
  <c r="G239" i="51"/>
  <c r="G126" i="51"/>
  <c r="G164" i="51"/>
  <c r="G146" i="51"/>
  <c r="G48" i="51"/>
  <c r="G85" i="51" s="1"/>
  <c r="G63" i="51"/>
  <c r="G83" i="51"/>
  <c r="F249" i="51"/>
  <c r="F250" i="51"/>
  <c r="F251" i="51"/>
  <c r="F253" i="51"/>
  <c r="F256" i="51"/>
  <c r="F257" i="51"/>
  <c r="F258" i="51"/>
  <c r="F259" i="51"/>
  <c r="F261" i="51"/>
  <c r="F264" i="51"/>
  <c r="F265" i="51"/>
  <c r="F266" i="51"/>
  <c r="F267" i="51"/>
  <c r="F269" i="51"/>
  <c r="F272" i="51"/>
  <c r="F282" i="51"/>
  <c r="F283" i="51"/>
  <c r="F284" i="51"/>
  <c r="F288" i="51"/>
  <c r="F289" i="51"/>
  <c r="F290" i="51"/>
  <c r="F291" i="51"/>
  <c r="F292" i="51"/>
  <c r="F297" i="51"/>
  <c r="F298" i="51"/>
  <c r="F299" i="51"/>
  <c r="F300" i="51"/>
  <c r="F301" i="51"/>
  <c r="F305" i="51"/>
  <c r="F306" i="51"/>
  <c r="F307" i="51"/>
  <c r="F327" i="51"/>
  <c r="F312" i="51"/>
  <c r="F313" i="51"/>
  <c r="F317" i="51"/>
  <c r="F318" i="51"/>
  <c r="F321" i="51"/>
  <c r="F322" i="51"/>
  <c r="F204" i="51"/>
  <c r="F205" i="51"/>
  <c r="F207" i="51"/>
  <c r="F208" i="51"/>
  <c r="F209" i="51"/>
  <c r="F210" i="51"/>
  <c r="F220" i="51"/>
  <c r="F221" i="51"/>
  <c r="F229" i="51"/>
  <c r="F233" i="51"/>
  <c r="F234" i="51"/>
  <c r="F235" i="51"/>
  <c r="F237" i="51"/>
  <c r="F97" i="51"/>
  <c r="F98" i="51"/>
  <c r="F100" i="51"/>
  <c r="F103" i="51"/>
  <c r="F104" i="51"/>
  <c r="F105" i="51"/>
  <c r="F106" i="51"/>
  <c r="F108" i="51"/>
  <c r="F111" i="51"/>
  <c r="F113" i="51"/>
  <c r="F114" i="51"/>
  <c r="F115" i="51"/>
  <c r="F117" i="51"/>
  <c r="F119" i="51"/>
  <c r="F124" i="51"/>
  <c r="F149" i="51"/>
  <c r="F150" i="51"/>
  <c r="F152" i="51"/>
  <c r="F155" i="51"/>
  <c r="F156" i="51"/>
  <c r="F157" i="51"/>
  <c r="F158" i="51"/>
  <c r="F160" i="51"/>
  <c r="F163" i="51"/>
  <c r="F137" i="51"/>
  <c r="F142" i="51"/>
  <c r="F143" i="51"/>
  <c r="F145" i="51"/>
  <c r="F12" i="51"/>
  <c r="F16" i="51"/>
  <c r="F17" i="51"/>
  <c r="F18" i="51"/>
  <c r="F19" i="51"/>
  <c r="F20" i="51"/>
  <c r="F24" i="51"/>
  <c r="F25" i="51"/>
  <c r="F26" i="51"/>
  <c r="F27" i="51"/>
  <c r="F28" i="51"/>
  <c r="F29" i="51"/>
  <c r="F32" i="51"/>
  <c r="F33" i="51"/>
  <c r="F34" i="51"/>
  <c r="F35" i="51"/>
  <c r="F36" i="51"/>
  <c r="F40" i="51"/>
  <c r="F41" i="51"/>
  <c r="F42" i="51"/>
  <c r="F43" i="51"/>
  <c r="F44" i="51"/>
  <c r="F56" i="51"/>
  <c r="F57" i="51"/>
  <c r="F58" i="51"/>
  <c r="F59" i="51"/>
  <c r="F68" i="51"/>
  <c r="F70" i="51"/>
  <c r="F72" i="51"/>
  <c r="F74" i="51"/>
  <c r="F75" i="51"/>
  <c r="F76" i="51"/>
  <c r="F77" i="51"/>
  <c r="F78" i="51"/>
  <c r="F80" i="51"/>
  <c r="F82" i="51"/>
  <c r="E164" i="51"/>
  <c r="E165" i="51"/>
  <c r="E341" i="51"/>
  <c r="D164" i="51"/>
  <c r="D339" i="51" s="1"/>
  <c r="D165" i="51"/>
  <c r="D341" i="51"/>
  <c r="C164" i="51"/>
  <c r="P339" i="51"/>
  <c r="O339" i="51"/>
  <c r="N339" i="51"/>
  <c r="M339" i="51"/>
  <c r="L339" i="51"/>
  <c r="K339" i="51"/>
  <c r="E339" i="51"/>
  <c r="P338" i="51"/>
  <c r="O338" i="51"/>
  <c r="N338" i="51"/>
  <c r="M338" i="51"/>
  <c r="L338" i="51"/>
  <c r="K338" i="51"/>
  <c r="J338" i="51"/>
  <c r="G338" i="51"/>
  <c r="E338" i="51"/>
  <c r="D338" i="51"/>
  <c r="C338" i="51"/>
  <c r="P337" i="51"/>
  <c r="O337" i="51"/>
  <c r="N337" i="51"/>
  <c r="M337" i="51"/>
  <c r="L337" i="51"/>
  <c r="I188" i="51"/>
  <c r="F188" i="51"/>
  <c r="I189" i="51"/>
  <c r="F189" i="51" s="1"/>
  <c r="I190" i="51"/>
  <c r="I191" i="51"/>
  <c r="C192" i="51"/>
  <c r="E192" i="51"/>
  <c r="I193" i="51"/>
  <c r="I194" i="51"/>
  <c r="F194" i="51" s="1"/>
  <c r="H188" i="51"/>
  <c r="H189" i="51"/>
  <c r="H190" i="51"/>
  <c r="H191" i="51"/>
  <c r="H195" i="51" s="1"/>
  <c r="D192" i="51"/>
  <c r="H192" i="51"/>
  <c r="H193" i="51"/>
  <c r="H194" i="51"/>
  <c r="G195" i="51"/>
  <c r="F191" i="51"/>
  <c r="F193" i="51"/>
  <c r="E295" i="51"/>
  <c r="D295" i="51"/>
  <c r="D337" i="51" s="1"/>
  <c r="C295" i="51"/>
  <c r="K336" i="51"/>
  <c r="I171" i="51"/>
  <c r="I172" i="51"/>
  <c r="F172" i="51"/>
  <c r="I173" i="51"/>
  <c r="I174" i="51"/>
  <c r="F174" i="51" s="1"/>
  <c r="I175" i="51"/>
  <c r="F175" i="51" s="1"/>
  <c r="I176" i="51"/>
  <c r="F176" i="51" s="1"/>
  <c r="I177" i="51"/>
  <c r="I178" i="51"/>
  <c r="F178" i="51" s="1"/>
  <c r="I179" i="51"/>
  <c r="F179" i="51" s="1"/>
  <c r="I180" i="51"/>
  <c r="F180" i="51"/>
  <c r="I181" i="51"/>
  <c r="F181" i="51" s="1"/>
  <c r="C182" i="51"/>
  <c r="I182" i="51" s="1"/>
  <c r="F182" i="51" s="1"/>
  <c r="E182" i="51"/>
  <c r="I183" i="51"/>
  <c r="F183" i="51" s="1"/>
  <c r="I184" i="51"/>
  <c r="F184" i="51"/>
  <c r="H171" i="51"/>
  <c r="H172" i="51"/>
  <c r="H173" i="51"/>
  <c r="H174" i="51"/>
  <c r="H175" i="51"/>
  <c r="H176" i="51"/>
  <c r="H177" i="51"/>
  <c r="H178" i="51"/>
  <c r="H179" i="51"/>
  <c r="H180" i="51"/>
  <c r="H181" i="51"/>
  <c r="D182" i="51"/>
  <c r="H183" i="51"/>
  <c r="H184" i="51"/>
  <c r="G185" i="51"/>
  <c r="G336" i="51"/>
  <c r="F171" i="51"/>
  <c r="F173" i="51"/>
  <c r="F177" i="51"/>
  <c r="E273" i="51"/>
  <c r="E336" i="51" s="1"/>
  <c r="D273" i="51"/>
  <c r="D336" i="51" s="1"/>
  <c r="C273" i="51"/>
  <c r="C336" i="51" s="1"/>
  <c r="E333" i="51"/>
  <c r="E326" i="51"/>
  <c r="D333" i="51"/>
  <c r="D326" i="51"/>
  <c r="C333" i="51"/>
  <c r="C326" i="51"/>
  <c r="E212" i="51"/>
  <c r="E225" i="51"/>
  <c r="E231" i="51"/>
  <c r="E241" i="51"/>
  <c r="D212" i="51"/>
  <c r="D242" i="51" s="1"/>
  <c r="D225" i="51"/>
  <c r="D231" i="51"/>
  <c r="D241" i="51"/>
  <c r="C212" i="51"/>
  <c r="C225" i="51"/>
  <c r="C242" i="51"/>
  <c r="C231" i="51"/>
  <c r="C241" i="51"/>
  <c r="C198" i="51"/>
  <c r="E198" i="51"/>
  <c r="D198" i="51"/>
  <c r="D199" i="51"/>
  <c r="E120" i="51"/>
  <c r="D120" i="51"/>
  <c r="C120" i="51"/>
  <c r="E54" i="51"/>
  <c r="E91" i="51" s="1"/>
  <c r="E89" i="51"/>
  <c r="D54" i="51"/>
  <c r="D89" i="51"/>
  <c r="C54" i="51"/>
  <c r="C91" i="51" s="1"/>
  <c r="C89" i="51"/>
  <c r="J290" i="50"/>
  <c r="J291" i="50"/>
  <c r="J292" i="50"/>
  <c r="J293" i="50"/>
  <c r="F293" i="50" s="1"/>
  <c r="J294" i="50"/>
  <c r="J298" i="50"/>
  <c r="J300" i="50"/>
  <c r="J301" i="50"/>
  <c r="J308" i="50" s="1"/>
  <c r="J329" i="50"/>
  <c r="J339" i="50" s="1"/>
  <c r="J323" i="50"/>
  <c r="J112" i="50"/>
  <c r="J126" i="50" s="1"/>
  <c r="J164" i="50"/>
  <c r="K307" i="50"/>
  <c r="K126" i="50"/>
  <c r="K164" i="50"/>
  <c r="K165" i="50"/>
  <c r="I247" i="50"/>
  <c r="F247" i="50" s="1"/>
  <c r="I248" i="50"/>
  <c r="F248" i="50" s="1"/>
  <c r="I249" i="50"/>
  <c r="I250" i="50"/>
  <c r="I251" i="50"/>
  <c r="I252" i="50"/>
  <c r="I253" i="50"/>
  <c r="I254" i="50"/>
  <c r="F254" i="50" s="1"/>
  <c r="I255" i="50"/>
  <c r="F255" i="50" s="1"/>
  <c r="I256" i="50"/>
  <c r="F256" i="50" s="1"/>
  <c r="I257" i="50"/>
  <c r="I258" i="50"/>
  <c r="I259" i="50"/>
  <c r="I260" i="50"/>
  <c r="I261" i="50"/>
  <c r="I262" i="50"/>
  <c r="F262" i="50" s="1"/>
  <c r="I263" i="50"/>
  <c r="F263" i="50" s="1"/>
  <c r="I264" i="50"/>
  <c r="F264" i="50" s="1"/>
  <c r="I265" i="50"/>
  <c r="I266" i="50"/>
  <c r="I267" i="50"/>
  <c r="I268" i="50"/>
  <c r="I269" i="50"/>
  <c r="I270" i="50"/>
  <c r="F270" i="50" s="1"/>
  <c r="I271" i="50"/>
  <c r="F271" i="50" s="1"/>
  <c r="I272" i="50"/>
  <c r="F272" i="50" s="1"/>
  <c r="I282" i="50"/>
  <c r="I283" i="50"/>
  <c r="I284" i="50"/>
  <c r="I285" i="50"/>
  <c r="F285" i="50" s="1"/>
  <c r="I286" i="50"/>
  <c r="I287" i="50"/>
  <c r="F287" i="50" s="1"/>
  <c r="I288" i="50"/>
  <c r="F288" i="50" s="1"/>
  <c r="I289" i="50"/>
  <c r="F289" i="50" s="1"/>
  <c r="I297" i="50"/>
  <c r="I308" i="50" s="1"/>
  <c r="I299" i="50"/>
  <c r="I302" i="50"/>
  <c r="I303" i="50"/>
  <c r="I304" i="50"/>
  <c r="F304" i="50" s="1"/>
  <c r="I305" i="50"/>
  <c r="F305" i="50" s="1"/>
  <c r="I306" i="50"/>
  <c r="I327" i="50"/>
  <c r="I328" i="50"/>
  <c r="I329" i="50"/>
  <c r="C311" i="50"/>
  <c r="I311" i="50"/>
  <c r="E311" i="50"/>
  <c r="E334" i="50" s="1"/>
  <c r="I312" i="50"/>
  <c r="F312" i="50" s="1"/>
  <c r="I313" i="50"/>
  <c r="I204" i="50"/>
  <c r="I211" i="50" s="1"/>
  <c r="I205" i="50"/>
  <c r="I206" i="50"/>
  <c r="F206" i="50" s="1"/>
  <c r="I207" i="50"/>
  <c r="I208" i="50"/>
  <c r="F208" i="50" s="1"/>
  <c r="I209" i="50"/>
  <c r="I210" i="50"/>
  <c r="F210" i="50" s="1"/>
  <c r="I220" i="50"/>
  <c r="I221" i="50"/>
  <c r="I222" i="50"/>
  <c r="F222" i="50" s="1"/>
  <c r="I229" i="50"/>
  <c r="I233" i="50"/>
  <c r="I234" i="50"/>
  <c r="I235" i="50"/>
  <c r="F235" i="50" s="1"/>
  <c r="I236" i="50"/>
  <c r="I237" i="50"/>
  <c r="I238" i="50"/>
  <c r="I96" i="50"/>
  <c r="I97" i="50"/>
  <c r="I98" i="50"/>
  <c r="I99" i="50"/>
  <c r="I100" i="50"/>
  <c r="I101" i="50"/>
  <c r="F101" i="50" s="1"/>
  <c r="I102" i="50"/>
  <c r="I103" i="50"/>
  <c r="I104" i="50"/>
  <c r="I105" i="50"/>
  <c r="I106" i="50"/>
  <c r="I107" i="50"/>
  <c r="I108" i="50"/>
  <c r="I109" i="50"/>
  <c r="F109" i="50" s="1"/>
  <c r="I110" i="50"/>
  <c r="I111" i="50"/>
  <c r="I113" i="50"/>
  <c r="I114" i="50"/>
  <c r="I115" i="50"/>
  <c r="I116" i="50"/>
  <c r="F116" i="50" s="1"/>
  <c r="I117" i="50"/>
  <c r="I118" i="50"/>
  <c r="F118" i="50" s="1"/>
  <c r="I119" i="50"/>
  <c r="I124" i="50"/>
  <c r="F124" i="50" s="1"/>
  <c r="I149" i="50"/>
  <c r="I150" i="50"/>
  <c r="I151" i="50"/>
  <c r="I152" i="50"/>
  <c r="I153" i="50"/>
  <c r="I154" i="50"/>
  <c r="F154" i="50" s="1"/>
  <c r="I155" i="50"/>
  <c r="I156" i="50"/>
  <c r="I157" i="50"/>
  <c r="I158" i="50"/>
  <c r="I159" i="50"/>
  <c r="I160" i="50"/>
  <c r="I161" i="50"/>
  <c r="I162" i="50"/>
  <c r="F162" i="50" s="1"/>
  <c r="I163" i="50"/>
  <c r="C137" i="50"/>
  <c r="E137" i="50"/>
  <c r="I137" i="50"/>
  <c r="I138" i="50"/>
  <c r="I139" i="50"/>
  <c r="F139" i="50" s="1"/>
  <c r="C140" i="50"/>
  <c r="I141" i="50"/>
  <c r="F141" i="50" s="1"/>
  <c r="I142" i="50"/>
  <c r="I143" i="50"/>
  <c r="I145" i="50"/>
  <c r="I12" i="50"/>
  <c r="I13" i="50"/>
  <c r="I14" i="50"/>
  <c r="F14" i="50" s="1"/>
  <c r="I15" i="50"/>
  <c r="F15" i="50" s="1"/>
  <c r="I16" i="50"/>
  <c r="F16" i="50" s="1"/>
  <c r="I17" i="50"/>
  <c r="I18" i="50"/>
  <c r="I19" i="50"/>
  <c r="I20" i="50"/>
  <c r="I21" i="50"/>
  <c r="I22" i="50"/>
  <c r="F22" i="50" s="1"/>
  <c r="I23" i="50"/>
  <c r="F23" i="50" s="1"/>
  <c r="I24" i="50"/>
  <c r="F24" i="50" s="1"/>
  <c r="I25" i="50"/>
  <c r="I26" i="50"/>
  <c r="I27" i="50"/>
  <c r="I28" i="50"/>
  <c r="I29" i="50"/>
  <c r="I30" i="50"/>
  <c r="F30" i="50" s="1"/>
  <c r="I31" i="50"/>
  <c r="F31" i="50" s="1"/>
  <c r="I32" i="50"/>
  <c r="F32" i="50" s="1"/>
  <c r="I33" i="50"/>
  <c r="I34" i="50"/>
  <c r="I35" i="50"/>
  <c r="I36" i="50"/>
  <c r="I37" i="50"/>
  <c r="I38" i="50"/>
  <c r="F38" i="50" s="1"/>
  <c r="I39" i="50"/>
  <c r="F39" i="50" s="1"/>
  <c r="I40" i="50"/>
  <c r="F40" i="50" s="1"/>
  <c r="I41" i="50"/>
  <c r="I42" i="50"/>
  <c r="I43" i="50"/>
  <c r="I44" i="50"/>
  <c r="I45" i="50"/>
  <c r="I46" i="50"/>
  <c r="F46" i="50" s="1"/>
  <c r="I55" i="50"/>
  <c r="I56" i="50"/>
  <c r="I57" i="50"/>
  <c r="I58" i="50"/>
  <c r="F58" i="50" s="1"/>
  <c r="I59" i="50"/>
  <c r="I60" i="50"/>
  <c r="I61" i="50"/>
  <c r="F61" i="50" s="1"/>
  <c r="I62" i="50"/>
  <c r="F62" i="50" s="1"/>
  <c r="I68" i="50"/>
  <c r="C69" i="50"/>
  <c r="I69" i="50" s="1"/>
  <c r="F69" i="50"/>
  <c r="E69" i="50"/>
  <c r="I70" i="50"/>
  <c r="I71" i="50"/>
  <c r="F71" i="50" s="1"/>
  <c r="I72" i="50"/>
  <c r="F72" i="50" s="1"/>
  <c r="I73" i="50"/>
  <c r="I74" i="50"/>
  <c r="I75" i="50"/>
  <c r="I76" i="50"/>
  <c r="F76" i="50" s="1"/>
  <c r="I77" i="50"/>
  <c r="I78" i="50"/>
  <c r="F78" i="50" s="1"/>
  <c r="I79" i="50"/>
  <c r="F79" i="50" s="1"/>
  <c r="I80" i="50"/>
  <c r="F80" i="50" s="1"/>
  <c r="I81" i="50"/>
  <c r="I82" i="50"/>
  <c r="L330" i="50"/>
  <c r="L240" i="50"/>
  <c r="L165" i="50"/>
  <c r="L85" i="50"/>
  <c r="L341" i="50" s="1"/>
  <c r="H247" i="50"/>
  <c r="H273" i="50" s="1"/>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95" i="50" s="1"/>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H329" i="50" s="1"/>
  <c r="D311" i="50"/>
  <c r="H312" i="50"/>
  <c r="H313" i="50"/>
  <c r="H204" i="50"/>
  <c r="H205" i="50"/>
  <c r="H211" i="50" s="1"/>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D140"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59" i="50"/>
  <c r="H60" i="50"/>
  <c r="H62" i="50"/>
  <c r="H68" i="50"/>
  <c r="D69" i="50"/>
  <c r="H69" i="50" s="1"/>
  <c r="H70" i="50"/>
  <c r="H71" i="50"/>
  <c r="H72" i="50"/>
  <c r="H73" i="50"/>
  <c r="H74" i="50"/>
  <c r="H75" i="50"/>
  <c r="H76" i="50"/>
  <c r="H77" i="50"/>
  <c r="H78" i="50"/>
  <c r="H79" i="50"/>
  <c r="H80" i="50"/>
  <c r="H81" i="50"/>
  <c r="H82" i="50"/>
  <c r="G273" i="50"/>
  <c r="G295" i="50"/>
  <c r="G308" i="50"/>
  <c r="G329" i="50"/>
  <c r="G323" i="50"/>
  <c r="G211" i="50"/>
  <c r="G223" i="50"/>
  <c r="G229" i="50"/>
  <c r="G338" i="50" s="1"/>
  <c r="G239" i="50"/>
  <c r="G126" i="50"/>
  <c r="G164" i="50"/>
  <c r="G146" i="50"/>
  <c r="G165" i="50"/>
  <c r="G48" i="50"/>
  <c r="G63" i="50"/>
  <c r="G83" i="50"/>
  <c r="F249" i="50"/>
  <c r="F250" i="50"/>
  <c r="F251" i="50"/>
  <c r="F252" i="50"/>
  <c r="F253" i="50"/>
  <c r="F257" i="50"/>
  <c r="F258" i="50"/>
  <c r="F259" i="50"/>
  <c r="F260" i="50"/>
  <c r="F261" i="50"/>
  <c r="F265" i="50"/>
  <c r="F266" i="50"/>
  <c r="F267" i="50"/>
  <c r="F268" i="50"/>
  <c r="F269" i="50"/>
  <c r="F282" i="50"/>
  <c r="F283" i="50"/>
  <c r="F284" i="50"/>
  <c r="F286" i="50"/>
  <c r="F290" i="50"/>
  <c r="F291" i="50"/>
  <c r="F292" i="50"/>
  <c r="F294" i="50"/>
  <c r="F297" i="50"/>
  <c r="F298" i="50"/>
  <c r="F299" i="50"/>
  <c r="F300" i="50"/>
  <c r="F301" i="50"/>
  <c r="F302" i="50"/>
  <c r="F303" i="50"/>
  <c r="F306" i="50"/>
  <c r="F327" i="50"/>
  <c r="F329" i="50" s="1"/>
  <c r="F328" i="50"/>
  <c r="F313" i="50"/>
  <c r="F317" i="50"/>
  <c r="F318" i="50"/>
  <c r="F321" i="50"/>
  <c r="F322" i="50"/>
  <c r="F204" i="50"/>
  <c r="F205" i="50"/>
  <c r="F207" i="50"/>
  <c r="F209" i="50"/>
  <c r="F220" i="50"/>
  <c r="F229" i="50"/>
  <c r="F233" i="50"/>
  <c r="F234" i="50"/>
  <c r="F236" i="50"/>
  <c r="F238" i="50"/>
  <c r="F96" i="50"/>
  <c r="F97" i="50"/>
  <c r="F98" i="50"/>
  <c r="F99" i="50"/>
  <c r="F126" i="50" s="1"/>
  <c r="F100" i="50"/>
  <c r="F102" i="50"/>
  <c r="F103" i="50"/>
  <c r="F104" i="50"/>
  <c r="F105" i="50"/>
  <c r="F106" i="50"/>
  <c r="F107" i="50"/>
  <c r="F108" i="50"/>
  <c r="F110" i="50"/>
  <c r="F111" i="50"/>
  <c r="F112" i="50"/>
  <c r="F113" i="50"/>
  <c r="F114" i="50"/>
  <c r="F115" i="50"/>
  <c r="F117" i="50"/>
  <c r="F119" i="50"/>
  <c r="F149" i="50"/>
  <c r="F150" i="50"/>
  <c r="F151" i="50"/>
  <c r="F152" i="50"/>
  <c r="F153" i="50"/>
  <c r="F155" i="50"/>
  <c r="F156" i="50"/>
  <c r="F157" i="50"/>
  <c r="F158" i="50"/>
  <c r="F159" i="50"/>
  <c r="F160" i="50"/>
  <c r="F161" i="50"/>
  <c r="F163" i="50"/>
  <c r="F138" i="50"/>
  <c r="F142" i="50"/>
  <c r="F143" i="50"/>
  <c r="F145" i="50"/>
  <c r="F12" i="50"/>
  <c r="F13" i="50"/>
  <c r="F17" i="50"/>
  <c r="F18" i="50"/>
  <c r="F19" i="50"/>
  <c r="F20" i="50"/>
  <c r="F21" i="50"/>
  <c r="F25" i="50"/>
  <c r="F26" i="50"/>
  <c r="F27" i="50"/>
  <c r="F28" i="50"/>
  <c r="F29" i="50"/>
  <c r="F33" i="50"/>
  <c r="F34" i="50"/>
  <c r="F35" i="50"/>
  <c r="F36" i="50"/>
  <c r="F37" i="50"/>
  <c r="F41" i="50"/>
  <c r="F42" i="50"/>
  <c r="F43" i="50"/>
  <c r="F44" i="50"/>
  <c r="F45" i="50"/>
  <c r="F56" i="50"/>
  <c r="F57" i="50"/>
  <c r="F59" i="50"/>
  <c r="F60" i="50"/>
  <c r="F68" i="50"/>
  <c r="F70" i="50"/>
  <c r="F73" i="50"/>
  <c r="F74" i="50"/>
  <c r="F75" i="50"/>
  <c r="F77" i="50"/>
  <c r="F81" i="50"/>
  <c r="F82" i="50"/>
  <c r="E164" i="50"/>
  <c r="E165" i="50" s="1"/>
  <c r="E341" i="50"/>
  <c r="D164" i="50"/>
  <c r="D165" i="50"/>
  <c r="D341" i="50" s="1"/>
  <c r="C164" i="50"/>
  <c r="C165" i="50" s="1"/>
  <c r="C341" i="50" s="1"/>
  <c r="P339" i="50"/>
  <c r="O339" i="50"/>
  <c r="N339" i="50"/>
  <c r="M339" i="50"/>
  <c r="L339" i="50"/>
  <c r="K339" i="50"/>
  <c r="E339" i="50"/>
  <c r="D339" i="50"/>
  <c r="P338" i="50"/>
  <c r="O338" i="50"/>
  <c r="N338" i="50"/>
  <c r="M338" i="50"/>
  <c r="L338" i="50"/>
  <c r="K338" i="50"/>
  <c r="J338" i="50"/>
  <c r="E338" i="50"/>
  <c r="D338" i="50"/>
  <c r="C338" i="50"/>
  <c r="P337" i="50"/>
  <c r="O337" i="50"/>
  <c r="N337" i="50"/>
  <c r="M337" i="50"/>
  <c r="L337" i="50"/>
  <c r="I188" i="50"/>
  <c r="I189" i="50"/>
  <c r="F189" i="50"/>
  <c r="I190" i="50"/>
  <c r="I191" i="50"/>
  <c r="C192" i="50"/>
  <c r="E192" i="50"/>
  <c r="I192" i="50" s="1"/>
  <c r="F192" i="50" s="1"/>
  <c r="I193" i="50"/>
  <c r="F193" i="50"/>
  <c r="I194" i="50"/>
  <c r="F194" i="50" s="1"/>
  <c r="H188" i="50"/>
  <c r="H189" i="50"/>
  <c r="H190" i="50"/>
  <c r="H191" i="50"/>
  <c r="D192" i="50"/>
  <c r="H193" i="50"/>
  <c r="H194" i="50"/>
  <c r="G195" i="50"/>
  <c r="F188" i="50"/>
  <c r="F190" i="50"/>
  <c r="E295" i="50"/>
  <c r="E337" i="50"/>
  <c r="D295" i="50"/>
  <c r="D337" i="50" s="1"/>
  <c r="C295" i="50"/>
  <c r="C337" i="50"/>
  <c r="L336" i="50"/>
  <c r="K336" i="50"/>
  <c r="I171" i="50"/>
  <c r="F171" i="50"/>
  <c r="I172" i="50"/>
  <c r="I173" i="50"/>
  <c r="I174" i="50"/>
  <c r="F174" i="50" s="1"/>
  <c r="I175" i="50"/>
  <c r="F175" i="50" s="1"/>
  <c r="I176" i="50"/>
  <c r="I177" i="50"/>
  <c r="F177" i="50"/>
  <c r="I178" i="50"/>
  <c r="I179" i="50"/>
  <c r="F179" i="50" s="1"/>
  <c r="I180" i="50"/>
  <c r="F180" i="50" s="1"/>
  <c r="I181" i="50"/>
  <c r="F181" i="50"/>
  <c r="C182" i="50"/>
  <c r="C199" i="50" s="1"/>
  <c r="E182" i="50"/>
  <c r="I183" i="50"/>
  <c r="F183" i="50" s="1"/>
  <c r="I184" i="50"/>
  <c r="H171" i="50"/>
  <c r="H172" i="50"/>
  <c r="H173" i="50"/>
  <c r="H174" i="50"/>
  <c r="H175" i="50"/>
  <c r="H176" i="50"/>
  <c r="H177" i="50"/>
  <c r="H178" i="50"/>
  <c r="H179" i="50"/>
  <c r="H180" i="50"/>
  <c r="H181" i="50"/>
  <c r="D182" i="50"/>
  <c r="H182" i="50"/>
  <c r="H183" i="50"/>
  <c r="H184" i="50"/>
  <c r="G185" i="50"/>
  <c r="F172" i="50"/>
  <c r="F176" i="50"/>
  <c r="F178" i="50"/>
  <c r="F184" i="50"/>
  <c r="E273" i="50"/>
  <c r="E336" i="50"/>
  <c r="D273" i="50"/>
  <c r="C273" i="50"/>
  <c r="C334" i="50"/>
  <c r="C336" i="50"/>
  <c r="E333" i="50"/>
  <c r="E326" i="50"/>
  <c r="D333" i="50"/>
  <c r="D326" i="50"/>
  <c r="C333" i="50"/>
  <c r="C326" i="50"/>
  <c r="E212" i="50"/>
  <c r="E225" i="50"/>
  <c r="E231" i="50"/>
  <c r="E242" i="50"/>
  <c r="E241" i="50"/>
  <c r="D212" i="50"/>
  <c r="D225" i="50"/>
  <c r="D242" i="50"/>
  <c r="D231" i="50"/>
  <c r="D241" i="50"/>
  <c r="C212" i="50"/>
  <c r="C225" i="50"/>
  <c r="C231" i="50"/>
  <c r="C241" i="50"/>
  <c r="C242" i="50"/>
  <c r="C198" i="50"/>
  <c r="E198" i="50"/>
  <c r="D198" i="50"/>
  <c r="E120" i="50"/>
  <c r="D120" i="50"/>
  <c r="C120" i="50"/>
  <c r="E54" i="50"/>
  <c r="E89" i="50"/>
  <c r="E91" i="50"/>
  <c r="D54" i="50"/>
  <c r="D91" i="50"/>
  <c r="D89" i="50"/>
  <c r="C54" i="50"/>
  <c r="C91" i="50" s="1"/>
  <c r="C89" i="50"/>
  <c r="J290" i="49"/>
  <c r="J291" i="49"/>
  <c r="J292" i="49"/>
  <c r="F292" i="49" s="1"/>
  <c r="J293" i="49"/>
  <c r="J294" i="49"/>
  <c r="J298" i="49"/>
  <c r="J300" i="49"/>
  <c r="J301" i="49"/>
  <c r="F301" i="49" s="1"/>
  <c r="J329" i="49"/>
  <c r="J339" i="49" s="1"/>
  <c r="J323" i="49"/>
  <c r="J112" i="49"/>
  <c r="J126" i="49"/>
  <c r="J164" i="49"/>
  <c r="K307" i="49"/>
  <c r="K308" i="49"/>
  <c r="K126" i="49"/>
  <c r="K336" i="49" s="1"/>
  <c r="K165" i="49"/>
  <c r="K164" i="49"/>
  <c r="I247" i="49"/>
  <c r="I248" i="49"/>
  <c r="I249" i="49"/>
  <c r="I250" i="49"/>
  <c r="F250" i="49" s="1"/>
  <c r="I251" i="49"/>
  <c r="F251" i="49" s="1"/>
  <c r="I252" i="49"/>
  <c r="F252" i="49" s="1"/>
  <c r="I253" i="49"/>
  <c r="I254" i="49"/>
  <c r="I255" i="49"/>
  <c r="I256" i="49"/>
  <c r="I257" i="49"/>
  <c r="I258" i="49"/>
  <c r="F258" i="49" s="1"/>
  <c r="I259" i="49"/>
  <c r="F259" i="49" s="1"/>
  <c r="I260" i="49"/>
  <c r="F260" i="49" s="1"/>
  <c r="I261" i="49"/>
  <c r="I262" i="49"/>
  <c r="I263" i="49"/>
  <c r="I264" i="49"/>
  <c r="I265" i="49"/>
  <c r="I266" i="49"/>
  <c r="F266" i="49" s="1"/>
  <c r="I267" i="49"/>
  <c r="F267" i="49" s="1"/>
  <c r="I268" i="49"/>
  <c r="F268" i="49" s="1"/>
  <c r="I269" i="49"/>
  <c r="I270" i="49"/>
  <c r="I271" i="49"/>
  <c r="I272" i="49"/>
  <c r="I282" i="49"/>
  <c r="F282" i="49" s="1"/>
  <c r="I283" i="49"/>
  <c r="F283" i="49" s="1"/>
  <c r="I284" i="49"/>
  <c r="I285" i="49"/>
  <c r="F285" i="49" s="1"/>
  <c r="I286" i="49"/>
  <c r="I287" i="49"/>
  <c r="I288" i="49"/>
  <c r="I289" i="49"/>
  <c r="F289" i="49" s="1"/>
  <c r="I297" i="49"/>
  <c r="I299" i="49"/>
  <c r="I302" i="49"/>
  <c r="I303" i="49"/>
  <c r="I304" i="49"/>
  <c r="I305" i="49"/>
  <c r="I306" i="49"/>
  <c r="I327" i="49"/>
  <c r="I328" i="49"/>
  <c r="I329" i="49" s="1"/>
  <c r="C311" i="49"/>
  <c r="H311" i="49" s="1"/>
  <c r="E311" i="49"/>
  <c r="I311" i="49"/>
  <c r="I312" i="49"/>
  <c r="I313" i="49"/>
  <c r="I204" i="49"/>
  <c r="I205" i="49"/>
  <c r="I206" i="49"/>
  <c r="F206" i="49" s="1"/>
  <c r="I207" i="49"/>
  <c r="F207" i="49" s="1"/>
  <c r="I208" i="49"/>
  <c r="I209" i="49"/>
  <c r="I210" i="49"/>
  <c r="I220" i="49"/>
  <c r="I221" i="49"/>
  <c r="F221" i="49" s="1"/>
  <c r="I222" i="49"/>
  <c r="I229" i="49"/>
  <c r="I233" i="49"/>
  <c r="I234" i="49"/>
  <c r="I239" i="49" s="1"/>
  <c r="I339" i="49" s="1"/>
  <c r="I235" i="49"/>
  <c r="I236" i="49"/>
  <c r="I237" i="49"/>
  <c r="F237" i="49" s="1"/>
  <c r="I238" i="49"/>
  <c r="I96" i="49"/>
  <c r="I97" i="49"/>
  <c r="I98" i="49"/>
  <c r="I99" i="49"/>
  <c r="F99" i="49" s="1"/>
  <c r="I100" i="49"/>
  <c r="I101" i="49"/>
  <c r="I102" i="49"/>
  <c r="I103" i="49"/>
  <c r="I104" i="49"/>
  <c r="I105" i="49"/>
  <c r="I106" i="49"/>
  <c r="I107" i="49"/>
  <c r="F107" i="49" s="1"/>
  <c r="I108" i="49"/>
  <c r="I109" i="49"/>
  <c r="I110" i="49"/>
  <c r="I111" i="49"/>
  <c r="I113" i="49"/>
  <c r="I114" i="49"/>
  <c r="I115" i="49"/>
  <c r="I116" i="49"/>
  <c r="F116" i="49" s="1"/>
  <c r="I117" i="49"/>
  <c r="I118" i="49"/>
  <c r="I119" i="49"/>
  <c r="I124" i="49"/>
  <c r="F124" i="49"/>
  <c r="I149" i="49"/>
  <c r="I164" i="49"/>
  <c r="I150" i="49"/>
  <c r="I151" i="49"/>
  <c r="F151" i="49"/>
  <c r="I152" i="49"/>
  <c r="I153" i="49"/>
  <c r="I154" i="49"/>
  <c r="I155" i="49"/>
  <c r="F155" i="49"/>
  <c r="I156" i="49"/>
  <c r="I157" i="49"/>
  <c r="I158" i="49"/>
  <c r="I159" i="49"/>
  <c r="F159" i="49" s="1"/>
  <c r="I160" i="49"/>
  <c r="I161" i="49"/>
  <c r="I162" i="49"/>
  <c r="I163" i="49"/>
  <c r="F163" i="49"/>
  <c r="C137" i="49"/>
  <c r="I137" i="49" s="1"/>
  <c r="C140" i="49"/>
  <c r="E137" i="49"/>
  <c r="I138" i="49"/>
  <c r="I139" i="49"/>
  <c r="F139" i="49" s="1"/>
  <c r="E140" i="49"/>
  <c r="I141" i="49"/>
  <c r="F141" i="49" s="1"/>
  <c r="I142" i="49"/>
  <c r="F142" i="49" s="1"/>
  <c r="I143" i="49"/>
  <c r="F143" i="49" s="1"/>
  <c r="I145" i="49"/>
  <c r="I12" i="49"/>
  <c r="I13" i="49"/>
  <c r="I14" i="49"/>
  <c r="I15" i="49"/>
  <c r="F15" i="49" s="1"/>
  <c r="I16" i="49"/>
  <c r="F16" i="49" s="1"/>
  <c r="I17" i="49"/>
  <c r="I18" i="49"/>
  <c r="I19" i="49"/>
  <c r="I20" i="49"/>
  <c r="I21" i="49"/>
  <c r="I22" i="49"/>
  <c r="I23" i="49"/>
  <c r="F23" i="49" s="1"/>
  <c r="I24" i="49"/>
  <c r="F24" i="49" s="1"/>
  <c r="I25" i="49"/>
  <c r="I26" i="49"/>
  <c r="I27" i="49"/>
  <c r="I28" i="49"/>
  <c r="I29" i="49"/>
  <c r="I30" i="49"/>
  <c r="I31" i="49"/>
  <c r="F31" i="49" s="1"/>
  <c r="I32" i="49"/>
  <c r="F32" i="49" s="1"/>
  <c r="I33" i="49"/>
  <c r="I34" i="49"/>
  <c r="I35" i="49"/>
  <c r="I36" i="49"/>
  <c r="I37" i="49"/>
  <c r="I38" i="49"/>
  <c r="I39" i="49"/>
  <c r="F39" i="49" s="1"/>
  <c r="I40" i="49"/>
  <c r="F40" i="49" s="1"/>
  <c r="I41" i="49"/>
  <c r="I42" i="49"/>
  <c r="I43" i="49"/>
  <c r="I44" i="49"/>
  <c r="I45" i="49"/>
  <c r="I46" i="49"/>
  <c r="I55" i="49"/>
  <c r="I56" i="49"/>
  <c r="F56" i="49" s="1"/>
  <c r="I57" i="49"/>
  <c r="I58" i="49"/>
  <c r="I59" i="49"/>
  <c r="I60" i="49"/>
  <c r="I61" i="49"/>
  <c r="F61" i="49" s="1"/>
  <c r="I62" i="49"/>
  <c r="F62" i="49" s="1"/>
  <c r="I68" i="49"/>
  <c r="F68" i="49" s="1"/>
  <c r="C69" i="49"/>
  <c r="I69" i="49"/>
  <c r="E69" i="49"/>
  <c r="I70" i="49"/>
  <c r="I71" i="49"/>
  <c r="F71" i="49"/>
  <c r="I72" i="49"/>
  <c r="F72" i="49" s="1"/>
  <c r="I73" i="49"/>
  <c r="F73" i="49" s="1"/>
  <c r="I74" i="49"/>
  <c r="I75" i="49"/>
  <c r="F75" i="49" s="1"/>
  <c r="I76" i="49"/>
  <c r="I77" i="49"/>
  <c r="I78" i="49"/>
  <c r="F78" i="49" s="1"/>
  <c r="I79" i="49"/>
  <c r="F79" i="49"/>
  <c r="I80" i="49"/>
  <c r="I81" i="49"/>
  <c r="I82" i="49"/>
  <c r="L330" i="49"/>
  <c r="L240" i="49"/>
  <c r="L165" i="49"/>
  <c r="L336" i="49" s="1"/>
  <c r="L85" i="49"/>
  <c r="L341" i="49" s="1"/>
  <c r="H247" i="49"/>
  <c r="H273" i="49" s="1"/>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8" i="49"/>
  <c r="H329" i="49"/>
  <c r="D311" i="49"/>
  <c r="H312" i="49"/>
  <c r="H313" i="49"/>
  <c r="H204" i="49"/>
  <c r="H205" i="49"/>
  <c r="H206" i="49"/>
  <c r="H207" i="49"/>
  <c r="H208" i="49"/>
  <c r="H209" i="49"/>
  <c r="H210" i="49"/>
  <c r="H220" i="49"/>
  <c r="H223" i="49" s="1"/>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64" i="49" s="1"/>
  <c r="H151" i="49"/>
  <c r="H152" i="49"/>
  <c r="H153" i="49"/>
  <c r="H154" i="49"/>
  <c r="H155" i="49"/>
  <c r="H156" i="49"/>
  <c r="H157" i="49"/>
  <c r="H158" i="49"/>
  <c r="H159" i="49"/>
  <c r="H160" i="49"/>
  <c r="H161" i="49"/>
  <c r="H162" i="49"/>
  <c r="H163" i="49"/>
  <c r="D137" i="49"/>
  <c r="D140" i="49" s="1"/>
  <c r="H137" i="49"/>
  <c r="H138" i="49"/>
  <c r="H146" i="49" s="1"/>
  <c r="H139" i="49"/>
  <c r="H141" i="49"/>
  <c r="H142" i="49"/>
  <c r="H143" i="49"/>
  <c r="H145" i="49"/>
  <c r="H12" i="49"/>
  <c r="H13" i="49"/>
  <c r="H14" i="49"/>
  <c r="H15" i="49"/>
  <c r="H16" i="49"/>
  <c r="H17" i="49"/>
  <c r="H18" i="49"/>
  <c r="H19" i="49"/>
  <c r="H20" i="49"/>
  <c r="H21" i="49"/>
  <c r="H48" i="49" s="1"/>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63" i="49" s="1"/>
  <c r="H56" i="49"/>
  <c r="H57" i="49"/>
  <c r="H58" i="49"/>
  <c r="H59" i="49"/>
  <c r="H60" i="49"/>
  <c r="H62" i="49"/>
  <c r="H68" i="49"/>
  <c r="D69" i="49"/>
  <c r="H70" i="49"/>
  <c r="H71" i="49"/>
  <c r="H72" i="49"/>
  <c r="H73" i="49"/>
  <c r="H74" i="49"/>
  <c r="H75" i="49"/>
  <c r="H76" i="49"/>
  <c r="H77" i="49"/>
  <c r="H78" i="49"/>
  <c r="H79" i="49"/>
  <c r="H80" i="49"/>
  <c r="H81" i="49"/>
  <c r="H82" i="49"/>
  <c r="G273" i="49"/>
  <c r="G330" i="49" s="1"/>
  <c r="G295" i="49"/>
  <c r="G308" i="49"/>
  <c r="G329" i="49"/>
  <c r="G323" i="49"/>
  <c r="G211" i="49"/>
  <c r="G223" i="49"/>
  <c r="G229" i="49"/>
  <c r="G239" i="49"/>
  <c r="G339" i="49"/>
  <c r="G126" i="49"/>
  <c r="G164" i="49"/>
  <c r="G165" i="49" s="1"/>
  <c r="G146" i="49"/>
  <c r="G48" i="49"/>
  <c r="G63" i="49"/>
  <c r="G83" i="49"/>
  <c r="F247" i="49"/>
  <c r="F273" i="49" s="1"/>
  <c r="F248" i="49"/>
  <c r="F249" i="49"/>
  <c r="F253" i="49"/>
  <c r="F254" i="49"/>
  <c r="F255" i="49"/>
  <c r="F256" i="49"/>
  <c r="F257" i="49"/>
  <c r="F261" i="49"/>
  <c r="F262" i="49"/>
  <c r="F263" i="49"/>
  <c r="F264" i="49"/>
  <c r="F265" i="49"/>
  <c r="F269" i="49"/>
  <c r="F270" i="49"/>
  <c r="F271" i="49"/>
  <c r="F272" i="49"/>
  <c r="F284" i="49"/>
  <c r="F287" i="49"/>
  <c r="F288" i="49"/>
  <c r="F290" i="49"/>
  <c r="F291" i="49"/>
  <c r="F293" i="49"/>
  <c r="F294" i="49"/>
  <c r="F297" i="49"/>
  <c r="F298" i="49"/>
  <c r="F299" i="49"/>
  <c r="F300" i="49"/>
  <c r="F303" i="49"/>
  <c r="F304" i="49"/>
  <c r="F305" i="49"/>
  <c r="F306" i="49"/>
  <c r="F307" i="49"/>
  <c r="F327" i="49"/>
  <c r="F329" i="49" s="1"/>
  <c r="F328" i="49"/>
  <c r="F312" i="49"/>
  <c r="F313" i="49"/>
  <c r="F317" i="49"/>
  <c r="F318" i="49"/>
  <c r="F321" i="49"/>
  <c r="F322" i="49"/>
  <c r="F204" i="49"/>
  <c r="F208" i="49"/>
  <c r="F209" i="49"/>
  <c r="F210" i="49"/>
  <c r="F220" i="49"/>
  <c r="F222" i="49"/>
  <c r="F229" i="49"/>
  <c r="F233" i="49"/>
  <c r="F234" i="49"/>
  <c r="F235" i="49"/>
  <c r="F239" i="49" s="1"/>
  <c r="F236" i="49"/>
  <c r="F238" i="49"/>
  <c r="F96" i="49"/>
  <c r="F97" i="49"/>
  <c r="F98" i="49"/>
  <c r="F100" i="49"/>
  <c r="F101" i="49"/>
  <c r="F102" i="49"/>
  <c r="F103" i="49"/>
  <c r="F104" i="49"/>
  <c r="F105" i="49"/>
  <c r="F106" i="49"/>
  <c r="F108" i="49"/>
  <c r="F109" i="49"/>
  <c r="F110" i="49"/>
  <c r="F111" i="49"/>
  <c r="F112" i="49"/>
  <c r="F113" i="49"/>
  <c r="F114" i="49"/>
  <c r="F115" i="49"/>
  <c r="F117" i="49"/>
  <c r="F118" i="49"/>
  <c r="F119" i="49"/>
  <c r="F149" i="49"/>
  <c r="F150" i="49"/>
  <c r="F152" i="49"/>
  <c r="F153" i="49"/>
  <c r="F154" i="49"/>
  <c r="F156" i="49"/>
  <c r="F157" i="49"/>
  <c r="F158" i="49"/>
  <c r="F160" i="49"/>
  <c r="F161" i="49"/>
  <c r="F162" i="49"/>
  <c r="F137" i="49"/>
  <c r="F138" i="49"/>
  <c r="F145" i="49"/>
  <c r="F12" i="49"/>
  <c r="F13" i="49"/>
  <c r="F14" i="49"/>
  <c r="F17" i="49"/>
  <c r="F18" i="49"/>
  <c r="F19" i="49"/>
  <c r="F20" i="49"/>
  <c r="F21" i="49"/>
  <c r="F22" i="49"/>
  <c r="F25" i="49"/>
  <c r="F26" i="49"/>
  <c r="F27" i="49"/>
  <c r="F28" i="49"/>
  <c r="F29" i="49"/>
  <c r="F30" i="49"/>
  <c r="F33" i="49"/>
  <c r="F34" i="49"/>
  <c r="F35" i="49"/>
  <c r="F36" i="49"/>
  <c r="F37" i="49"/>
  <c r="F38" i="49"/>
  <c r="F41" i="49"/>
  <c r="F42" i="49"/>
  <c r="F43" i="49"/>
  <c r="F44" i="49"/>
  <c r="F45" i="49"/>
  <c r="F46" i="49"/>
  <c r="F57" i="49"/>
  <c r="F58" i="49"/>
  <c r="F59" i="49"/>
  <c r="F60" i="49"/>
  <c r="F70" i="49"/>
  <c r="F74" i="49"/>
  <c r="F76" i="49"/>
  <c r="F77" i="49"/>
  <c r="F80" i="49"/>
  <c r="F81" i="49"/>
  <c r="F82" i="49"/>
  <c r="E164" i="49"/>
  <c r="E165" i="49"/>
  <c r="E341" i="49"/>
  <c r="D164" i="49"/>
  <c r="D339" i="49"/>
  <c r="D165" i="49"/>
  <c r="D341" i="49"/>
  <c r="C164" i="49"/>
  <c r="C165" i="49"/>
  <c r="C341" i="49"/>
  <c r="P339" i="49"/>
  <c r="O339" i="49"/>
  <c r="N339" i="49"/>
  <c r="M339" i="49"/>
  <c r="L339" i="49"/>
  <c r="K339" i="49"/>
  <c r="E339" i="49"/>
  <c r="C339" i="49"/>
  <c r="P338" i="49"/>
  <c r="O338" i="49"/>
  <c r="N338" i="49"/>
  <c r="M338" i="49"/>
  <c r="L338" i="49"/>
  <c r="K338" i="49"/>
  <c r="J338" i="49"/>
  <c r="G338" i="49"/>
  <c r="E338" i="49"/>
  <c r="D338" i="49"/>
  <c r="C338" i="49"/>
  <c r="P337" i="49"/>
  <c r="O337" i="49"/>
  <c r="N337" i="49"/>
  <c r="M337" i="49"/>
  <c r="L337" i="49"/>
  <c r="I188" i="49"/>
  <c r="F188" i="49"/>
  <c r="I189" i="49"/>
  <c r="I190" i="49"/>
  <c r="F190" i="49"/>
  <c r="I191" i="49"/>
  <c r="F191" i="49" s="1"/>
  <c r="C192" i="49"/>
  <c r="H192" i="49" s="1"/>
  <c r="E192" i="49"/>
  <c r="I193" i="49"/>
  <c r="F193" i="49" s="1"/>
  <c r="I194" i="49"/>
  <c r="F194" i="49"/>
  <c r="H188" i="49"/>
  <c r="H189" i="49"/>
  <c r="H195" i="49"/>
  <c r="H190" i="49"/>
  <c r="H191" i="49"/>
  <c r="D192" i="49"/>
  <c r="H193" i="49"/>
  <c r="H194" i="49"/>
  <c r="G195" i="49"/>
  <c r="F189" i="49"/>
  <c r="E295" i="49"/>
  <c r="D295" i="49"/>
  <c r="D337" i="49"/>
  <c r="C295" i="49"/>
  <c r="C334" i="49" s="1"/>
  <c r="C337" i="49"/>
  <c r="J336" i="49"/>
  <c r="I171" i="49"/>
  <c r="F171" i="49" s="1"/>
  <c r="I172" i="49"/>
  <c r="F172" i="49"/>
  <c r="I173" i="49"/>
  <c r="F173" i="49" s="1"/>
  <c r="I174" i="49"/>
  <c r="F174" i="49" s="1"/>
  <c r="I175" i="49"/>
  <c r="I176" i="49"/>
  <c r="F176" i="49"/>
  <c r="I177" i="49"/>
  <c r="I178" i="49"/>
  <c r="F178" i="49"/>
  <c r="I179" i="49"/>
  <c r="F179" i="49" s="1"/>
  <c r="I180" i="49"/>
  <c r="F180" i="49"/>
  <c r="I181" i="49"/>
  <c r="C182" i="49"/>
  <c r="E182" i="49"/>
  <c r="I183" i="49"/>
  <c r="F183" i="49" s="1"/>
  <c r="I184" i="49"/>
  <c r="F184" i="49"/>
  <c r="H171" i="49"/>
  <c r="H172" i="49"/>
  <c r="H173" i="49"/>
  <c r="H174" i="49"/>
  <c r="H175" i="49"/>
  <c r="H176" i="49"/>
  <c r="H177" i="49"/>
  <c r="H178" i="49"/>
  <c r="H179" i="49"/>
  <c r="H180" i="49"/>
  <c r="H181" i="49"/>
  <c r="D182" i="49"/>
  <c r="D199" i="49" s="1"/>
  <c r="H183" i="49"/>
  <c r="H184" i="49"/>
  <c r="G185" i="49"/>
  <c r="F175" i="49"/>
  <c r="F177" i="49"/>
  <c r="F181" i="49"/>
  <c r="E273" i="49"/>
  <c r="E336" i="49"/>
  <c r="D273" i="49"/>
  <c r="D336" i="49"/>
  <c r="C273" i="49"/>
  <c r="C336" i="49"/>
  <c r="E333" i="49"/>
  <c r="E334" i="49" s="1"/>
  <c r="E326" i="49"/>
  <c r="D333" i="49"/>
  <c r="D326" i="49"/>
  <c r="C333" i="49"/>
  <c r="C326" i="49"/>
  <c r="E212" i="49"/>
  <c r="E225" i="49"/>
  <c r="E231" i="49"/>
  <c r="E241" i="49"/>
  <c r="D212" i="49"/>
  <c r="D225" i="49"/>
  <c r="D231" i="49"/>
  <c r="D242" i="49"/>
  <c r="D241" i="49"/>
  <c r="C212" i="49"/>
  <c r="C225" i="49"/>
  <c r="C231" i="49"/>
  <c r="C242" i="49" s="1"/>
  <c r="C241" i="49"/>
  <c r="C198" i="49"/>
  <c r="E198" i="49"/>
  <c r="D198" i="49"/>
  <c r="E120" i="49"/>
  <c r="D120" i="49"/>
  <c r="C120" i="49"/>
  <c r="E54" i="49"/>
  <c r="E91" i="49"/>
  <c r="E89" i="49"/>
  <c r="D54" i="49"/>
  <c r="D89" i="49"/>
  <c r="D91" i="49" s="1"/>
  <c r="C54" i="49"/>
  <c r="C89" i="49"/>
  <c r="C91" i="49"/>
  <c r="J290" i="48"/>
  <c r="J291" i="48"/>
  <c r="F291" i="48" s="1"/>
  <c r="J292" i="48"/>
  <c r="J293" i="48"/>
  <c r="J294" i="48"/>
  <c r="J298" i="48"/>
  <c r="J300" i="48"/>
  <c r="J308" i="48"/>
  <c r="J301" i="48"/>
  <c r="J329" i="48"/>
  <c r="J323" i="48"/>
  <c r="J112" i="48"/>
  <c r="J126" i="48"/>
  <c r="J164" i="48"/>
  <c r="K307" i="48"/>
  <c r="K308" i="48"/>
  <c r="K126" i="48"/>
  <c r="K164" i="48"/>
  <c r="K165" i="48"/>
  <c r="I247" i="48"/>
  <c r="I248" i="48"/>
  <c r="F248" i="48" s="1"/>
  <c r="I249" i="48"/>
  <c r="I250" i="48"/>
  <c r="I251" i="48"/>
  <c r="I252" i="48"/>
  <c r="I253" i="48"/>
  <c r="F253" i="48" s="1"/>
  <c r="I254" i="48"/>
  <c r="F254" i="48" s="1"/>
  <c r="I255" i="48"/>
  <c r="F255" i="48" s="1"/>
  <c r="I256" i="48"/>
  <c r="I257" i="48"/>
  <c r="I258" i="48"/>
  <c r="I259" i="48"/>
  <c r="I260" i="48"/>
  <c r="I261" i="48"/>
  <c r="F261" i="48" s="1"/>
  <c r="I262" i="48"/>
  <c r="F262" i="48" s="1"/>
  <c r="I263" i="48"/>
  <c r="F263" i="48" s="1"/>
  <c r="I264" i="48"/>
  <c r="I265" i="48"/>
  <c r="I266" i="48"/>
  <c r="I267" i="48"/>
  <c r="I268" i="48"/>
  <c r="I269" i="48"/>
  <c r="F269" i="48" s="1"/>
  <c r="I270" i="48"/>
  <c r="F270" i="48" s="1"/>
  <c r="I271" i="48"/>
  <c r="I272" i="48"/>
  <c r="I282" i="48"/>
  <c r="I283" i="48"/>
  <c r="I284" i="48"/>
  <c r="I285" i="48"/>
  <c r="I286" i="48"/>
  <c r="I287" i="48"/>
  <c r="F287" i="48" s="1"/>
  <c r="I288" i="48"/>
  <c r="F288" i="48" s="1"/>
  <c r="I289" i="48"/>
  <c r="I297" i="48"/>
  <c r="I299" i="48"/>
  <c r="I302" i="48"/>
  <c r="I303" i="48"/>
  <c r="I304" i="48"/>
  <c r="F304" i="48" s="1"/>
  <c r="I305" i="48"/>
  <c r="F305" i="48" s="1"/>
  <c r="I306" i="48"/>
  <c r="I327" i="48"/>
  <c r="I328" i="48"/>
  <c r="I329" i="48"/>
  <c r="C311" i="48"/>
  <c r="E311" i="48"/>
  <c r="I311" i="48" s="1"/>
  <c r="I312" i="48"/>
  <c r="I313" i="48"/>
  <c r="I204" i="48"/>
  <c r="I205" i="48"/>
  <c r="I206" i="48"/>
  <c r="I207" i="48"/>
  <c r="I208" i="48"/>
  <c r="F208" i="48" s="1"/>
  <c r="I209" i="48"/>
  <c r="F209" i="48" s="1"/>
  <c r="I210" i="48"/>
  <c r="I220" i="48"/>
  <c r="I223" i="48" s="1"/>
  <c r="I221" i="48"/>
  <c r="F221" i="48" s="1"/>
  <c r="I222" i="48"/>
  <c r="F222" i="48" s="1"/>
  <c r="I229" i="48"/>
  <c r="I233" i="48"/>
  <c r="I239" i="48" s="1"/>
  <c r="I234" i="48"/>
  <c r="I235" i="48"/>
  <c r="I236" i="48"/>
  <c r="F236" i="48" s="1"/>
  <c r="I237" i="48"/>
  <c r="F237" i="48" s="1"/>
  <c r="F239" i="48" s="1"/>
  <c r="I238" i="48"/>
  <c r="F238" i="48" s="1"/>
  <c r="I96" i="48"/>
  <c r="I97" i="48"/>
  <c r="I98" i="48"/>
  <c r="I99" i="48"/>
  <c r="I100" i="48"/>
  <c r="F100" i="48" s="1"/>
  <c r="I101" i="48"/>
  <c r="I102" i="48"/>
  <c r="F102" i="48" s="1"/>
  <c r="I103" i="48"/>
  <c r="I104" i="48"/>
  <c r="I105" i="48"/>
  <c r="I106" i="48"/>
  <c r="I107" i="48"/>
  <c r="I108" i="48"/>
  <c r="F108" i="48" s="1"/>
  <c r="I109" i="48"/>
  <c r="I110" i="48"/>
  <c r="F110" i="48" s="1"/>
  <c r="I111" i="48"/>
  <c r="I113" i="48"/>
  <c r="I114" i="48"/>
  <c r="I115" i="48"/>
  <c r="I116" i="48"/>
  <c r="I117" i="48"/>
  <c r="I118" i="48"/>
  <c r="F118" i="48" s="1"/>
  <c r="I119" i="48"/>
  <c r="F119" i="48" s="1"/>
  <c r="I124" i="48"/>
  <c r="I149" i="48"/>
  <c r="I150" i="48"/>
  <c r="I151" i="48"/>
  <c r="I152" i="48"/>
  <c r="I153" i="48"/>
  <c r="F153" i="48" s="1"/>
  <c r="I154" i="48"/>
  <c r="F154" i="48" s="1"/>
  <c r="I155" i="48"/>
  <c r="I156" i="48"/>
  <c r="I157" i="48"/>
  <c r="I158" i="48"/>
  <c r="I159" i="48"/>
  <c r="I160" i="48"/>
  <c r="I161" i="48"/>
  <c r="F161" i="48" s="1"/>
  <c r="I162" i="48"/>
  <c r="F162" i="48" s="1"/>
  <c r="I163" i="48"/>
  <c r="C137" i="48"/>
  <c r="E137" i="48"/>
  <c r="I137" i="48"/>
  <c r="I138" i="48"/>
  <c r="I139" i="48"/>
  <c r="F139" i="48" s="1"/>
  <c r="C140" i="48"/>
  <c r="I141" i="48"/>
  <c r="I142" i="48"/>
  <c r="I143" i="48"/>
  <c r="I145" i="48"/>
  <c r="I12" i="48"/>
  <c r="I13" i="48"/>
  <c r="I14" i="48"/>
  <c r="I15" i="48"/>
  <c r="F15" i="48" s="1"/>
  <c r="I16" i="48"/>
  <c r="I17" i="48"/>
  <c r="I18" i="48"/>
  <c r="I19" i="48"/>
  <c r="I20" i="48"/>
  <c r="I21" i="48"/>
  <c r="I22" i="48"/>
  <c r="F22" i="48" s="1"/>
  <c r="I23" i="48"/>
  <c r="F23" i="48" s="1"/>
  <c r="I24" i="48"/>
  <c r="I25" i="48"/>
  <c r="I26" i="48"/>
  <c r="I27" i="48"/>
  <c r="I28" i="48"/>
  <c r="I29" i="48"/>
  <c r="I30" i="48"/>
  <c r="F30" i="48" s="1"/>
  <c r="I31" i="48"/>
  <c r="F31" i="48" s="1"/>
  <c r="I32" i="48"/>
  <c r="I33" i="48"/>
  <c r="I34" i="48"/>
  <c r="I35" i="48"/>
  <c r="I36" i="48"/>
  <c r="I37" i="48"/>
  <c r="I38" i="48"/>
  <c r="F38" i="48" s="1"/>
  <c r="I39" i="48"/>
  <c r="F39" i="48" s="1"/>
  <c r="I40" i="48"/>
  <c r="I41" i="48"/>
  <c r="I42" i="48"/>
  <c r="I43" i="48"/>
  <c r="I44" i="48"/>
  <c r="I45" i="48"/>
  <c r="I46" i="48"/>
  <c r="F46" i="48" s="1"/>
  <c r="I55" i="48"/>
  <c r="I56" i="48"/>
  <c r="I57" i="48"/>
  <c r="I58" i="48"/>
  <c r="I59" i="48"/>
  <c r="I60" i="48"/>
  <c r="F60" i="48" s="1"/>
  <c r="I61" i="48"/>
  <c r="F61" i="48" s="1"/>
  <c r="I62" i="48"/>
  <c r="I68" i="48"/>
  <c r="C69" i="48"/>
  <c r="E69" i="48"/>
  <c r="I69" i="48" s="1"/>
  <c r="F69" i="48" s="1"/>
  <c r="I70" i="48"/>
  <c r="I71" i="48"/>
  <c r="F71" i="48" s="1"/>
  <c r="I72" i="48"/>
  <c r="F72" i="48"/>
  <c r="I73" i="48"/>
  <c r="F73" i="48" s="1"/>
  <c r="I74" i="48"/>
  <c r="I75" i="48"/>
  <c r="I76" i="48"/>
  <c r="F76" i="48"/>
  <c r="I77" i="48"/>
  <c r="I78" i="48"/>
  <c r="I79" i="48"/>
  <c r="I80" i="48"/>
  <c r="F80" i="48" s="1"/>
  <c r="I81" i="48"/>
  <c r="I82" i="48"/>
  <c r="F82" i="48" s="1"/>
  <c r="L330" i="48"/>
  <c r="L240" i="48"/>
  <c r="L165" i="48"/>
  <c r="L85"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95" i="48" s="1"/>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9" i="48" s="1"/>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126" i="48" s="1"/>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H137" i="48" s="1"/>
  <c r="H138" i="48"/>
  <c r="H139" i="48"/>
  <c r="D140"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63" i="48"/>
  <c r="H57" i="48"/>
  <c r="H58" i="48"/>
  <c r="H59" i="48"/>
  <c r="H60" i="48"/>
  <c r="H62" i="48"/>
  <c r="H68" i="48"/>
  <c r="D69" i="48"/>
  <c r="H69" i="48"/>
  <c r="H83" i="48" s="1"/>
  <c r="H70" i="48"/>
  <c r="H71" i="48"/>
  <c r="H72" i="48"/>
  <c r="H73" i="48"/>
  <c r="H74" i="48"/>
  <c r="H75" i="48"/>
  <c r="H76" i="48"/>
  <c r="H77" i="48"/>
  <c r="H78" i="48"/>
  <c r="H79" i="48"/>
  <c r="H80" i="48"/>
  <c r="H81" i="48"/>
  <c r="H82" i="48"/>
  <c r="G273" i="48"/>
  <c r="G330" i="48"/>
  <c r="G295" i="48"/>
  <c r="G308" i="48"/>
  <c r="G329" i="48"/>
  <c r="G323" i="48"/>
  <c r="G211" i="48"/>
  <c r="G223" i="48"/>
  <c r="G337" i="48" s="1"/>
  <c r="G229" i="48"/>
  <c r="G239" i="48"/>
  <c r="G126" i="48"/>
  <c r="G165" i="48" s="1"/>
  <c r="G164" i="48"/>
  <c r="G146" i="48"/>
  <c r="G48" i="48"/>
  <c r="G63" i="48"/>
  <c r="G83" i="48"/>
  <c r="F249" i="48"/>
  <c r="F250" i="48"/>
  <c r="F251" i="48"/>
  <c r="F252" i="48"/>
  <c r="F256" i="48"/>
  <c r="F257" i="48"/>
  <c r="F258" i="48"/>
  <c r="F259" i="48"/>
  <c r="F260" i="48"/>
  <c r="F264" i="48"/>
  <c r="F265" i="48"/>
  <c r="F266" i="48"/>
  <c r="F267" i="48"/>
  <c r="F268" i="48"/>
  <c r="F271" i="48"/>
  <c r="F272" i="48"/>
  <c r="F282" i="48"/>
  <c r="F283" i="48"/>
  <c r="F284" i="48"/>
  <c r="F285" i="48"/>
  <c r="F286" i="48"/>
  <c r="F289" i="48"/>
  <c r="F292" i="48"/>
  <c r="F293" i="48"/>
  <c r="F294" i="48"/>
  <c r="F297" i="48"/>
  <c r="F298" i="48"/>
  <c r="F299" i="48"/>
  <c r="F300" i="48"/>
  <c r="F301" i="48"/>
  <c r="F302" i="48"/>
  <c r="F303" i="48"/>
  <c r="F306" i="48"/>
  <c r="F307" i="48"/>
  <c r="F327" i="48"/>
  <c r="F329" i="48" s="1"/>
  <c r="F328" i="48"/>
  <c r="F312" i="48"/>
  <c r="F313" i="48"/>
  <c r="F317" i="48"/>
  <c r="F318" i="48"/>
  <c r="F321" i="48"/>
  <c r="F322" i="48"/>
  <c r="F204" i="48"/>
  <c r="F205" i="48"/>
  <c r="F206" i="48"/>
  <c r="F207" i="48"/>
  <c r="F210" i="48"/>
  <c r="F229" i="48"/>
  <c r="F233" i="48"/>
  <c r="F234" i="48"/>
  <c r="F235" i="48"/>
  <c r="F96" i="48"/>
  <c r="F97" i="48"/>
  <c r="F98" i="48"/>
  <c r="F99" i="48"/>
  <c r="F101" i="48"/>
  <c r="F103" i="48"/>
  <c r="F104" i="48"/>
  <c r="F105" i="48"/>
  <c r="F106" i="48"/>
  <c r="F107" i="48"/>
  <c r="F109" i="48"/>
  <c r="F111" i="48"/>
  <c r="F112" i="48"/>
  <c r="F113" i="48"/>
  <c r="F114" i="48"/>
  <c r="F115" i="48"/>
  <c r="F116" i="48"/>
  <c r="F117" i="48"/>
  <c r="F124" i="48"/>
  <c r="F149" i="48"/>
  <c r="F150" i="48"/>
  <c r="F151" i="48"/>
  <c r="F152" i="48"/>
  <c r="F155" i="48"/>
  <c r="F156" i="48"/>
  <c r="F157" i="48"/>
  <c r="F158" i="48"/>
  <c r="F159" i="48"/>
  <c r="F160" i="48"/>
  <c r="F163" i="48"/>
  <c r="F138" i="48"/>
  <c r="F141" i="48"/>
  <c r="F142" i="48"/>
  <c r="F143" i="48"/>
  <c r="F145" i="48"/>
  <c r="F12" i="48"/>
  <c r="F13" i="48"/>
  <c r="F16" i="48"/>
  <c r="F17" i="48"/>
  <c r="F18" i="48"/>
  <c r="F19" i="48"/>
  <c r="F20" i="48"/>
  <c r="F21" i="48"/>
  <c r="F24" i="48"/>
  <c r="F25" i="48"/>
  <c r="F26" i="48"/>
  <c r="F27" i="48"/>
  <c r="F28" i="48"/>
  <c r="F29" i="48"/>
  <c r="F32" i="48"/>
  <c r="F33" i="48"/>
  <c r="F34" i="48"/>
  <c r="F35" i="48"/>
  <c r="F36" i="48"/>
  <c r="F37" i="48"/>
  <c r="F40" i="48"/>
  <c r="F41" i="48"/>
  <c r="F42" i="48"/>
  <c r="F43" i="48"/>
  <c r="F44" i="48"/>
  <c r="F45" i="48"/>
  <c r="F55" i="48"/>
  <c r="F56" i="48"/>
  <c r="F57" i="48"/>
  <c r="F58" i="48"/>
  <c r="F59" i="48"/>
  <c r="F62" i="48"/>
  <c r="F68" i="48"/>
  <c r="F70" i="48"/>
  <c r="F74" i="48"/>
  <c r="F75" i="48"/>
  <c r="F77" i="48"/>
  <c r="F78" i="48"/>
  <c r="F79" i="48"/>
  <c r="F81" i="48"/>
  <c r="F83" i="48" s="1"/>
  <c r="E164" i="48"/>
  <c r="E165" i="48"/>
  <c r="E341" i="48"/>
  <c r="D164" i="48"/>
  <c r="D165" i="48" s="1"/>
  <c r="D341" i="48" s="1"/>
  <c r="C164" i="48"/>
  <c r="C165" i="48" s="1"/>
  <c r="C341" i="48" s="1"/>
  <c r="P339" i="48"/>
  <c r="O339" i="48"/>
  <c r="N339" i="48"/>
  <c r="M339" i="48"/>
  <c r="L339" i="48"/>
  <c r="K339" i="48"/>
  <c r="J339" i="48"/>
  <c r="G339" i="48"/>
  <c r="E339" i="48"/>
  <c r="C339" i="48"/>
  <c r="P338" i="48"/>
  <c r="O338" i="48"/>
  <c r="N338" i="48"/>
  <c r="M338" i="48"/>
  <c r="L338" i="48"/>
  <c r="K338" i="48"/>
  <c r="J338" i="48"/>
  <c r="G338" i="48"/>
  <c r="E338" i="48"/>
  <c r="D338" i="48"/>
  <c r="C338" i="48"/>
  <c r="P337" i="48"/>
  <c r="O337" i="48"/>
  <c r="N337" i="48"/>
  <c r="M337" i="48"/>
  <c r="L337" i="48"/>
  <c r="I188" i="48"/>
  <c r="I189" i="48"/>
  <c r="F189" i="48" s="1"/>
  <c r="I190" i="48"/>
  <c r="I191" i="48"/>
  <c r="F191" i="48" s="1"/>
  <c r="C192" i="48"/>
  <c r="I192" i="48" s="1"/>
  <c r="E192" i="48"/>
  <c r="I193" i="48"/>
  <c r="F193" i="48" s="1"/>
  <c r="I194" i="48"/>
  <c r="F194" i="48" s="1"/>
  <c r="H188" i="48"/>
  <c r="H189" i="48"/>
  <c r="H190" i="48"/>
  <c r="H191" i="48"/>
  <c r="D192" i="48"/>
  <c r="H193" i="48"/>
  <c r="H194" i="48"/>
  <c r="G195" i="48"/>
  <c r="F188" i="48"/>
  <c r="F190" i="48"/>
  <c r="E295" i="48"/>
  <c r="D295" i="48"/>
  <c r="D337" i="48"/>
  <c r="C295" i="48"/>
  <c r="K336" i="48"/>
  <c r="I171" i="48"/>
  <c r="F171" i="48" s="1"/>
  <c r="I172" i="48"/>
  <c r="I173" i="48"/>
  <c r="F173" i="48" s="1"/>
  <c r="I174" i="48"/>
  <c r="F174" i="48" s="1"/>
  <c r="I175" i="48"/>
  <c r="F175" i="48" s="1"/>
  <c r="I176" i="48"/>
  <c r="I177" i="48"/>
  <c r="F177" i="48" s="1"/>
  <c r="I178" i="48"/>
  <c r="I179" i="48"/>
  <c r="F179" i="48"/>
  <c r="I180" i="48"/>
  <c r="I181" i="48"/>
  <c r="C182" i="48"/>
  <c r="H182" i="48" s="1"/>
  <c r="E182" i="48"/>
  <c r="E199" i="48" s="1"/>
  <c r="I183" i="48"/>
  <c r="I184" i="48"/>
  <c r="F184" i="48" s="1"/>
  <c r="H171" i="48"/>
  <c r="H172" i="48"/>
  <c r="H173" i="48"/>
  <c r="H174" i="48"/>
  <c r="H175" i="48"/>
  <c r="H176" i="48"/>
  <c r="H177" i="48"/>
  <c r="H178" i="48"/>
  <c r="H179" i="48"/>
  <c r="H180" i="48"/>
  <c r="H181" i="48"/>
  <c r="D182" i="48"/>
  <c r="H183" i="48"/>
  <c r="H184" i="48"/>
  <c r="G185" i="48"/>
  <c r="G336" i="48"/>
  <c r="F172" i="48"/>
  <c r="F176" i="48"/>
  <c r="F178" i="48"/>
  <c r="F180" i="48"/>
  <c r="F181" i="48"/>
  <c r="F183" i="48"/>
  <c r="E273" i="48"/>
  <c r="E336" i="48"/>
  <c r="D273" i="48"/>
  <c r="D336" i="48"/>
  <c r="C273" i="48"/>
  <c r="C336" i="48"/>
  <c r="E333" i="48"/>
  <c r="E326" i="48"/>
  <c r="D333" i="48"/>
  <c r="D326" i="48"/>
  <c r="D334" i="48"/>
  <c r="C333" i="48"/>
  <c r="C326" i="48"/>
  <c r="E212" i="48"/>
  <c r="E225" i="48"/>
  <c r="E231" i="48"/>
  <c r="E241" i="48"/>
  <c r="E242" i="48"/>
  <c r="D212" i="48"/>
  <c r="D225" i="48"/>
  <c r="D231" i="48"/>
  <c r="D241" i="48"/>
  <c r="C212" i="48"/>
  <c r="C242" i="48" s="1"/>
  <c r="C225" i="48"/>
  <c r="C231" i="48"/>
  <c r="C241" i="48"/>
  <c r="C198" i="48"/>
  <c r="E198" i="48"/>
  <c r="D198" i="48"/>
  <c r="E120" i="48"/>
  <c r="D120" i="48"/>
  <c r="C120" i="48"/>
  <c r="E54" i="48"/>
  <c r="E91" i="48" s="1"/>
  <c r="E89" i="48"/>
  <c r="D54" i="48"/>
  <c r="D89" i="48"/>
  <c r="D91" i="48"/>
  <c r="C54" i="48"/>
  <c r="C91" i="48" s="1"/>
  <c r="C89" i="48"/>
  <c r="E212" i="42"/>
  <c r="E225" i="42"/>
  <c r="E231" i="42"/>
  <c r="E241" i="42"/>
  <c r="E242" i="42"/>
  <c r="D212" i="42"/>
  <c r="D242" i="42" s="1"/>
  <c r="D225" i="42"/>
  <c r="D231" i="42"/>
  <c r="D241" i="42"/>
  <c r="C212" i="42"/>
  <c r="C225" i="42"/>
  <c r="C231" i="42"/>
  <c r="C241" i="42"/>
  <c r="E182" i="42"/>
  <c r="E192" i="42"/>
  <c r="E198" i="42"/>
  <c r="D182" i="42"/>
  <c r="D192" i="42"/>
  <c r="D199" i="42" s="1"/>
  <c r="D198" i="42"/>
  <c r="C182" i="42"/>
  <c r="C192" i="42"/>
  <c r="C198" i="42"/>
  <c r="E273" i="42"/>
  <c r="E295" i="42"/>
  <c r="E311" i="42"/>
  <c r="E333" i="42"/>
  <c r="E326" i="42"/>
  <c r="D273" i="42"/>
  <c r="D295" i="42"/>
  <c r="D334" i="42" s="1"/>
  <c r="D311" i="42"/>
  <c r="D333" i="42"/>
  <c r="D326" i="42"/>
  <c r="C273" i="42"/>
  <c r="C295" i="42"/>
  <c r="C311" i="42"/>
  <c r="C333" i="42"/>
  <c r="C326" i="42"/>
  <c r="E54" i="42"/>
  <c r="E69" i="42"/>
  <c r="E89" i="42"/>
  <c r="D54" i="42"/>
  <c r="D69" i="42"/>
  <c r="D89" i="42"/>
  <c r="C54" i="42"/>
  <c r="C91" i="42" s="1"/>
  <c r="C69" i="42"/>
  <c r="I69" i="42" s="1"/>
  <c r="F69" i="42" s="1"/>
  <c r="C89" i="42"/>
  <c r="E137" i="42"/>
  <c r="E140" i="42"/>
  <c r="D137" i="42"/>
  <c r="D140" i="42"/>
  <c r="C137" i="42"/>
  <c r="C140" i="42" s="1"/>
  <c r="E120" i="42"/>
  <c r="D120" i="42"/>
  <c r="C120" i="42"/>
  <c r="I24" i="38"/>
  <c r="I15" i="38"/>
  <c r="I16" i="38"/>
  <c r="I18" i="38"/>
  <c r="I19" i="38"/>
  <c r="I20" i="38"/>
  <c r="I21" i="38"/>
  <c r="I22" i="38"/>
  <c r="J25" i="38"/>
  <c r="L25" i="38"/>
  <c r="M19" i="38"/>
  <c r="M20" i="38"/>
  <c r="M21" i="38"/>
  <c r="M22" i="38"/>
  <c r="E15" i="38"/>
  <c r="G16" i="37"/>
  <c r="D33" i="19"/>
  <c r="N17" i="7"/>
  <c r="G34" i="20"/>
  <c r="G33" i="20" s="1"/>
  <c r="F33" i="20"/>
  <c r="E33" i="20"/>
  <c r="I221" i="42"/>
  <c r="I223" i="42" s="1"/>
  <c r="I222" i="42"/>
  <c r="I220" i="42"/>
  <c r="I184" i="42"/>
  <c r="I138" i="42"/>
  <c r="F138" i="42" s="1"/>
  <c r="I139" i="42"/>
  <c r="I141" i="42"/>
  <c r="I142" i="42"/>
  <c r="F142" i="42" s="1"/>
  <c r="I143" i="42"/>
  <c r="I111" i="42"/>
  <c r="I56" i="42"/>
  <c r="I57" i="42"/>
  <c r="F57" i="42" s="1"/>
  <c r="I58" i="42"/>
  <c r="F58" i="42" s="1"/>
  <c r="I59" i="42"/>
  <c r="I60" i="42"/>
  <c r="I55" i="42"/>
  <c r="I63" i="42" s="1"/>
  <c r="I38" i="42"/>
  <c r="I24" i="42"/>
  <c r="I283" i="42"/>
  <c r="F283" i="42" s="1"/>
  <c r="I284" i="42"/>
  <c r="I285" i="42"/>
  <c r="I286" i="42"/>
  <c r="I287" i="42"/>
  <c r="I288" i="42"/>
  <c r="I289" i="42"/>
  <c r="I282" i="42"/>
  <c r="J291" i="42"/>
  <c r="J292" i="42"/>
  <c r="J293" i="42"/>
  <c r="J294" i="42"/>
  <c r="J290" i="42"/>
  <c r="I183" i="42"/>
  <c r="I145" i="42"/>
  <c r="F145" i="42" s="1"/>
  <c r="I124" i="42"/>
  <c r="F124" i="42" s="1"/>
  <c r="I46" i="42"/>
  <c r="I62" i="42"/>
  <c r="I68" i="42"/>
  <c r="I70" i="42"/>
  <c r="I72" i="42"/>
  <c r="I73" i="42"/>
  <c r="I74" i="42"/>
  <c r="I71" i="42"/>
  <c r="I75" i="42"/>
  <c r="I76" i="42"/>
  <c r="I77" i="42"/>
  <c r="F77" i="42" s="1"/>
  <c r="I78" i="42"/>
  <c r="F78" i="42" s="1"/>
  <c r="I79" i="42"/>
  <c r="I80" i="42"/>
  <c r="I81" i="42"/>
  <c r="I82" i="42"/>
  <c r="I61" i="42"/>
  <c r="I149" i="42"/>
  <c r="I150" i="42"/>
  <c r="F150" i="42" s="1"/>
  <c r="F164" i="42" s="1"/>
  <c r="I151" i="42"/>
  <c r="I152" i="42"/>
  <c r="I153" i="42"/>
  <c r="I154" i="42"/>
  <c r="I155" i="42"/>
  <c r="I156" i="42"/>
  <c r="I157" i="42"/>
  <c r="F157" i="42" s="1"/>
  <c r="I158" i="42"/>
  <c r="F158" i="42" s="1"/>
  <c r="I159" i="42"/>
  <c r="I160" i="42"/>
  <c r="I161" i="42"/>
  <c r="I162" i="42"/>
  <c r="I163" i="42"/>
  <c r="I96" i="42"/>
  <c r="I97" i="42"/>
  <c r="F97" i="42" s="1"/>
  <c r="I98" i="42"/>
  <c r="I99" i="42"/>
  <c r="F99" i="42" s="1"/>
  <c r="I100" i="42"/>
  <c r="I101" i="42"/>
  <c r="I102" i="42"/>
  <c r="I103" i="42"/>
  <c r="I104" i="42"/>
  <c r="F104" i="42" s="1"/>
  <c r="I105" i="42"/>
  <c r="I106" i="42"/>
  <c r="I107" i="42"/>
  <c r="F107" i="42" s="1"/>
  <c r="I108" i="42"/>
  <c r="I109" i="42"/>
  <c r="I110" i="42"/>
  <c r="I113" i="42"/>
  <c r="I114" i="42"/>
  <c r="F114" i="42" s="1"/>
  <c r="I115" i="42"/>
  <c r="F115" i="42" s="1"/>
  <c r="I116" i="42"/>
  <c r="I117" i="42"/>
  <c r="F117" i="42" s="1"/>
  <c r="I118" i="42"/>
  <c r="I119" i="42"/>
  <c r="I233" i="42"/>
  <c r="I234" i="42"/>
  <c r="I235" i="42"/>
  <c r="F235" i="42" s="1"/>
  <c r="I236" i="42"/>
  <c r="I237" i="42"/>
  <c r="F237" i="42" s="1"/>
  <c r="I238" i="42"/>
  <c r="I204" i="42"/>
  <c r="I211" i="42" s="1"/>
  <c r="I205" i="42"/>
  <c r="I206" i="42"/>
  <c r="I207" i="42"/>
  <c r="I208" i="42"/>
  <c r="I209" i="42"/>
  <c r="I210" i="42"/>
  <c r="I229" i="42"/>
  <c r="I328" i="42"/>
  <c r="I327" i="42"/>
  <c r="I247" i="42"/>
  <c r="I248" i="42"/>
  <c r="F248" i="42" s="1"/>
  <c r="I249" i="42"/>
  <c r="I250" i="42"/>
  <c r="F250" i="42" s="1"/>
  <c r="I251" i="42"/>
  <c r="F251" i="42" s="1"/>
  <c r="I252" i="42"/>
  <c r="F252" i="42"/>
  <c r="I253" i="42"/>
  <c r="I254" i="42"/>
  <c r="I255" i="42"/>
  <c r="I256" i="42"/>
  <c r="F256" i="42"/>
  <c r="I257" i="42"/>
  <c r="F257" i="42" s="1"/>
  <c r="I258" i="42"/>
  <c r="I259" i="42"/>
  <c r="F259" i="42" s="1"/>
  <c r="I260" i="42"/>
  <c r="F260" i="42" s="1"/>
  <c r="I261" i="42"/>
  <c r="I262" i="42"/>
  <c r="I263" i="42"/>
  <c r="F263" i="42" s="1"/>
  <c r="I264" i="42"/>
  <c r="F264" i="42" s="1"/>
  <c r="I265" i="42"/>
  <c r="I266" i="42"/>
  <c r="I267" i="42"/>
  <c r="I268" i="42"/>
  <c r="F268" i="42"/>
  <c r="I269" i="42"/>
  <c r="F269" i="42" s="1"/>
  <c r="I270" i="42"/>
  <c r="F270" i="42" s="1"/>
  <c r="I271" i="42"/>
  <c r="I272" i="42"/>
  <c r="F272" i="42" s="1"/>
  <c r="I311" i="42"/>
  <c r="I312" i="42"/>
  <c r="I313" i="42"/>
  <c r="F313" i="42"/>
  <c r="I297" i="42"/>
  <c r="I308" i="42" s="1"/>
  <c r="I299" i="42"/>
  <c r="I302" i="42"/>
  <c r="I303" i="42"/>
  <c r="I304" i="42"/>
  <c r="F304" i="42" s="1"/>
  <c r="I305" i="42"/>
  <c r="I306" i="42"/>
  <c r="J298" i="42"/>
  <c r="J308" i="42" s="1"/>
  <c r="J300" i="42"/>
  <c r="J301" i="42"/>
  <c r="J329" i="42"/>
  <c r="J339" i="42" s="1"/>
  <c r="J323" i="42"/>
  <c r="J338" i="42" s="1"/>
  <c r="J112" i="42"/>
  <c r="J126" i="42"/>
  <c r="J165" i="42" s="1"/>
  <c r="J164" i="42"/>
  <c r="K307" i="42"/>
  <c r="K308" i="42"/>
  <c r="K330" i="42"/>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11" i="42" s="1"/>
  <c r="H206" i="42"/>
  <c r="H207" i="42"/>
  <c r="H208" i="42"/>
  <c r="H209" i="42"/>
  <c r="H210" i="42"/>
  <c r="H247" i="42"/>
  <c r="H248" i="42"/>
  <c r="H273" i="42" s="1"/>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126"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3" i="42" s="1"/>
  <c r="H221" i="42"/>
  <c r="H222" i="42"/>
  <c r="H188" i="42"/>
  <c r="H195" i="42" s="1"/>
  <c r="H189" i="42"/>
  <c r="H190" i="42"/>
  <c r="H191" i="42"/>
  <c r="H192" i="42"/>
  <c r="H193" i="42"/>
  <c r="H194" i="42"/>
  <c r="H55" i="42"/>
  <c r="H56" i="42"/>
  <c r="H63" i="42" s="1"/>
  <c r="H57" i="42"/>
  <c r="H58" i="42"/>
  <c r="H59" i="42"/>
  <c r="H60" i="42"/>
  <c r="H62" i="42"/>
  <c r="H138" i="42"/>
  <c r="H139" i="42"/>
  <c r="H140" i="42"/>
  <c r="H141" i="42"/>
  <c r="H142" i="42"/>
  <c r="H143" i="42"/>
  <c r="H145" i="42"/>
  <c r="I171" i="42"/>
  <c r="F171" i="42" s="1"/>
  <c r="I172" i="42"/>
  <c r="I173" i="42"/>
  <c r="F173" i="42" s="1"/>
  <c r="I174" i="42"/>
  <c r="F174" i="42" s="1"/>
  <c r="I175" i="42"/>
  <c r="F175" i="42" s="1"/>
  <c r="I176" i="42"/>
  <c r="I177" i="42"/>
  <c r="F177" i="42"/>
  <c r="I178" i="42"/>
  <c r="F178" i="42" s="1"/>
  <c r="I179" i="42"/>
  <c r="I180" i="42"/>
  <c r="I181" i="42"/>
  <c r="F181" i="42" s="1"/>
  <c r="I188" i="42"/>
  <c r="I189" i="42"/>
  <c r="F189" i="42" s="1"/>
  <c r="I190" i="42"/>
  <c r="I191" i="42"/>
  <c r="F191" i="42" s="1"/>
  <c r="I192" i="42"/>
  <c r="I193" i="42"/>
  <c r="F193" i="42" s="1"/>
  <c r="I194" i="42"/>
  <c r="F194" i="42" s="1"/>
  <c r="I12" i="42"/>
  <c r="F12" i="42"/>
  <c r="I13" i="42"/>
  <c r="I14" i="42"/>
  <c r="F14" i="42" s="1"/>
  <c r="I15" i="42"/>
  <c r="I16" i="42"/>
  <c r="I17" i="42"/>
  <c r="I18" i="42"/>
  <c r="F18" i="42" s="1"/>
  <c r="I19" i="42"/>
  <c r="I20" i="42"/>
  <c r="F20" i="42" s="1"/>
  <c r="I21" i="42"/>
  <c r="I22" i="42"/>
  <c r="F22" i="42" s="1"/>
  <c r="I23" i="42"/>
  <c r="I25" i="42"/>
  <c r="F25" i="42" s="1"/>
  <c r="I26" i="42"/>
  <c r="I27" i="42"/>
  <c r="F27" i="42" s="1"/>
  <c r="I28" i="42"/>
  <c r="I29" i="42"/>
  <c r="F29" i="42"/>
  <c r="I30" i="42"/>
  <c r="I31" i="42"/>
  <c r="I32" i="42"/>
  <c r="I33" i="42"/>
  <c r="I34" i="42"/>
  <c r="F34" i="42" s="1"/>
  <c r="I35" i="42"/>
  <c r="I36" i="42"/>
  <c r="I37" i="42"/>
  <c r="I39" i="42"/>
  <c r="I40" i="42"/>
  <c r="F40" i="42" s="1"/>
  <c r="I41" i="42"/>
  <c r="I42" i="42"/>
  <c r="F42" i="42"/>
  <c r="I43" i="42"/>
  <c r="I44" i="42"/>
  <c r="I45" i="42"/>
  <c r="F45" i="42" s="1"/>
  <c r="H327" i="42"/>
  <c r="H329" i="42" s="1"/>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7" i="42"/>
  <c r="F306" i="42"/>
  <c r="F308" i="42" s="1"/>
  <c r="F303" i="42"/>
  <c r="F305" i="42"/>
  <c r="F302" i="42"/>
  <c r="F297" i="42"/>
  <c r="C33" i="19"/>
  <c r="F327" i="42"/>
  <c r="F311" i="42"/>
  <c r="F323" i="42" s="1"/>
  <c r="F338" i="42" s="1"/>
  <c r="F312" i="42"/>
  <c r="F317" i="42"/>
  <c r="F318" i="42"/>
  <c r="F321" i="42"/>
  <c r="F322" i="42"/>
  <c r="F284" i="42"/>
  <c r="F285" i="42"/>
  <c r="F286" i="42"/>
  <c r="F287" i="42"/>
  <c r="F288" i="42"/>
  <c r="F289" i="42"/>
  <c r="F290" i="42"/>
  <c r="F292" i="42"/>
  <c r="F293" i="42"/>
  <c r="F294" i="42"/>
  <c r="F282" i="42"/>
  <c r="F249" i="42"/>
  <c r="F253" i="42"/>
  <c r="F254" i="42"/>
  <c r="F255" i="42"/>
  <c r="F258" i="42"/>
  <c r="F261" i="42"/>
  <c r="F262" i="42"/>
  <c r="F265" i="42"/>
  <c r="F266" i="42"/>
  <c r="F267" i="42"/>
  <c r="F271" i="42"/>
  <c r="F247" i="42"/>
  <c r="F236" i="42"/>
  <c r="F238" i="42"/>
  <c r="F233" i="42"/>
  <c r="F222" i="42"/>
  <c r="F220" i="42"/>
  <c r="F205" i="42"/>
  <c r="F211" i="42" s="1"/>
  <c r="F206" i="42"/>
  <c r="F207" i="42"/>
  <c r="F208" i="42"/>
  <c r="F209" i="42"/>
  <c r="F210" i="42"/>
  <c r="F204" i="42"/>
  <c r="F190" i="42"/>
  <c r="F192" i="42"/>
  <c r="F188" i="42"/>
  <c r="F176" i="42"/>
  <c r="F179" i="42"/>
  <c r="F180" i="42"/>
  <c r="F183" i="42"/>
  <c r="F184" i="42"/>
  <c r="F151" i="42"/>
  <c r="F152" i="42"/>
  <c r="F153" i="42"/>
  <c r="F154" i="42"/>
  <c r="F155" i="42"/>
  <c r="F156" i="42"/>
  <c r="F159" i="42"/>
  <c r="F160" i="42"/>
  <c r="F161" i="42"/>
  <c r="F162" i="42"/>
  <c r="F163" i="42"/>
  <c r="F149" i="42"/>
  <c r="F139" i="42"/>
  <c r="F141" i="42"/>
  <c r="F143" i="42"/>
  <c r="F100" i="42"/>
  <c r="F101" i="42"/>
  <c r="F102" i="42"/>
  <c r="F103" i="42"/>
  <c r="F105" i="42"/>
  <c r="F106" i="42"/>
  <c r="F108" i="42"/>
  <c r="F109" i="42"/>
  <c r="F110" i="42"/>
  <c r="F111" i="42"/>
  <c r="F112" i="42"/>
  <c r="F113" i="42"/>
  <c r="F116" i="42"/>
  <c r="F118" i="42"/>
  <c r="F119" i="42"/>
  <c r="F98" i="42"/>
  <c r="F96" i="42"/>
  <c r="F70" i="42"/>
  <c r="F71" i="42"/>
  <c r="F72" i="42"/>
  <c r="F73" i="42"/>
  <c r="F74" i="42"/>
  <c r="F75" i="42"/>
  <c r="F76" i="42"/>
  <c r="F79" i="42"/>
  <c r="F80" i="42"/>
  <c r="F81" i="42"/>
  <c r="F82" i="42"/>
  <c r="F68" i="42"/>
  <c r="F83" i="42" s="1"/>
  <c r="F55" i="42"/>
  <c r="F56" i="42"/>
  <c r="F59" i="42"/>
  <c r="F60" i="42"/>
  <c r="F61" i="42"/>
  <c r="F62" i="42"/>
  <c r="F15" i="42"/>
  <c r="F16" i="42"/>
  <c r="F17" i="42"/>
  <c r="F19" i="42"/>
  <c r="F21" i="42"/>
  <c r="F23" i="42"/>
  <c r="F24" i="42"/>
  <c r="F26" i="42"/>
  <c r="F28" i="42"/>
  <c r="F30" i="42"/>
  <c r="F31" i="42"/>
  <c r="F32" i="42"/>
  <c r="F33" i="42"/>
  <c r="F35" i="42"/>
  <c r="F36" i="42"/>
  <c r="F37" i="42"/>
  <c r="F38" i="42"/>
  <c r="F39" i="42"/>
  <c r="F41" i="42"/>
  <c r="F43" i="42"/>
  <c r="F44" i="42"/>
  <c r="F13" i="42"/>
  <c r="G48" i="42"/>
  <c r="N24" i="39"/>
  <c r="E22" i="37"/>
  <c r="G20" i="41"/>
  <c r="F22" i="37" s="1"/>
  <c r="H20" i="41"/>
  <c r="G22" i="37" s="1"/>
  <c r="I15" i="41"/>
  <c r="K20" i="41"/>
  <c r="J22" i="37" s="1"/>
  <c r="I17" i="41"/>
  <c r="I18" i="41"/>
  <c r="J20" i="41"/>
  <c r="I22" i="37" s="1"/>
  <c r="E15" i="41"/>
  <c r="E17" i="41"/>
  <c r="E18" i="41"/>
  <c r="E20" i="37"/>
  <c r="G22" i="40"/>
  <c r="F20" i="37"/>
  <c r="H22" i="40"/>
  <c r="G20" i="37" s="1"/>
  <c r="I16" i="40"/>
  <c r="I19" i="40"/>
  <c r="J22" i="40"/>
  <c r="I20" i="37" s="1"/>
  <c r="E15" i="40"/>
  <c r="E16" i="40"/>
  <c r="E17" i="40"/>
  <c r="E18" i="40"/>
  <c r="E19" i="40"/>
  <c r="E20" i="40"/>
  <c r="E18" i="37"/>
  <c r="E19" i="39"/>
  <c r="I17" i="39"/>
  <c r="I21" i="39"/>
  <c r="I22" i="39"/>
  <c r="J25" i="39"/>
  <c r="I18" i="37"/>
  <c r="E17" i="39"/>
  <c r="E18" i="39"/>
  <c r="E20" i="39"/>
  <c r="E21" i="39"/>
  <c r="E22" i="39"/>
  <c r="E23" i="39"/>
  <c r="E16" i="37"/>
  <c r="I20" i="7"/>
  <c r="I21" i="7"/>
  <c r="I14" i="7"/>
  <c r="J24" i="7"/>
  <c r="I14" i="37" s="1"/>
  <c r="I16" i="37"/>
  <c r="M20" i="7"/>
  <c r="E14" i="37"/>
  <c r="E14" i="7"/>
  <c r="E16" i="7"/>
  <c r="E17" i="7"/>
  <c r="E20" i="7"/>
  <c r="E22" i="7"/>
  <c r="D164" i="42"/>
  <c r="E164" i="42"/>
  <c r="E339" i="42" s="1"/>
  <c r="G329" i="42"/>
  <c r="G239" i="42"/>
  <c r="G164" i="42"/>
  <c r="G83" i="42"/>
  <c r="K339" i="42"/>
  <c r="L339" i="42"/>
  <c r="M339" i="42"/>
  <c r="N339" i="42"/>
  <c r="O339" i="42"/>
  <c r="P339" i="42"/>
  <c r="C164" i="42"/>
  <c r="C339" i="42"/>
  <c r="C165" i="42"/>
  <c r="C341" i="42" s="1"/>
  <c r="G63" i="42"/>
  <c r="G195" i="42"/>
  <c r="J336" i="42"/>
  <c r="G308" i="42"/>
  <c r="G146" i="42"/>
  <c r="G165" i="42" s="1"/>
  <c r="E165" i="42"/>
  <c r="E341" i="42" s="1"/>
  <c r="G185" i="42"/>
  <c r="G211" i="42"/>
  <c r="G240" i="42" s="1"/>
  <c r="G273" i="42"/>
  <c r="G330" i="42" s="1"/>
  <c r="G126" i="42"/>
  <c r="E337" i="42"/>
  <c r="G295" i="42"/>
  <c r="G223" i="42"/>
  <c r="D338" i="42"/>
  <c r="F229" i="42"/>
  <c r="G323" i="42"/>
  <c r="G338" i="42" s="1"/>
  <c r="G229" i="42"/>
  <c r="H311" i="42"/>
  <c r="H312" i="42"/>
  <c r="H313" i="42"/>
  <c r="H323" i="42"/>
  <c r="H338" i="42" s="1"/>
  <c r="H229" i="42"/>
  <c r="C337" i="42"/>
  <c r="G52" i="20"/>
  <c r="L330" i="42"/>
  <c r="L341" i="42" s="1"/>
  <c r="L165" i="42"/>
  <c r="L240" i="42"/>
  <c r="L85" i="42"/>
  <c r="L336" i="42"/>
  <c r="G85" i="42"/>
  <c r="K338" i="42"/>
  <c r="M337" i="42"/>
  <c r="N337" i="42"/>
  <c r="O337" i="42"/>
  <c r="P337" i="42"/>
  <c r="L337" i="42"/>
  <c r="L338" i="42"/>
  <c r="M338" i="42"/>
  <c r="N338" i="42"/>
  <c r="O338" i="42"/>
  <c r="P338" i="42"/>
  <c r="D336" i="42"/>
  <c r="E336" i="42"/>
  <c r="E338" i="42"/>
  <c r="K337" i="42"/>
  <c r="E21" i="7"/>
  <c r="E15" i="7"/>
  <c r="E19" i="7"/>
  <c r="G25" i="39"/>
  <c r="F18" i="37"/>
  <c r="F16" i="37"/>
  <c r="D337" i="42"/>
  <c r="C338" i="42"/>
  <c r="H24" i="7"/>
  <c r="G14" i="37" s="1"/>
  <c r="I23" i="39"/>
  <c r="H25" i="39"/>
  <c r="G18" i="37"/>
  <c r="L25" i="39"/>
  <c r="K18" i="37" s="1"/>
  <c r="M21" i="39"/>
  <c r="M17" i="39"/>
  <c r="M19" i="40"/>
  <c r="I15" i="40"/>
  <c r="I17" i="40"/>
  <c r="I22" i="40" s="1"/>
  <c r="H20" i="37" s="1"/>
  <c r="M17" i="40"/>
  <c r="M20" i="39"/>
  <c r="I20" i="39"/>
  <c r="M22" i="39"/>
  <c r="M23" i="39"/>
  <c r="I19" i="39"/>
  <c r="I18" i="40"/>
  <c r="E16" i="41"/>
  <c r="E20" i="41" s="1"/>
  <c r="D22" i="37" s="1"/>
  <c r="K22" i="40"/>
  <c r="J20" i="37" s="1"/>
  <c r="K16" i="37"/>
  <c r="L20" i="41"/>
  <c r="K22" i="37" s="1"/>
  <c r="I16" i="41"/>
  <c r="I20" i="41" s="1"/>
  <c r="H22" i="37" s="1"/>
  <c r="F299" i="42"/>
  <c r="F300" i="42"/>
  <c r="F301" i="42"/>
  <c r="F298" i="42"/>
  <c r="F46" i="42"/>
  <c r="E22" i="40"/>
  <c r="D20" i="37" s="1"/>
  <c r="G49" i="20"/>
  <c r="G42" i="20" s="1"/>
  <c r="I83" i="48"/>
  <c r="F137" i="48"/>
  <c r="J336" i="48"/>
  <c r="J165" i="48"/>
  <c r="H140" i="49"/>
  <c r="I140" i="49"/>
  <c r="F140" i="49"/>
  <c r="F192" i="48"/>
  <c r="I195" i="48"/>
  <c r="F69" i="49"/>
  <c r="F83" i="49" s="1"/>
  <c r="I83" i="49"/>
  <c r="K330" i="49"/>
  <c r="K341" i="49" s="1"/>
  <c r="K337" i="49"/>
  <c r="I182" i="48"/>
  <c r="F182" i="48" s="1"/>
  <c r="C199" i="49"/>
  <c r="D334" i="49"/>
  <c r="E337" i="49"/>
  <c r="F173" i="50"/>
  <c r="H192" i="50"/>
  <c r="H195" i="50"/>
  <c r="F164" i="50"/>
  <c r="H83" i="50"/>
  <c r="F185" i="51"/>
  <c r="F48" i="50"/>
  <c r="F295" i="50"/>
  <c r="F311" i="50"/>
  <c r="F323" i="50"/>
  <c r="F338" i="50"/>
  <c r="I323" i="50"/>
  <c r="I338" i="50"/>
  <c r="H140" i="51"/>
  <c r="H146" i="51" s="1"/>
  <c r="I140" i="51"/>
  <c r="F140" i="51"/>
  <c r="F146" i="51" s="1"/>
  <c r="I323" i="51"/>
  <c r="I338" i="51" s="1"/>
  <c r="F311" i="51"/>
  <c r="F323" i="51" s="1"/>
  <c r="F338" i="51" s="1"/>
  <c r="E140" i="48"/>
  <c r="H140" i="48" s="1"/>
  <c r="F191" i="50"/>
  <c r="F195" i="50"/>
  <c r="C339" i="50"/>
  <c r="H48" i="50"/>
  <c r="I83" i="50"/>
  <c r="F137" i="50"/>
  <c r="H85" i="51"/>
  <c r="H69" i="49"/>
  <c r="H83" i="49"/>
  <c r="F211" i="50"/>
  <c r="H63" i="50"/>
  <c r="F69" i="51"/>
  <c r="F83" i="51" s="1"/>
  <c r="I83" i="51"/>
  <c r="I146" i="51"/>
  <c r="K330" i="51"/>
  <c r="K341" i="51" s="1"/>
  <c r="K337" i="51"/>
  <c r="C199" i="51"/>
  <c r="D334" i="51"/>
  <c r="I185" i="51"/>
  <c r="E337" i="51"/>
  <c r="N25" i="39"/>
  <c r="E140" i="50"/>
  <c r="I140" i="50" s="1"/>
  <c r="F140" i="50" s="1"/>
  <c r="H182" i="51"/>
  <c r="H185" i="51"/>
  <c r="N22" i="40"/>
  <c r="M170" i="52" s="1"/>
  <c r="L19" i="7"/>
  <c r="P19" i="7" s="1"/>
  <c r="P16" i="38"/>
  <c r="L20" i="40"/>
  <c r="I20" i="40" s="1"/>
  <c r="O17" i="7"/>
  <c r="M17" i="7" s="1"/>
  <c r="O14" i="7"/>
  <c r="O19" i="39"/>
  <c r="M19" i="39"/>
  <c r="L131" i="52"/>
  <c r="L212" i="52"/>
  <c r="H278" i="53"/>
  <c r="J375" i="53"/>
  <c r="J382" i="53" s="1"/>
  <c r="J378" i="53"/>
  <c r="L105" i="53"/>
  <c r="L382" i="53" s="1"/>
  <c r="F103" i="53"/>
  <c r="I150" i="53"/>
  <c r="I185" i="53"/>
  <c r="F148" i="53"/>
  <c r="F150" i="53" s="1"/>
  <c r="F185" i="53" s="1"/>
  <c r="I18" i="39"/>
  <c r="L22" i="40"/>
  <c r="K20" i="37" s="1"/>
  <c r="O18" i="39"/>
  <c r="P20" i="40"/>
  <c r="M20" i="40" s="1"/>
  <c r="H140" i="50"/>
  <c r="H146" i="50"/>
  <c r="M375" i="53"/>
  <c r="M291" i="52"/>
  <c r="M330" i="50"/>
  <c r="M330" i="51"/>
  <c r="M330" i="48"/>
  <c r="M330" i="42"/>
  <c r="M330" i="49"/>
  <c r="M18" i="37"/>
  <c r="F185" i="48"/>
  <c r="M14" i="7"/>
  <c r="M225" i="53"/>
  <c r="M20" i="37"/>
  <c r="I146" i="50"/>
  <c r="I17" i="7"/>
  <c r="F146" i="50"/>
  <c r="H85" i="50"/>
  <c r="H146" i="48"/>
  <c r="F245" i="52"/>
  <c r="F246" i="52"/>
  <c r="C17" i="17" l="1"/>
  <c r="C8" i="17" s="1"/>
  <c r="G56" i="20"/>
  <c r="C11" i="18"/>
  <c r="F217" i="52"/>
  <c r="F235" i="52" s="1"/>
  <c r="I235" i="52"/>
  <c r="H235" i="52"/>
  <c r="H201" i="52"/>
  <c r="F168" i="52"/>
  <c r="F169" i="52" s="1"/>
  <c r="K283" i="52"/>
  <c r="G294" i="52"/>
  <c r="G170" i="52"/>
  <c r="F130" i="52"/>
  <c r="H163" i="52"/>
  <c r="C131" i="52"/>
  <c r="H130" i="52"/>
  <c r="G212" i="52"/>
  <c r="E212" i="52"/>
  <c r="G293" i="52"/>
  <c r="K170" i="52"/>
  <c r="C78" i="52"/>
  <c r="K296" i="52"/>
  <c r="D170" i="52"/>
  <c r="F211" i="52"/>
  <c r="F183" i="52"/>
  <c r="E170" i="52"/>
  <c r="J131" i="52"/>
  <c r="K268" i="52"/>
  <c r="K291" i="52" s="1"/>
  <c r="C296" i="52"/>
  <c r="F105" i="52"/>
  <c r="F117" i="52"/>
  <c r="J293" i="52"/>
  <c r="E131" i="52"/>
  <c r="H169" i="52"/>
  <c r="I183" i="52"/>
  <c r="D212" i="52"/>
  <c r="K293" i="52"/>
  <c r="I290" i="52"/>
  <c r="C212" i="52"/>
  <c r="J212" i="52"/>
  <c r="D78" i="52"/>
  <c r="H283" i="52"/>
  <c r="G131" i="52"/>
  <c r="G296" i="52"/>
  <c r="D296" i="52"/>
  <c r="H183" i="52"/>
  <c r="F201" i="52"/>
  <c r="H117" i="52"/>
  <c r="E293" i="52"/>
  <c r="E17" i="38"/>
  <c r="K17" i="38" s="1"/>
  <c r="O15" i="38"/>
  <c r="M16" i="38"/>
  <c r="P15" i="38"/>
  <c r="M15" i="38" s="1"/>
  <c r="E24" i="37"/>
  <c r="N25" i="38"/>
  <c r="M15" i="41"/>
  <c r="P17" i="41"/>
  <c r="M17" i="41" s="1"/>
  <c r="M240" i="42"/>
  <c r="P16" i="41"/>
  <c r="P20" i="41" s="1"/>
  <c r="P278" i="53" s="1"/>
  <c r="M212" i="52"/>
  <c r="M298" i="52" s="1"/>
  <c r="M22" i="37"/>
  <c r="M240" i="50"/>
  <c r="M240" i="48"/>
  <c r="M240" i="51"/>
  <c r="M240" i="49"/>
  <c r="M278" i="53"/>
  <c r="P240" i="48"/>
  <c r="P240" i="51"/>
  <c r="O16" i="41"/>
  <c r="O19" i="7"/>
  <c r="M19" i="7" s="1"/>
  <c r="I19" i="7"/>
  <c r="E18" i="7"/>
  <c r="E24" i="7" s="1"/>
  <c r="D14" i="37" s="1"/>
  <c r="G24" i="7"/>
  <c r="F14" i="37" s="1"/>
  <c r="I24" i="37"/>
  <c r="L24" i="7"/>
  <c r="K14" i="37" s="1"/>
  <c r="K24" i="37" s="1"/>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H85" i="49"/>
  <c r="H339" i="42"/>
  <c r="H240" i="42"/>
  <c r="G24" i="37"/>
  <c r="I323" i="48"/>
  <c r="I338" i="48" s="1"/>
  <c r="F311" i="48"/>
  <c r="F323" i="48" s="1"/>
  <c r="F338" i="48" s="1"/>
  <c r="I48" i="48"/>
  <c r="F14" i="48"/>
  <c r="F308" i="49"/>
  <c r="F126" i="49"/>
  <c r="I323" i="49"/>
  <c r="I338" i="49" s="1"/>
  <c r="F311" i="49"/>
  <c r="F323" i="49" s="1"/>
  <c r="F338" i="49" s="1"/>
  <c r="I126" i="42"/>
  <c r="I83" i="42"/>
  <c r="C199" i="42"/>
  <c r="H182" i="42"/>
  <c r="I182" i="42"/>
  <c r="F182" i="42" s="1"/>
  <c r="C242" i="42"/>
  <c r="G240" i="48"/>
  <c r="F211" i="48"/>
  <c r="J295" i="48"/>
  <c r="F290" i="48"/>
  <c r="I308" i="49"/>
  <c r="F302" i="49"/>
  <c r="F165" i="50"/>
  <c r="H48" i="42"/>
  <c r="I164" i="42"/>
  <c r="D165" i="42"/>
  <c r="D341" i="42" s="1"/>
  <c r="D339" i="42"/>
  <c r="G336" i="42"/>
  <c r="F329" i="42"/>
  <c r="F339" i="42" s="1"/>
  <c r="H185" i="42"/>
  <c r="I239" i="42"/>
  <c r="F234" i="42"/>
  <c r="F239" i="42" s="1"/>
  <c r="I140" i="42"/>
  <c r="F140" i="42" s="1"/>
  <c r="F126" i="48"/>
  <c r="I273" i="42"/>
  <c r="F195" i="42"/>
  <c r="F48" i="42"/>
  <c r="I195" i="42"/>
  <c r="I329" i="42"/>
  <c r="I339" i="42" s="1"/>
  <c r="F328" i="42"/>
  <c r="D91" i="42"/>
  <c r="H69" i="42"/>
  <c r="H83" i="42" s="1"/>
  <c r="C337" i="48"/>
  <c r="C334" i="48"/>
  <c r="F274" i="53"/>
  <c r="I277" i="53"/>
  <c r="I185" i="48"/>
  <c r="G337" i="42"/>
  <c r="I48" i="42"/>
  <c r="H295" i="42"/>
  <c r="H330" i="42" s="1"/>
  <c r="H308" i="42"/>
  <c r="H337" i="42" s="1"/>
  <c r="I323" i="42"/>
  <c r="I338" i="42" s="1"/>
  <c r="F63" i="42"/>
  <c r="C334" i="42"/>
  <c r="C336" i="42"/>
  <c r="E334" i="42"/>
  <c r="M23" i="38"/>
  <c r="P25" i="38"/>
  <c r="F146" i="49"/>
  <c r="I240" i="42"/>
  <c r="J295" i="42"/>
  <c r="J330" i="42" s="1"/>
  <c r="J341" i="42" s="1"/>
  <c r="F291" i="42"/>
  <c r="F295" i="42" s="1"/>
  <c r="F195" i="48"/>
  <c r="H48" i="48"/>
  <c r="F164" i="49"/>
  <c r="F339" i="49" s="1"/>
  <c r="F307" i="50"/>
  <c r="F308" i="50" s="1"/>
  <c r="K308" i="50"/>
  <c r="I15" i="7"/>
  <c r="P15" i="7"/>
  <c r="F126" i="42"/>
  <c r="M105" i="53"/>
  <c r="F24" i="37"/>
  <c r="G339" i="42"/>
  <c r="H164" i="42"/>
  <c r="H165" i="42" s="1"/>
  <c r="H239" i="42"/>
  <c r="K165" i="42"/>
  <c r="K341" i="42" s="1"/>
  <c r="K336" i="42"/>
  <c r="I295" i="42"/>
  <c r="I182" i="49"/>
  <c r="E199" i="49"/>
  <c r="H182" i="49"/>
  <c r="H185" i="49" s="1"/>
  <c r="H336" i="49" s="1"/>
  <c r="I223" i="50"/>
  <c r="I240" i="50" s="1"/>
  <c r="F221" i="50"/>
  <c r="F223" i="50" s="1"/>
  <c r="F240" i="50" s="1"/>
  <c r="F190" i="51"/>
  <c r="J337" i="42"/>
  <c r="I146" i="49"/>
  <c r="G341" i="42"/>
  <c r="F172" i="42"/>
  <c r="F185" i="42" s="1"/>
  <c r="I185" i="42"/>
  <c r="I239" i="50"/>
  <c r="I339" i="50" s="1"/>
  <c r="F237" i="50"/>
  <c r="F239" i="50" s="1"/>
  <c r="F339" i="50" s="1"/>
  <c r="I273" i="50"/>
  <c r="D199" i="48"/>
  <c r="D339" i="48"/>
  <c r="G85" i="48"/>
  <c r="G341" i="48" s="1"/>
  <c r="I126" i="48"/>
  <c r="H311" i="48"/>
  <c r="H323" i="48" s="1"/>
  <c r="H338" i="48" s="1"/>
  <c r="K330" i="48"/>
  <c r="K341" i="48" s="1"/>
  <c r="K337" i="48"/>
  <c r="H308" i="49"/>
  <c r="I63" i="49"/>
  <c r="F55" i="49"/>
  <c r="F63" i="49" s="1"/>
  <c r="G339" i="50"/>
  <c r="G330" i="50"/>
  <c r="G341" i="50" s="1"/>
  <c r="I63" i="50"/>
  <c r="F55" i="50"/>
  <c r="F63" i="50" s="1"/>
  <c r="J126" i="51"/>
  <c r="F112" i="51"/>
  <c r="P18" i="7"/>
  <c r="M18" i="7" s="1"/>
  <c r="H137" i="42"/>
  <c r="H146" i="42" s="1"/>
  <c r="E334" i="48"/>
  <c r="E337" i="48"/>
  <c r="I164" i="48"/>
  <c r="I339" i="48" s="1"/>
  <c r="I295" i="48"/>
  <c r="F223" i="49"/>
  <c r="H211" i="49"/>
  <c r="I48" i="49"/>
  <c r="H185" i="50"/>
  <c r="I48" i="50"/>
  <c r="I63" i="51"/>
  <c r="F55" i="51"/>
  <c r="F63" i="51" s="1"/>
  <c r="E380" i="53"/>
  <c r="I140" i="48"/>
  <c r="F221" i="42"/>
  <c r="F223" i="42" s="1"/>
  <c r="F240" i="42" s="1"/>
  <c r="I137" i="42"/>
  <c r="E91" i="42"/>
  <c r="D242" i="48"/>
  <c r="C199" i="48"/>
  <c r="H192" i="48"/>
  <c r="H195" i="48" s="1"/>
  <c r="F295" i="48"/>
  <c r="H164" i="48"/>
  <c r="H165" i="48" s="1"/>
  <c r="H239" i="48"/>
  <c r="L336" i="48"/>
  <c r="L341" i="48"/>
  <c r="I63" i="48"/>
  <c r="I308" i="48"/>
  <c r="F48" i="49"/>
  <c r="H308" i="50"/>
  <c r="H330" i="50" s="1"/>
  <c r="E225" i="53"/>
  <c r="E378" i="53"/>
  <c r="H185" i="48"/>
  <c r="F63" i="48"/>
  <c r="F48" i="48"/>
  <c r="I211" i="48"/>
  <c r="I240" i="48" s="1"/>
  <c r="N240" i="48" s="1"/>
  <c r="E242" i="49"/>
  <c r="I192" i="49"/>
  <c r="H211" i="48"/>
  <c r="H240" i="48" s="1"/>
  <c r="I273" i="48"/>
  <c r="I330" i="48" s="1"/>
  <c r="J295" i="49"/>
  <c r="K212" i="52"/>
  <c r="C28" i="17"/>
  <c r="E199" i="42"/>
  <c r="F164" i="48"/>
  <c r="F339" i="48" s="1"/>
  <c r="F308" i="48"/>
  <c r="F247" i="48"/>
  <c r="F273" i="48" s="1"/>
  <c r="H308" i="48"/>
  <c r="H273" i="48"/>
  <c r="H330" i="48" s="1"/>
  <c r="G337" i="49"/>
  <c r="H126" i="49"/>
  <c r="H165" i="49" s="1"/>
  <c r="F286" i="49"/>
  <c r="F295" i="49" s="1"/>
  <c r="F330" i="49" s="1"/>
  <c r="I295" i="49"/>
  <c r="H223" i="50"/>
  <c r="H211" i="51"/>
  <c r="F62" i="52"/>
  <c r="F76" i="52" s="1"/>
  <c r="I76" i="52"/>
  <c r="I262" i="53"/>
  <c r="F254" i="53"/>
  <c r="F262" i="53" s="1"/>
  <c r="F243" i="53"/>
  <c r="H323" i="49"/>
  <c r="H338" i="49" s="1"/>
  <c r="G337" i="50"/>
  <c r="E242" i="51"/>
  <c r="F239" i="51"/>
  <c r="G165" i="51"/>
  <c r="G341" i="51" s="1"/>
  <c r="F285" i="51"/>
  <c r="I295" i="51"/>
  <c r="D105" i="53"/>
  <c r="D377" i="53"/>
  <c r="I243" i="53"/>
  <c r="M16" i="39"/>
  <c r="G85" i="49"/>
  <c r="H239" i="49"/>
  <c r="H339" i="49" s="1"/>
  <c r="I126" i="49"/>
  <c r="I211" i="49"/>
  <c r="D336" i="50"/>
  <c r="D334" i="50"/>
  <c r="I195" i="50"/>
  <c r="F273" i="50"/>
  <c r="F330" i="50" s="1"/>
  <c r="J336" i="50"/>
  <c r="J165" i="50"/>
  <c r="G339" i="51"/>
  <c r="H239" i="51"/>
  <c r="I48" i="51"/>
  <c r="I164" i="51"/>
  <c r="F302" i="51"/>
  <c r="F308" i="51" s="1"/>
  <c r="I308" i="51"/>
  <c r="D378" i="53"/>
  <c r="D278" i="53"/>
  <c r="D382" i="53" s="1"/>
  <c r="F207" i="53"/>
  <c r="H150" i="53"/>
  <c r="H185" i="53" s="1"/>
  <c r="F20" i="53"/>
  <c r="F63" i="53" s="1"/>
  <c r="I63" i="53"/>
  <c r="F211" i="53"/>
  <c r="I217" i="53"/>
  <c r="F41" i="20"/>
  <c r="G240" i="49"/>
  <c r="G341" i="49" s="1"/>
  <c r="J308" i="49"/>
  <c r="J337" i="49" s="1"/>
  <c r="I126" i="50"/>
  <c r="J295" i="50"/>
  <c r="J330" i="50" s="1"/>
  <c r="D91" i="51"/>
  <c r="C165" i="51"/>
  <c r="C341" i="51" s="1"/>
  <c r="C339" i="51"/>
  <c r="H308" i="51"/>
  <c r="H337" i="51" s="1"/>
  <c r="J377" i="53"/>
  <c r="C380" i="53"/>
  <c r="C375" i="53"/>
  <c r="C382" i="53" s="1"/>
  <c r="F223" i="53"/>
  <c r="I224" i="53"/>
  <c r="I223" i="49"/>
  <c r="H239" i="50"/>
  <c r="H339" i="50" s="1"/>
  <c r="I164" i="50"/>
  <c r="E334" i="51"/>
  <c r="F164" i="51"/>
  <c r="H126" i="51"/>
  <c r="I126" i="51"/>
  <c r="I211" i="51"/>
  <c r="F206" i="51"/>
  <c r="F211" i="51" s="1"/>
  <c r="H63" i="53"/>
  <c r="G336" i="49"/>
  <c r="F205" i="49"/>
  <c r="F211" i="49" s="1"/>
  <c r="F240" i="49" s="1"/>
  <c r="I273" i="49"/>
  <c r="I330" i="49" s="1"/>
  <c r="J165" i="49"/>
  <c r="F83" i="50"/>
  <c r="H164" i="50"/>
  <c r="H311" i="50"/>
  <c r="H323" i="50" s="1"/>
  <c r="H338" i="50" s="1"/>
  <c r="C334" i="51"/>
  <c r="I192" i="51"/>
  <c r="F192" i="51" s="1"/>
  <c r="E199" i="51"/>
  <c r="F48" i="51"/>
  <c r="F96" i="51"/>
  <c r="F126" i="51" s="1"/>
  <c r="G337" i="51"/>
  <c r="H164" i="51"/>
  <c r="I223" i="51"/>
  <c r="F222" i="51"/>
  <c r="F223" i="51" s="1"/>
  <c r="I45" i="52"/>
  <c r="G378" i="53"/>
  <c r="C378" i="53"/>
  <c r="F220" i="48"/>
  <c r="F223" i="48" s="1"/>
  <c r="H295" i="49"/>
  <c r="H330" i="49" s="1"/>
  <c r="D199" i="50"/>
  <c r="H199" i="50" s="1"/>
  <c r="I182" i="50"/>
  <c r="E199" i="50"/>
  <c r="I199" i="50" s="1"/>
  <c r="F199" i="50" s="1"/>
  <c r="G85" i="50"/>
  <c r="G336" i="50"/>
  <c r="G240" i="50"/>
  <c r="H126" i="50"/>
  <c r="H165" i="50" s="1"/>
  <c r="I295" i="50"/>
  <c r="I273" i="51"/>
  <c r="I330" i="51" s="1"/>
  <c r="F247" i="51"/>
  <c r="F273" i="51" s="1"/>
  <c r="F293" i="51"/>
  <c r="J295" i="51"/>
  <c r="K22" i="7"/>
  <c r="H211" i="52"/>
  <c r="F371" i="53"/>
  <c r="F374" i="53" s="1"/>
  <c r="I374" i="53"/>
  <c r="I380" i="53" s="1"/>
  <c r="I130" i="52"/>
  <c r="C337" i="51"/>
  <c r="I329" i="51"/>
  <c r="P15" i="40"/>
  <c r="O18" i="38"/>
  <c r="O18" i="41"/>
  <c r="H45" i="52"/>
  <c r="E105" i="53"/>
  <c r="F277" i="53"/>
  <c r="G105" i="53"/>
  <c r="G382" i="53" s="1"/>
  <c r="H290" i="52"/>
  <c r="I211" i="52"/>
  <c r="F217" i="53"/>
  <c r="H207" i="53"/>
  <c r="H225" i="53" s="1"/>
  <c r="C16" i="18"/>
  <c r="I153" i="52"/>
  <c r="F290" i="52"/>
  <c r="F163" i="52"/>
  <c r="F51" i="52"/>
  <c r="F56" i="52" s="1"/>
  <c r="I56" i="52"/>
  <c r="F151" i="51"/>
  <c r="P18" i="39"/>
  <c r="M18" i="39" s="1"/>
  <c r="I352" i="53"/>
  <c r="H153" i="52"/>
  <c r="F153" i="52"/>
  <c r="P15" i="39"/>
  <c r="P25" i="39" s="1"/>
  <c r="I283" i="52"/>
  <c r="F252" i="52"/>
  <c r="H105" i="52"/>
  <c r="I105" i="52"/>
  <c r="L330" i="51"/>
  <c r="F224" i="53"/>
  <c r="H103" i="53"/>
  <c r="H380" i="53" s="1"/>
  <c r="H74" i="53"/>
  <c r="H378" i="53" s="1"/>
  <c r="F352" i="53"/>
  <c r="F321" i="53"/>
  <c r="F375" i="53" s="1"/>
  <c r="K162" i="53"/>
  <c r="E15" i="39"/>
  <c r="E25" i="39" s="1"/>
  <c r="D18" i="37" s="1"/>
  <c r="O15" i="39"/>
  <c r="K15" i="39"/>
  <c r="H321" i="53"/>
  <c r="H375" i="53" s="1"/>
  <c r="I207" i="53"/>
  <c r="I225" i="53" s="1"/>
  <c r="N225" i="53" s="1"/>
  <c r="K278" i="53"/>
  <c r="J296" i="52"/>
  <c r="E22" i="38"/>
  <c r="G8" i="20"/>
  <c r="P16" i="39"/>
  <c r="F272" i="52"/>
  <c r="F283" i="52" s="1"/>
  <c r="I117" i="52"/>
  <c r="G17" i="55"/>
  <c r="F12" i="52"/>
  <c r="F45" i="52" s="1"/>
  <c r="O16" i="40"/>
  <c r="K117" i="52"/>
  <c r="K131" i="52" s="1"/>
  <c r="I163" i="52"/>
  <c r="I201" i="52"/>
  <c r="E19" i="38"/>
  <c r="E25" i="38" s="1"/>
  <c r="D16" i="37" s="1"/>
  <c r="D58" i="20" l="1"/>
  <c r="H170" i="52"/>
  <c r="H212" i="52"/>
  <c r="I131" i="52"/>
  <c r="H296" i="52"/>
  <c r="C12" i="19" s="1"/>
  <c r="E12" i="19" s="1"/>
  <c r="F131" i="52"/>
  <c r="I212" i="52"/>
  <c r="N212" i="52" s="1"/>
  <c r="N298" i="52" s="1"/>
  <c r="F212" i="52"/>
  <c r="J294" i="52"/>
  <c r="J291" i="52"/>
  <c r="H131" i="52"/>
  <c r="H294" i="52"/>
  <c r="C18" i="19" s="1"/>
  <c r="E18" i="19" s="1"/>
  <c r="O17" i="38"/>
  <c r="M17" i="38" s="1"/>
  <c r="K25" i="38"/>
  <c r="J16" i="37" s="1"/>
  <c r="I17" i="38"/>
  <c r="I25" i="38" s="1"/>
  <c r="H16" i="37" s="1"/>
  <c r="M131" i="52"/>
  <c r="N131" i="52" s="1"/>
  <c r="M185" i="53"/>
  <c r="N185" i="53" s="1"/>
  <c r="M165" i="50"/>
  <c r="M341" i="50" s="1"/>
  <c r="M165" i="51"/>
  <c r="M165" i="48"/>
  <c r="M336" i="48" s="1"/>
  <c r="M165" i="49"/>
  <c r="M165" i="42"/>
  <c r="M16" i="37"/>
  <c r="O22" i="37"/>
  <c r="P240" i="42"/>
  <c r="M16" i="41"/>
  <c r="P240" i="49"/>
  <c r="P212" i="52"/>
  <c r="P240" i="50"/>
  <c r="N240" i="42"/>
  <c r="N240" i="50"/>
  <c r="D24" i="37"/>
  <c r="M85" i="49"/>
  <c r="M85" i="51"/>
  <c r="M14" i="37"/>
  <c r="M85" i="42"/>
  <c r="M78" i="52"/>
  <c r="M85" i="48"/>
  <c r="M16" i="7"/>
  <c r="I296" i="52"/>
  <c r="F58" i="20"/>
  <c r="E58" i="20"/>
  <c r="G22" i="20"/>
  <c r="G41" i="20"/>
  <c r="F240" i="51"/>
  <c r="I337" i="42"/>
  <c r="H341" i="42"/>
  <c r="F294" i="52"/>
  <c r="I105" i="53"/>
  <c r="I377" i="53"/>
  <c r="F339" i="51"/>
  <c r="N330" i="48"/>
  <c r="I199" i="48"/>
  <c r="F199" i="48" s="1"/>
  <c r="H199" i="48"/>
  <c r="J330" i="48"/>
  <c r="J341" i="48" s="1"/>
  <c r="J342" i="48" s="1"/>
  <c r="J337" i="48"/>
  <c r="I165" i="42"/>
  <c r="F165" i="49"/>
  <c r="F341" i="49" s="1"/>
  <c r="F85" i="48"/>
  <c r="F336" i="48"/>
  <c r="I85" i="50"/>
  <c r="N85" i="50" s="1"/>
  <c r="H336" i="48"/>
  <c r="H85" i="48"/>
  <c r="H341" i="48" s="1"/>
  <c r="F240" i="48"/>
  <c r="F377" i="53"/>
  <c r="F105" i="53"/>
  <c r="N105" i="53" s="1"/>
  <c r="O22" i="40"/>
  <c r="M16" i="40"/>
  <c r="H78" i="52"/>
  <c r="H293" i="52"/>
  <c r="C9" i="19" s="1"/>
  <c r="E9" i="19" s="1"/>
  <c r="N330" i="51"/>
  <c r="H377" i="53"/>
  <c r="H105" i="53"/>
  <c r="H382" i="53" s="1"/>
  <c r="H339" i="51"/>
  <c r="I278" i="53"/>
  <c r="N278" i="53" s="1"/>
  <c r="H240" i="51"/>
  <c r="H337" i="48"/>
  <c r="H336" i="50"/>
  <c r="P165" i="42"/>
  <c r="P165" i="49"/>
  <c r="P131" i="52"/>
  <c r="P165" i="50"/>
  <c r="P185" i="53"/>
  <c r="P165" i="48"/>
  <c r="O16" i="37"/>
  <c r="P165" i="51"/>
  <c r="F85" i="42"/>
  <c r="F336" i="42"/>
  <c r="H85" i="42"/>
  <c r="H336" i="42"/>
  <c r="F378" i="53"/>
  <c r="I336" i="51"/>
  <c r="I85" i="51"/>
  <c r="N85" i="51" s="1"/>
  <c r="F78" i="52"/>
  <c r="F293" i="52"/>
  <c r="F296" i="52"/>
  <c r="F380" i="53"/>
  <c r="I337" i="50"/>
  <c r="F225" i="53"/>
  <c r="I240" i="49"/>
  <c r="N240" i="49" s="1"/>
  <c r="F330" i="48"/>
  <c r="F137" i="42"/>
  <c r="F146" i="42" s="1"/>
  <c r="F337" i="42" s="1"/>
  <c r="I146" i="42"/>
  <c r="P24" i="7"/>
  <c r="M15" i="7"/>
  <c r="I85" i="42"/>
  <c r="I336" i="42"/>
  <c r="I85" i="48"/>
  <c r="I336" i="48"/>
  <c r="I15" i="39"/>
  <c r="I25" i="39" s="1"/>
  <c r="H18" i="37" s="1"/>
  <c r="K25" i="39"/>
  <c r="J18" i="37" s="1"/>
  <c r="I170" i="52"/>
  <c r="N170" i="52" s="1"/>
  <c r="M18" i="41"/>
  <c r="O20" i="41"/>
  <c r="I240" i="51"/>
  <c r="N240" i="51" s="1"/>
  <c r="I165" i="49"/>
  <c r="F278" i="53"/>
  <c r="F382" i="53" s="1"/>
  <c r="J337" i="50"/>
  <c r="H339" i="48"/>
  <c r="I85" i="49"/>
  <c r="N85" i="49" s="1"/>
  <c r="I336" i="49"/>
  <c r="H199" i="49"/>
  <c r="I199" i="49"/>
  <c r="F199" i="49" s="1"/>
  <c r="F330" i="42"/>
  <c r="I378" i="53"/>
  <c r="I375" i="53"/>
  <c r="F182" i="50"/>
  <c r="F185" i="50" s="1"/>
  <c r="F336" i="50" s="1"/>
  <c r="I185" i="50"/>
  <c r="I336" i="50" s="1"/>
  <c r="M15" i="39"/>
  <c r="M25" i="39" s="1"/>
  <c r="L18" i="37" s="1"/>
  <c r="O25" i="39"/>
  <c r="M18" i="38"/>
  <c r="M25" i="38" s="1"/>
  <c r="L16" i="37" s="1"/>
  <c r="O25" i="38"/>
  <c r="I22" i="7"/>
  <c r="I24" i="7" s="1"/>
  <c r="H14" i="37" s="1"/>
  <c r="K24" i="7"/>
  <c r="J14" i="37" s="1"/>
  <c r="J24" i="37" s="1"/>
  <c r="I294" i="52"/>
  <c r="I165" i="51"/>
  <c r="H240" i="50"/>
  <c r="H341" i="50" s="1"/>
  <c r="E382" i="53"/>
  <c r="F140" i="48"/>
  <c r="F146" i="48" s="1"/>
  <c r="F165" i="48" s="1"/>
  <c r="I146" i="48"/>
  <c r="I165" i="48" s="1"/>
  <c r="H240" i="49"/>
  <c r="H341" i="49" s="1"/>
  <c r="H337" i="49"/>
  <c r="F182" i="49"/>
  <c r="F185" i="49" s="1"/>
  <c r="I185" i="49"/>
  <c r="H330" i="51"/>
  <c r="H341" i="51" s="1"/>
  <c r="J342" i="42"/>
  <c r="I330" i="42"/>
  <c r="I199" i="51"/>
  <c r="F199" i="51" s="1"/>
  <c r="H199" i="51"/>
  <c r="I78" i="52"/>
  <c r="I293" i="52"/>
  <c r="L341" i="51"/>
  <c r="L336" i="51"/>
  <c r="P330" i="49"/>
  <c r="P330" i="50"/>
  <c r="P330" i="48"/>
  <c r="P375" i="53"/>
  <c r="P330" i="51"/>
  <c r="O18" i="37"/>
  <c r="P330" i="42"/>
  <c r="P291" i="52"/>
  <c r="M15" i="40"/>
  <c r="M22" i="40" s="1"/>
  <c r="L20" i="37" s="1"/>
  <c r="P22" i="40"/>
  <c r="O22" i="7"/>
  <c r="F165" i="51"/>
  <c r="H165" i="51"/>
  <c r="J341" i="50"/>
  <c r="F295" i="51"/>
  <c r="F337" i="51" s="1"/>
  <c r="K294" i="52"/>
  <c r="F192" i="49"/>
  <c r="F195" i="49" s="1"/>
  <c r="F337" i="49" s="1"/>
  <c r="I195" i="49"/>
  <c r="I337" i="49" s="1"/>
  <c r="H337" i="50"/>
  <c r="J165" i="51"/>
  <c r="J336" i="51"/>
  <c r="I330" i="50"/>
  <c r="I195" i="51"/>
  <c r="I337" i="51" s="1"/>
  <c r="K330" i="50"/>
  <c r="K341" i="50" s="1"/>
  <c r="K337" i="50"/>
  <c r="H199" i="42"/>
  <c r="I199" i="42"/>
  <c r="F199" i="42" s="1"/>
  <c r="H336" i="51"/>
  <c r="K185" i="53"/>
  <c r="K382" i="53" s="1"/>
  <c r="J383" i="53" s="1"/>
  <c r="K378" i="53"/>
  <c r="F170" i="52"/>
  <c r="I339" i="51"/>
  <c r="J330" i="51"/>
  <c r="J341" i="51" s="1"/>
  <c r="J342" i="51" s="1"/>
  <c r="J337" i="51"/>
  <c r="F85" i="51"/>
  <c r="F336" i="51"/>
  <c r="N330" i="49"/>
  <c r="I165" i="50"/>
  <c r="N165" i="50" s="1"/>
  <c r="F341" i="50"/>
  <c r="J330" i="49"/>
  <c r="J341" i="49" s="1"/>
  <c r="J342" i="49" s="1"/>
  <c r="F336" i="49"/>
  <c r="F85" i="49"/>
  <c r="F85" i="50"/>
  <c r="F195" i="51"/>
  <c r="F337" i="50"/>
  <c r="M336" i="50"/>
  <c r="N78" i="52" l="1"/>
  <c r="H24" i="37"/>
  <c r="N165" i="49"/>
  <c r="M24" i="37"/>
  <c r="N165" i="51"/>
  <c r="N336" i="51" s="1"/>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51"/>
  <c r="O240" i="49"/>
  <c r="N22" i="37"/>
  <c r="O212" i="52"/>
  <c r="F330" i="51"/>
  <c r="F341" i="51" s="1"/>
  <c r="I337" i="48"/>
  <c r="F341" i="48"/>
  <c r="F165" i="42"/>
  <c r="N20" i="37"/>
  <c r="O225" i="53"/>
  <c r="O170" i="52"/>
  <c r="N336" i="49"/>
  <c r="N341" i="49"/>
  <c r="O165" i="48"/>
  <c r="O165" i="51"/>
  <c r="N16" i="37"/>
  <c r="O185" i="53"/>
  <c r="O131" i="52"/>
  <c r="O165" i="50"/>
  <c r="O165" i="49"/>
  <c r="O165" i="42"/>
  <c r="F341" i="42"/>
  <c r="F337" i="48"/>
  <c r="I341" i="51"/>
  <c r="N375" i="53"/>
  <c r="N382" i="53" s="1"/>
  <c r="I382" i="53"/>
  <c r="C11" i="17"/>
  <c r="N330" i="42"/>
  <c r="I341" i="42"/>
  <c r="N330" i="50"/>
  <c r="I341" i="50"/>
  <c r="N291" i="52"/>
  <c r="C26" i="17"/>
  <c r="J299" i="52"/>
  <c r="O330" i="48"/>
  <c r="O330" i="50"/>
  <c r="O330" i="42"/>
  <c r="O330" i="51"/>
  <c r="O330" i="49"/>
  <c r="O375" i="53"/>
  <c r="N18" i="37"/>
  <c r="O291" i="52"/>
  <c r="P85" i="51"/>
  <c r="P336" i="51" s="1"/>
  <c r="P105" i="53"/>
  <c r="P382" i="53" s="1"/>
  <c r="P85" i="49"/>
  <c r="P341" i="49" s="1"/>
  <c r="P85" i="48"/>
  <c r="P336" i="48" s="1"/>
  <c r="P78" i="52"/>
  <c r="P85" i="50"/>
  <c r="P341" i="50" s="1"/>
  <c r="O14" i="37"/>
  <c r="O24" i="37" s="1"/>
  <c r="P85" i="42"/>
  <c r="P336" i="42" s="1"/>
  <c r="M22" i="7"/>
  <c r="M24" i="7" s="1"/>
  <c r="L14" i="37" s="1"/>
  <c r="L24" i="37" s="1"/>
  <c r="O24" i="7"/>
  <c r="P170" i="52"/>
  <c r="O20" i="37"/>
  <c r="P225" i="53"/>
  <c r="I341" i="49"/>
  <c r="J342" i="50"/>
  <c r="C22" i="17" l="1"/>
  <c r="C34" i="17"/>
  <c r="C20" i="17" s="1"/>
  <c r="C41" i="17" s="1"/>
  <c r="E7" i="19"/>
  <c r="E36" i="19" s="1"/>
  <c r="N341" i="51"/>
  <c r="N336" i="48"/>
  <c r="N341" i="48"/>
  <c r="P336" i="49"/>
  <c r="P336" i="50"/>
  <c r="P341" i="42"/>
  <c r="N336" i="50"/>
  <c r="N341" i="50"/>
  <c r="P341" i="51"/>
  <c r="P341" i="48"/>
  <c r="N341" i="42"/>
  <c r="N336" i="42"/>
  <c r="O85" i="48"/>
  <c r="O336" i="48" s="1"/>
  <c r="O78" i="52"/>
  <c r="O105" i="53"/>
  <c r="O382" i="53" s="1"/>
  <c r="O85" i="50"/>
  <c r="O341" i="50" s="1"/>
  <c r="O85" i="51"/>
  <c r="O341" i="51" s="1"/>
  <c r="N14" i="37"/>
  <c r="N24" i="37" s="1"/>
  <c r="O85" i="49"/>
  <c r="O336" i="49" s="1"/>
  <c r="O85" i="42"/>
  <c r="O336" i="42" s="1"/>
  <c r="C14" i="18" l="1"/>
  <c r="O341" i="48"/>
  <c r="O341" i="42"/>
  <c r="O336" i="50"/>
  <c r="O336" i="51"/>
  <c r="C7" i="18"/>
  <c r="O341" i="49"/>
  <c r="C15" i="18" l="1"/>
  <c r="C13" i="18" s="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2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<sst xmlns="http://schemas.openxmlformats.org/spreadsheetml/2006/main" count="6532" uniqueCount="1428">
  <si>
    <t>STT</t>
  </si>
  <si>
    <t>Đơn vị tính</t>
  </si>
  <si>
    <t>Ghi chú</t>
  </si>
  <si>
    <t>TRƯỜNG ĐẠI HỌC VINH</t>
  </si>
  <si>
    <t>Đại học chính quy</t>
  </si>
  <si>
    <t xml:space="preserve">        TRƯỞNG ĐƠN VỊ</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</si>
  <si>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</si>
  <si>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</si>
  <si>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</si>
  <si>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</si>
  <si>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</si>
  <si>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</si>
  <si>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</si>
  <si>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</si>
  <si>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</si>
  <si>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</si>
  <si>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</si>
  <si>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</si>
  <si>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</si>
  <si>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</si>
  <si>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</si>
  <si>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</si>
  <si>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</si>
  <si>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</si>
  <si>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</si>
  <si>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</si>
  <si>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</si>
  <si>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</si>
  <si>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</si>
  <si>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</si>
  <si>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</si>
  <si>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</si>
  <si>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</si>
  <si>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</si>
  <si>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</si>
  <si>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</si>
  <si>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</si>
  <si>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</si>
  <si>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</si>
  <si>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</si>
  <si>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</si>
  <si>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</si>
  <si>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</si>
  <si>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</si>
  <si>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</si>
  <si>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</si>
  <si>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</si>
  <si>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</si>
  <si>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</si>
  <si>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</si>
  <si>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</si>
  <si>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</si>
  <si>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</si>
  <si>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</si>
  <si>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</si>
  <si>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</si>
  <si>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</si>
  <si>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</si>
  <si>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Tổ chức các hội nghị, hội thi NVSP, các chuyên đề</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</si>
  <si>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</si>
  <si>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</si>
  <si>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</si>
  <si>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</si>
  <si>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</si>
  <si>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</si>
  <si>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</si>
  <si>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</si>
  <si>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</si>
  <si>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</si>
  <si>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</si>
  <si>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</si>
  <si>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</si>
  <si>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</si>
  <si>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</si>
  <si>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</si>
  <si>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</si>
  <si>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</si>
  <si>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</si>
  <si>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</si>
  <si>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</si>
  <si>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</si>
  <si>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</si>
  <si>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</si>
  <si>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</si>
  <si>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</si>
  <si>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</si>
  <si>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</si>
  <si>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</si>
  <si>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</si>
  <si>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</si>
  <si>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</si>
  <si>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</si>
  <si>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</si>
  <si>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</si>
  <si>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</si>
  <si>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</si>
  <si>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</si>
  <si>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</si>
  <si>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</si>
  <si>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</si>
  <si>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</si>
  <si>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</si>
  <si>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</si>
  <si>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</si>
  <si>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</si>
  <si>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</si>
  <si>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</si>
  <si>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</si>
  <si>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</si>
  <si>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</si>
  <si>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</si>
  <si>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</si>
  <si>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</si>
  <si>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</si>
  <si>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</si>
  <si>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</si>
  <si>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</si>
  <si>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</si>
  <si>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</si>
  <si>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</si>
  <si>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</si>
  <si>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</si>
  <si>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</si>
  <si>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</si>
  <si>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</si>
  <si>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</si>
  <si>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</si>
  <si>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</si>
  <si>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</si>
  <si>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</si>
  <si>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</si>
  <si>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</si>
  <si>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</si>
  <si>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</si>
  <si>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</si>
  <si>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</si>
  <si>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</si>
  <si>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</si>
  <si>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</si>
  <si>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</si>
  <si>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</si>
  <si>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</si>
  <si>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</si>
  <si>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</si>
  <si>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</si>
  <si>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</si>
  <si>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</si>
  <si>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</si>
  <si>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</si>
  <si>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</si>
  <si>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</si>
  <si>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</si>
  <si>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</si>
  <si>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</si>
  <si>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</si>
  <si>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</si>
  <si>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</si>
  <si>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</si>
  <si>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</si>
  <si>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</si>
  <si>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</si>
  <si>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</si>
  <si>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</si>
  <si>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</si>
  <si>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</si>
  <si>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</si>
  <si>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</si>
  <si>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</si>
  <si>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</si>
  <si>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</si>
  <si>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</si>
  <si>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</si>
  <si>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</si>
  <si>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</si>
  <si>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</si>
  <si>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</si>
  <si>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</si>
  <si>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</si>
  <si>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</si>
  <si>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</si>
  <si>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</si>
  <si>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</si>
  <si>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</si>
  <si>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</si>
  <si>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</si>
  <si>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</si>
  <si>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</si>
  <si>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</si>
  <si>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</si>
  <si>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</si>
  <si>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</si>
  <si>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</si>
  <si>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</si>
  <si>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</si>
  <si>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</si>
  <si>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</si>
  <si>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</si>
  <si>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</si>
  <si>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</si>
  <si>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</si>
  <si>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</si>
  <si>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</si>
  <si>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</si>
  <si>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</si>
  <si>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</si>
  <si>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</si>
  <si>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</si>
  <si>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</si>
  <si>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</si>
  <si>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</si>
  <si>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</si>
  <si>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</si>
  <si>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</si>
  <si>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</si>
  <si>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</si>
  <si>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</si>
  <si>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</si>
  <si>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</si>
  <si>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</si>
  <si>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</si>
  <si>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</si>
  <si>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</si>
  <si>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</si>
  <si>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</si>
  <si>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</si>
  <si>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</si>
  <si>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</si>
  <si>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</si>
  <si>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</si>
  <si>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</si>
  <si>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</si>
  <si>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</si>
  <si>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</si>
  <si>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</si>
  <si>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</si>
  <si>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</si>
  <si>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</si>
  <si>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</si>
  <si>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</si>
  <si>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</si>
  <si>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</si>
  <si>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</si>
  <si>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</si>
  <si>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</si>
  <si>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</si>
  <si>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</si>
  <si>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</si>
  <si>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</si>
  <si>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</si>
  <si>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</si>
  <si>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</si>
  <si>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</si>
  <si>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</si>
  <si>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</si>
  <si>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</si>
  <si>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</si>
  <si>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</si>
  <si>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</si>
  <si>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</si>
  <si>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</si>
  <si>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</si>
  <si>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</si>
  <si>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</si>
  <si>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</si>
  <si>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</si>
  <si>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</si>
  <si>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</si>
  <si>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</si>
  <si>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</si>
  <si>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</si>
  <si>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</si>
  <si>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</si>
  <si>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</si>
  <si>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</si>
  <si>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</si>
  <si>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</si>
  <si>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</si>
  <si>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</si>
  <si>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</si>
  <si>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</si>
  <si>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</si>
  <si>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</si>
  <si>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</si>
  <si>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</si>
  <si>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</si>
  <si>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</si>
  <si>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</si>
  <si>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</si>
  <si>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</si>
  <si>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</si>
  <si>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</si>
  <si>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</si>
  <si>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</si>
  <si>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</si>
  <si>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</si>
  <si>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</si>
  <si>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</si>
  <si>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</si>
  <si>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</si>
  <si>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</si>
  <si>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</si>
  <si>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</si>
  <si>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</si>
  <si>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</si>
  <si>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</si>
  <si>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</si>
  <si>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</si>
  <si>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</si>
  <si>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</si>
  <si>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</si>
  <si>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</si>
  <si>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</si>
  <si>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</si>
  <si>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</si>
  <si>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</si>
  <si>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</si>
  <si>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</si>
  <si>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</si>
  <si>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</si>
  <si>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</si>
  <si>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</si>
  <si>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</si>
  <si>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</si>
  <si>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</si>
  <si>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</si>
  <si>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</si>
  <si>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</si>
  <si>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</si>
  <si>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</si>
  <si>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</si>
  <si>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</si>
  <si>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Cán bộ giảng dạy: ………6……….., gồm:</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</si>
  <si>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</si>
  <si>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</si>
  <si>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</si>
  <si>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</si>
  <si>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</si>
  <si>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</si>
  <si>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</si>
  <si>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</si>
  <si>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</si>
  <si>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</si>
  <si>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</si>
  <si>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</si>
  <si>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</si>
  <si>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</si>
  <si>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</si>
  <si>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</si>
  <si>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</si>
  <si>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</si>
  <si>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</si>
  <si>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</si>
  <si>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</si>
  <si>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</si>
  <si>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Có dự toán kèm theo</t>
  </si>
  <si>
    <t>Hội thi viết chữ đẹp - Giải Toán nhanh</t>
  </si>
  <si>
    <t>Toàn thể</t>
  </si>
  <si>
    <t>Chính quy</t>
  </si>
  <si>
    <t>Cán bộ văn phòng: 1</t>
  </si>
  <si>
    <t>Quản lí Sinh viên, học viên: 1</t>
  </si>
  <si>
    <t>Tổ bộ môn QLGD</t>
  </si>
  <si>
    <t>Có 6 Giảng viên, trong đó:</t>
  </si>
  <si>
    <t>GV</t>
  </si>
  <si>
    <t>Dự kiến số lượng giảng viên nghỉ hưu 0</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</si>
  <si>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</si>
  <si>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</si>
  <si>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</si>
  <si>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</si>
  <si>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</si>
  <si>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</si>
  <si>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</si>
  <si>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</si>
  <si>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</si>
  <si>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</si>
  <si>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</si>
  <si>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</si>
  <si>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</si>
  <si>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</si>
  <si>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</si>
  <si>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</si>
  <si>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</si>
  <si>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</si>
  <si>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</si>
  <si>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</si>
  <si>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</si>
  <si>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</si>
  <si>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</si>
  <si>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</si>
  <si>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</si>
  <si>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</si>
  <si>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</si>
  <si>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</si>
  <si>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</si>
  <si>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</si>
  <si>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</si>
  <si>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</si>
  <si>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</si>
  <si>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</si>
  <si>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</si>
  <si>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</si>
  <si>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</si>
  <si>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</si>
  <si>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</si>
  <si>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</si>
  <si>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</si>
  <si>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</si>
  <si>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</si>
  <si>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</si>
  <si>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</si>
  <si>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</si>
  <si>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</si>
  <si>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</si>
  <si>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</si>
  <si>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</si>
  <si>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</si>
  <si>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</si>
  <si>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</si>
  <si>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</si>
  <si>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</si>
  <si>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</si>
  <si>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</si>
  <si>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</si>
  <si>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</si>
  <si>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</si>
  <si>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</si>
  <si>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</si>
  <si>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</si>
  <si>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</si>
  <si>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</si>
  <si>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</si>
  <si>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</si>
  <si>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</si>
  <si>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</si>
  <si>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</si>
  <si>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</si>
  <si>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</si>
  <si>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</si>
  <si>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</si>
  <si>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</si>
  <si>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</si>
  <si>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</si>
  <si>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</si>
  <si>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</si>
  <si>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</si>
  <si>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</si>
  <si>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</si>
  <si>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</si>
  <si>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</si>
  <si>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</si>
  <si>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</si>
  <si>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</si>
  <si>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</si>
  <si>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</si>
  <si>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</si>
  <si>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</si>
  <si>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</si>
  <si>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</si>
  <si>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</si>
  <si>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</si>
  <si>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</si>
  <si>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</si>
  <si>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</si>
  <si>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</si>
  <si>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</si>
  <si>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</si>
  <si>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</si>
  <si>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</si>
  <si>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</si>
  <si>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</si>
  <si>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</si>
  <si>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</si>
  <si>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</si>
  <si>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</si>
  <si>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</si>
  <si>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</si>
  <si>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</si>
  <si>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</si>
  <si>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</si>
  <si>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</si>
  <si>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</si>
  <si>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</si>
  <si>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</si>
  <si>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</si>
  <si>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</si>
  <si>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</si>
  <si>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</si>
  <si>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</si>
  <si>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</si>
  <si>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</si>
  <si>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</si>
  <si>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 xml:space="preserve">Khác </t>
  </si>
  <si>
    <t>Hỗ trợ VH-VN, TDTT cho SV</t>
  </si>
  <si>
    <t>Hỗ trợ hoạt động SV NCKH</t>
  </si>
  <si>
    <t>Đ21, CTNB</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</si>
  <si>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</si>
  <si>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</si>
  <si>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</si>
  <si>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</si>
  <si>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</si>
  <si>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</si>
  <si>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</si>
  <si>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</si>
  <si>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</si>
  <si>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</si>
  <si>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</si>
  <si>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</si>
  <si>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</si>
  <si>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</si>
  <si>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</si>
  <si>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</si>
  <si>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</si>
  <si>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</si>
  <si>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</si>
  <si>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</si>
  <si>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</si>
  <si>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</si>
  <si>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</si>
  <si>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</si>
  <si>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</si>
  <si>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</si>
  <si>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</si>
  <si>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</si>
  <si>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 xml:space="preserve">      ĐƠN VỊ: KHOA GIÁO DỤC</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</si>
  <si>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</si>
  <si>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</si>
  <si>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</si>
  <si>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</si>
  <si>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</si>
  <si>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</si>
  <si>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     ĐƠN VỊ: KHOA GIÁO DỤC</t>
  </si>
  <si>
    <t xml:space="preserve">Tên đơn vị : KHOA GIÁO DỤC </t>
  </si>
  <si>
    <t>Lý thuyết hệ thống trong Quản lí giáo dục</t>
  </si>
  <si>
    <t>a.34</t>
  </si>
  <si>
    <t>a.35</t>
  </si>
  <si>
    <t>a.36</t>
  </si>
  <si>
    <t>CBGD đảm nhận ĐM giờ giảng viên trở lên: 6</t>
  </si>
  <si>
    <t>Cán bộ hành chính ………2………</t>
  </si>
  <si>
    <t>CVHT(-15%, +HDCM)</t>
  </si>
  <si>
    <t>Tổng số cán bộ của đơn vị: 9, trong đó:</t>
  </si>
  <si>
    <t>Cán bộ hành chính …0</t>
  </si>
  <si>
    <t>Cán bộ giảng dạy: ………9, gồm:</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</si>
  <si>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</si>
  <si>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</si>
  <si>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</si>
  <si>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</si>
  <si>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</si>
  <si>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</si>
  <si>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</si>
  <si>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</si>
  <si>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</si>
  <si>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</si>
  <si>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</si>
  <si>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</si>
  <si>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</si>
  <si>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</si>
  <si>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</si>
  <si>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</si>
  <si>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Cán bộ hành chính ……0………….</t>
  </si>
  <si>
    <t>Tổng số cán bộ của đơn vị: 6, trong đó:</t>
  </si>
  <si>
    <t>Cán bộ hành chính …0……………….</t>
  </si>
  <si>
    <t xml:space="preserve">      Tên đơn vị: KHOA GIÁO DỤC</t>
  </si>
  <si>
    <t>K. Giáo dục</t>
  </si>
  <si>
    <t xml:space="preserve">      Tên đơn vị: Khoa Giáo dục</t>
  </si>
  <si>
    <t xml:space="preserve">          Tên đơn vị: Khoa Giáo dục</t>
  </si>
  <si>
    <t>Biểu 7 mục I</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</si>
  <si>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</si>
  <si>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</si>
  <si>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</si>
  <si>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</si>
  <si>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</si>
  <si>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</si>
  <si>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</si>
  <si>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Biểu 7 </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</si>
  <si>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</si>
  <si>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</si>
  <si>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</si>
  <si>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</si>
  <si>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</si>
  <si>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</si>
  <si>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</si>
  <si>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</si>
  <si>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</si>
  <si>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</si>
  <si>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</si>
  <si>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</si>
  <si>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</si>
  <si>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</si>
  <si>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</si>
  <si>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</si>
  <si>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</si>
  <si>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</si>
  <si>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</si>
  <si>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</si>
  <si>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</si>
  <si>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</si>
  <si>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</si>
  <si>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</si>
  <si>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</si>
  <si>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</si>
  <si>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</si>
  <si>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</si>
  <si>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</si>
  <si>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</si>
  <si>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</si>
  <si>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</si>
  <si>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</si>
  <si>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</si>
  <si>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</si>
  <si>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</si>
  <si>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</si>
  <si>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</si>
  <si>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</si>
  <si>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</si>
  <si>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</si>
  <si>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</si>
  <si>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</si>
  <si>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</si>
  <si>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</si>
  <si>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</si>
  <si>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</si>
  <si>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</si>
  <si>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</si>
  <si>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</si>
  <si>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</si>
  <si>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</si>
  <si>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</si>
  <si>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</si>
  <si>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</si>
  <si>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</si>
  <si>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</si>
  <si>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</si>
  <si>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</si>
  <si>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</si>
  <si>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</si>
  <si>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</si>
  <si>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</si>
  <si>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</si>
  <si>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</si>
  <si>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</si>
  <si>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</si>
  <si>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</si>
  <si>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</si>
  <si>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</si>
  <si>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</si>
  <si>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</si>
  <si>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</si>
  <si>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</si>
  <si>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</si>
  <si>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</si>
  <si>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</si>
  <si>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</si>
  <si>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</si>
  <si>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</si>
  <si>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</si>
  <si>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</si>
  <si>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</si>
  <si>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</si>
  <si>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</si>
  <si>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</si>
  <si>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</si>
  <si>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</si>
  <si>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</si>
  <si>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</si>
  <si>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</si>
  <si>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</si>
  <si>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</si>
  <si>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</si>
  <si>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</si>
  <si>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</si>
  <si>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</si>
  <si>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</si>
  <si>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</si>
  <si>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</si>
  <si>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</si>
  <si>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</si>
  <si>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</si>
  <si>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</si>
  <si>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</si>
  <si>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</si>
  <si>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</si>
  <si>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</si>
  <si>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</si>
  <si>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</si>
  <si>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</si>
  <si>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</si>
  <si>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</si>
  <si>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</si>
  <si>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</si>
  <si>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</si>
  <si>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</si>
  <si>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</si>
  <si>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</si>
  <si>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</si>
  <si>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</si>
  <si>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</si>
  <si>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</si>
  <si>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</si>
  <si>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</si>
  <si>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</si>
  <si>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</si>
  <si>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</si>
  <si>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</si>
  <si>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</si>
  <si>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</si>
  <si>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</si>
  <si>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</si>
  <si>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</si>
  <si>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</si>
  <si>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</si>
  <si>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</si>
  <si>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</si>
  <si>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</si>
  <si>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</si>
  <si>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Chi cho Đề tài NCKH (không tính cấp Bộ và Nhà nước)</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</si>
  <si>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</si>
  <si>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</si>
  <si>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</si>
  <si>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</si>
  <si>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</si>
  <si>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</si>
  <si>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</si>
  <si>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</si>
  <si>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</si>
  <si>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</si>
  <si>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</si>
  <si>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</si>
  <si>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</si>
  <si>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</si>
  <si>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</si>
  <si>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</si>
  <si>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</si>
  <si>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</si>
  <si>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</si>
  <si>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</si>
  <si>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</si>
  <si>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</si>
  <si>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</si>
  <si>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</si>
  <si>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</si>
  <si>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</si>
  <si>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</si>
  <si>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</si>
  <si>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</si>
  <si>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</si>
  <si>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</si>
  <si>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</si>
  <si>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</si>
  <si>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</si>
  <si>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</si>
  <si>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</si>
  <si>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</si>
  <si>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</si>
  <si>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Tổng số cán bộ của đơn vị: 39, trong đó:</t>
  </si>
  <si>
    <t>Cán bộ giảng dạy: 37, gồm:</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</si>
  <si>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</si>
  <si>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</si>
  <si>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</si>
  <si>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</si>
  <si>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</si>
  <si>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</si>
  <si>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</si>
  <si>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</si>
  <si>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</si>
  <si>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</si>
  <si>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</si>
  <si>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</si>
  <si>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</si>
  <si>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</si>
  <si>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</si>
  <si>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</si>
  <si>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</si>
  <si>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</si>
  <si>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</si>
  <si>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</si>
  <si>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</si>
  <si>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</si>
  <si>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</si>
  <si>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</si>
  <si>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</si>
  <si>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</si>
  <si>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</si>
  <si>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</si>
  <si>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</si>
  <si>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</si>
  <si>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</si>
  <si>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</si>
  <si>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</si>
  <si>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</si>
  <si>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</si>
  <si>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</si>
  <si>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</si>
  <si>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</si>
  <si>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</si>
  <si>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</si>
  <si>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</si>
  <si>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</si>
  <si>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</si>
  <si>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</si>
  <si>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</si>
  <si>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 xml:space="preserve">                                                                                                                                                                                            TRƯỞNG ĐƠN VỊ</t>
  </si>
  <si>
    <t>Tâm lí học đại cương K60</t>
  </si>
  <si>
    <t>Giao tiếp sư phạm trong trường mầm non K59</t>
  </si>
  <si>
    <t>Giảng viên Phạm Lê Cường</t>
  </si>
  <si>
    <t>TK</t>
  </si>
  <si>
    <t>Cán bộ giảng dạy: 7, gồm:</t>
  </si>
  <si>
    <t>CBGD đảm nhận ĐM giờ giảng viên trở lên: 7….</t>
  </si>
  <si>
    <t>PCTCD</t>
  </si>
  <si>
    <t>Trưởng khoa (-30%)</t>
  </si>
  <si>
    <t>Phó CTCĐ KHoa (-10%)</t>
  </si>
  <si>
    <t>TLĐT(-15%, +HDCM)</t>
  </si>
  <si>
    <t>CTCD</t>
  </si>
  <si>
    <t>CVHT (-15%)</t>
  </si>
  <si>
    <t>Hướng dẫn luận văn Thạc sĩ (Cao học 26QLGD)</t>
  </si>
  <si>
    <t>Quản lý GDMN (sau TN Trung cấp)</t>
  </si>
  <si>
    <t>Quản lý GDMN ( sau TN Cao đẳng)</t>
  </si>
  <si>
    <t>58,56,59</t>
  </si>
  <si>
    <t>Rèn luyện nghiệp vụ quản lý</t>
  </si>
  <si>
    <t>Thực hành, thực tế chuyên môn</t>
  </si>
  <si>
    <t xml:space="preserve">Thực tập sư phạm ngành GDMN </t>
  </si>
  <si>
    <t>8 trường</t>
  </si>
  <si>
    <t>CTHSVT</t>
  </si>
  <si>
    <t>Tổng số cán bộ của đơn vị: 10, trong đó:</t>
  </si>
  <si>
    <t>Cán bộ giảng dạy: ………10, gồm:</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</si>
  <si>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</si>
  <si>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</si>
  <si>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</si>
  <si>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</si>
  <si>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</si>
  <si>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</si>
  <si>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</si>
  <si>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</si>
  <si>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</si>
  <si>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</si>
  <si>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</si>
  <si>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</si>
  <si>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</si>
  <si>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</si>
  <si>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</si>
  <si>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</si>
  <si>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</si>
  <si>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</si>
  <si>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</si>
  <si>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</si>
  <si>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</si>
  <si>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</si>
  <si>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</si>
  <si>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</si>
  <si>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</si>
  <si>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</si>
  <si>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</si>
  <si>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</si>
  <si>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</si>
  <si>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</si>
  <si>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</si>
  <si>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</si>
  <si>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</si>
  <si>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</si>
  <si>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</si>
  <si>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</si>
  <si>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</si>
  <si>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</si>
  <si>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</si>
  <si>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Thạc sĩ không tập trung tại trường ĐHV</t>
  </si>
  <si>
    <t>CBGD đảm nhận ĐM giờ khác: ……1…</t>
  </si>
  <si>
    <t>Dự kiến số lượng CB, GV nghỉ hưu 1</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</si>
  <si>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</si>
  <si>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</si>
  <si>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Nghệ An, ngày       tháng     năm 2019</t>
  </si>
  <si>
    <t>CBGD đảm nhận ĐM giờ tập sự (thử việc): 0</t>
  </si>
  <si>
    <t>CBGD đảm nhận ĐM giờ giảng viên trở lên: 36</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</si>
  <si>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</si>
  <si>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</si>
  <si>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CBGD đảm nhận ĐM giờ giảng viên: …36….</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</si>
  <si>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</si>
  <si>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</si>
  <si>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</si>
  <si>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</si>
  <si>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</si>
  <si>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</si>
  <si>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Phương pháp giáo dục thể chất cho trẻ MN (bao gồm lớp Vĩnh Long)</t>
  </si>
  <si>
    <t>Tự đánh giá chương trình đào tạo ngành GDH</t>
  </si>
  <si>
    <t>02 GV đào tạo trung cấp lí luận chính trị</t>
  </si>
  <si>
    <t>Bồi dưỡng nâng cao năng lực ngoại ngữ  (4 Giảng viên đng tham gia đề án nâng cao năng lực ngoại ngữ)</t>
  </si>
  <si>
    <t>Biểu 8 (30% chi tối đa về Khoa)</t>
  </si>
  <si>
    <t>Chi các khoản liên quan đến đào tạo, bồi dưỡng và cấp chứng chỉ</t>
  </si>
  <si>
    <t>Dự kiến số lượng tuyển mới:     01</t>
  </si>
  <si>
    <t>Mời thỉnh giảng: 01</t>
  </si>
  <si>
    <t>NĂM HỌC 2020 - 2021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</si>
  <si>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</si>
  <si>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</si>
  <si>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</si>
  <si>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</si>
  <si>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</si>
  <si>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</si>
  <si>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</si>
  <si>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</si>
  <si>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</si>
  <si>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</si>
  <si>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</si>
  <si>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</si>
  <si>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</si>
  <si>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Số NCS DK tuyển mới năm học 2020-2021</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</si>
  <si>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</si>
  <si>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</si>
  <si>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</si>
  <si>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</si>
  <si>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</si>
  <si>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</si>
  <si>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</si>
  <si>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</si>
  <si>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</si>
  <si>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</si>
  <si>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</si>
  <si>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</si>
  <si>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</si>
  <si>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</si>
  <si>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</si>
  <si>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</si>
  <si>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</si>
  <si>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</si>
  <si>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</si>
  <si>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</si>
  <si>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4 Giảng viên, trong đó:</t>
  </si>
  <si>
    <t>CBGD đảm nhận ĐM giờ giáo viên:1</t>
  </si>
  <si>
    <t>CBGD đảm nhận ĐM giờ giảng viên trở lên: 8….</t>
  </si>
  <si>
    <t>Có 9 Giảng viên, trong đó: 01 PGS. TS: 05 TS; 03 ThS.</t>
  </si>
  <si>
    <t>Dự kiến số lượng giảng viên nghỉ hưu: 01</t>
  </si>
  <si>
    <t>TỔNG HP SỐ GIỜ QUY CHUẨN TỔ GIÁO DỤC HỌC PHẢI ĐẢM NHẬN GIẢNG DẠY NĂM HỌC 2020-2021</t>
  </si>
  <si>
    <t>Tổng số cán bộ của đơn vị: 4, trong đó:</t>
  </si>
  <si>
    <t>Cán bộ giảng dạy: ………4……….., gồm:</t>
  </si>
  <si>
    <t>CBGD đảm nhận ĐM giờ giảng viên trở lên: 4</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</si>
  <si>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</si>
  <si>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</si>
  <si>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</si>
  <si>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</si>
  <si>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</si>
  <si>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</si>
  <si>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</si>
  <si>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</si>
  <si>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</si>
  <si>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</si>
  <si>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</si>
  <si>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</si>
  <si>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</si>
  <si>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</si>
  <si>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</si>
  <si>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</si>
  <si>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</si>
  <si>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</si>
  <si>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</si>
  <si>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</si>
  <si>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</si>
  <si>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</si>
  <si>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</si>
  <si>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</si>
  <si>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</si>
  <si>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</si>
  <si>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</si>
  <si>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</si>
  <si>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</si>
  <si>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</si>
  <si>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</si>
  <si>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</si>
  <si>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</si>
  <si>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</si>
  <si>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</si>
  <si>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</si>
  <si>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</si>
  <si>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</si>
  <si>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</si>
  <si>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</si>
  <si>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 xml:space="preserve">Ưu tiên nam giới. Tốt nghiệp thạc sĩ trở lên. Tốt nghiệp Đại học trường: ĐHSP Hà Nội; ĐH KHXH và Nhân văn; ĐHSP TP Hồ Chí Minh (Không yêu cầu tốt nghiệp đại học bằng giỏi) </t>
  </si>
  <si>
    <t>Nghệ An, ngày    tháng     năm 2020</t>
  </si>
  <si>
    <t>Đinh Xuân KHoa (2 học viên x 35 tiết/1Hv = 175 tiết)</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</si>
  <si>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</si>
  <si>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</si>
  <si>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</si>
  <si>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</si>
  <si>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</si>
  <si>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</si>
  <si>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</si>
  <si>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</si>
  <si>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</si>
  <si>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</si>
  <si>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</si>
  <si>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Dự kiến số lượng tuyển mới ………08..</t>
  </si>
  <si>
    <t>Tổng số cán bộ của đơn vị: 38, trong đó:</t>
  </si>
  <si>
    <t>Cán bộ giảng dạy: 35, gồm:</t>
  </si>
  <si>
    <t>Cộng toàn khoa có 2 CB, GV đi học, trong đó:</t>
  </si>
  <si>
    <t>5 giảng viên đào tạo thăng hạng giảng viên hạng II</t>
  </si>
  <si>
    <t>Có 1 đi học ThS không tập trung trong nước, 1 đi học TS không tập trung trong nước, và 07 giảng viên dự kiến sẽ đi đào tạo, bồi dưỡng khác</t>
  </si>
  <si>
    <t>KẾ HOẠCH ĐĂNG KÝ NGHIÊN CỨU KHOA HỌC NĂM HỌC 2020-2021</t>
  </si>
  <si>
    <t>Máy tính để bàn (Trợ lý Đảm bảo chất lượng)</t>
  </si>
  <si>
    <t>Tiếng Anh B1
Đảm bảo chất lượng</t>
  </si>
  <si>
    <t>BS. Lê Công Phượng nghỉ hưu từ tháng năm 2021</t>
  </si>
  <si>
    <t>Dự kiến số lượng tuyển mới 01</t>
  </si>
  <si>
    <t xml:space="preserve"> Giảng dạy Dinh dưỡng trẻ em và Bệnh học trẻ em</t>
  </si>
  <si>
    <t>Có 10 Giảng viên, trong đó: 2 TS, 2 NCS, 1 bác sỹ, 5 Thạc sỹ.</t>
  </si>
  <si>
    <t>Giảng dạy môn PPDH Tự nhiên xã hội</t>
  </si>
  <si>
    <t>4.2</t>
  </si>
  <si>
    <t>Giảng dạy môn Tiếng Việt</t>
  </si>
  <si>
    <t>4.3</t>
  </si>
  <si>
    <t>Giảng dạy môn Nghệ Thuật</t>
  </si>
  <si>
    <t>Tốt nghiệp ĐH các ngành Âm nhạc, Mỹ thuật (loại khá hoặc có bằng thạc sĩ đúng chuyên ngành)</t>
  </si>
  <si>
    <t>Dự kiến số lượng tuyển mới: 03</t>
  </si>
  <si>
    <t>Tốt nghiệp ĐH ngành GDTH (loại giỏi hoặc loại khá và có bằng thạc sĩ đúng chuyên ngành, ưu tiên tuyển thẳng có bằng Tiến sỹ phù hợp với chuyên ngành)</t>
  </si>
  <si>
    <t>Tốt nghiệp ĐH ngành Ngữ văn (loại giỏi hoặc loại khá và có bằng thạc sĩ đúng chuyên ngành, ưu tiên tuyển thẳng có bằng Tiến sỹ phù hợp với chuyên ngành)</t>
  </si>
  <si>
    <t>Tốt nghiệp đại học đúng chuyên ngành (loại giỏi hoặc loại khá và có bằng thạc sĩ GDH)</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</si>
  <si>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</si>
  <si>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</si>
  <si>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</si>
  <si>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</si>
  <si>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</si>
  <si>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</si>
  <si>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</si>
  <si>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</si>
  <si>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</si>
  <si>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</si>
  <si>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</si>
  <si>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</si>
  <si>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</si>
  <si>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</si>
  <si>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</si>
  <si>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</si>
  <si>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</si>
  <si>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</si>
  <si>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</si>
  <si>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</si>
  <si>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</si>
  <si>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</si>
  <si>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</si>
  <si>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</si>
  <si>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</si>
  <si>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</si>
  <si>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</si>
  <si>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</si>
  <si>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</si>
  <si>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</si>
  <si>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</si>
  <si>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</si>
  <si>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</si>
  <si>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</si>
  <si>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</si>
  <si>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</si>
  <si>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</si>
  <si>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</si>
  <si>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</si>
  <si>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</si>
  <si>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</si>
  <si>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</si>
  <si>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</si>
  <si>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</si>
  <si>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</si>
  <si>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</si>
  <si>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</si>
  <si>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</si>
  <si>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</si>
  <si>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</si>
  <si>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</si>
  <si>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</si>
  <si>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</si>
  <si>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</si>
  <si>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</si>
  <si>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</si>
  <si>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t>Nghệ An, ngày</t>
  </si>
  <si>
    <t>10 tháng 8 năm 2020</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</si>
  <si>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</si>
  <si>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</si>
  <si>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</si>
  <si>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</si>
  <si>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</si>
  <si>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</si>
  <si>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</si>
  <si>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</si>
  <si>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</si>
  <si>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</si>
  <si>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</si>
  <si>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</si>
  <si>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</si>
  <si>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</si>
  <si>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</si>
  <si>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</si>
  <si>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</si>
  <si>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</si>
  <si>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</si>
  <si>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</si>
  <si>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</si>
  <si>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</si>
  <si>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</si>
  <si>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</si>
  <si>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</si>
  <si>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</si>
  <si>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</si>
  <si>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</si>
  <si>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</si>
  <si>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</si>
  <si>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</si>
  <si>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</si>
  <si>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</si>
  <si>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</si>
  <si>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</si>
  <si>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</si>
  <si>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</si>
  <si>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</si>
  <si>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</si>
  <si>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</si>
  <si>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</si>
  <si>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</si>
  <si>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</si>
  <si>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</si>
  <si>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</si>
  <si>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</si>
  <si>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</si>
  <si>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</si>
  <si>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</si>
  <si>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</si>
  <si>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</si>
  <si>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</si>
  <si>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</si>
  <si>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</si>
  <si>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</si>
  <si>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</si>
  <si>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</si>
  <si>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</si>
  <si>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</si>
  <si>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</si>
  <si>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</si>
  <si>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</si>
  <si>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</si>
  <si>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</si>
  <si>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</si>
  <si>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</si>
  <si>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</si>
  <si>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</si>
  <si>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</si>
  <si>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</si>
  <si>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</si>
  <si>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</si>
  <si>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</si>
  <si>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</si>
  <si>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</si>
  <si>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</si>
  <si>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</si>
  <si>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</si>
  <si>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</si>
  <si>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</si>
  <si>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</si>
  <si>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</si>
  <si>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</si>
  <si>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</si>
  <si>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</si>
  <si>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</si>
  <si>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</si>
  <si>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</si>
  <si>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</si>
  <si>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</si>
  <si>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</si>
  <si>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</si>
  <si>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</si>
  <si>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</si>
  <si>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</si>
  <si>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</si>
  <si>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</si>
  <si>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</si>
  <si>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</si>
  <si>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</si>
  <si>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</si>
  <si>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</si>
  <si>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</si>
  <si>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</si>
  <si>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</si>
  <si>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</si>
  <si>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</si>
  <si>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</si>
  <si>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</si>
  <si>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</si>
  <si>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</si>
  <si>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</si>
  <si>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</si>
  <si>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</si>
  <si>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</si>
  <si>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</si>
  <si>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</si>
  <si>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</si>
  <si>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</si>
  <si>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</si>
  <si>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</si>
  <si>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</si>
  <si>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</si>
  <si>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</si>
  <si>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</si>
  <si>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</si>
  <si>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</si>
  <si>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</si>
  <si>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</si>
  <si>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</si>
  <si>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</si>
  <si>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</si>
  <si>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</si>
  <si>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</si>
  <si>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</si>
  <si>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</si>
  <si>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</si>
  <si>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</si>
  <si>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</si>
  <si>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</si>
  <si>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</si>
  <si>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</si>
  <si>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</si>
  <si>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</si>
  <si>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</si>
  <si>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</si>
  <si>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 xml:space="preserve">                        BAN GIÁM HIỆU</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</si>
  <si>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</si>
  <si>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</si>
  <si>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</si>
  <si>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</si>
  <si>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</si>
  <si>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</si>
  <si>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</si>
  <si>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</si>
  <si>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</si>
  <si>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</si>
  <si>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</si>
  <si>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</si>
  <si>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</si>
  <si>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</si>
  <si>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</si>
  <si>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</si>
  <si>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</si>
  <si>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</si>
  <si>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</si>
  <si>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</si>
  <si>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</si>
  <si>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</si>
  <si>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</si>
  <si>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</si>
  <si>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</si>
  <si>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</si>
  <si>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</si>
  <si>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</si>
  <si>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</si>
  <si>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</si>
  <si>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</si>
  <si>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</si>
  <si>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</si>
  <si>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</si>
  <si>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</si>
  <si>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</si>
  <si>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</si>
  <si>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</si>
  <si>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</si>
  <si>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</si>
  <si>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</si>
  <si>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</si>
  <si>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</si>
  <si>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</si>
  <si>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</si>
  <si>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</si>
  <si>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</si>
  <si>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</si>
  <si>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</si>
  <si>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</si>
  <si>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</si>
  <si>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</si>
  <si>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</si>
  <si>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</si>
  <si>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</si>
  <si>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</si>
  <si>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</si>
  <si>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</si>
  <si>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</si>
  <si>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</si>
  <si>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</si>
  <si>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</si>
  <si>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</si>
  <si>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</si>
  <si>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</si>
  <si>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</si>
  <si>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</si>
  <si>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</si>
  <si>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</si>
  <si>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Tổng số tiền </t>
  </si>
  <si>
    <t xml:space="preserve">                                                Vinh, ngày 24 tháng 07 năm 2017</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</si>
  <si>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</si>
  <si>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</si>
  <si>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</si>
  <si>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</si>
  <si>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</si>
  <si>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</si>
  <si>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</si>
  <si>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</si>
  <si>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</si>
  <si>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</si>
  <si>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</si>
  <si>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</si>
  <si>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</si>
  <si>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</si>
  <si>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</si>
  <si>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</si>
  <si>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</si>
  <si>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</si>
  <si>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</si>
  <si>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</si>
  <si>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</si>
  <si>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</si>
  <si>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</si>
  <si>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</si>
  <si>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</si>
  <si>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</si>
  <si>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</si>
  <si>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</si>
  <si>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</si>
  <si>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</si>
  <si>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</si>
  <si>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</si>
  <si>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</si>
  <si>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</si>
  <si>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</si>
  <si>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</si>
  <si>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</si>
  <si>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</si>
  <si>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</si>
  <si>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</si>
  <si>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Đơn vị tính:  đồng</t>
  </si>
  <si>
    <t>RLNVSPTX 2</t>
  </si>
  <si>
    <t>RLNVSPTX 1</t>
  </si>
  <si>
    <t>Rèn luyện NVSPTX GDTH  1 (59 và 60)</t>
  </si>
  <si>
    <t>Rèn luyện NVSPTX GDTH 2 (58)</t>
  </si>
  <si>
    <t>KẾ HOẠCH BIÊN SOẠN, XUẤT BẢN GIÁO TRÌNH, TÀI LIỆU HỌC TẬP
Năm học 2020 - 2021</t>
  </si>
  <si>
    <t xml:space="preserve">KHOA/VIỆN </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</si>
  <si>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</si>
  <si>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</si>
  <si>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</si>
  <si>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</si>
  <si>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</si>
  <si>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</si>
  <si>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</si>
  <si>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</si>
  <si>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PGS.TS Nguyễn Như An</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</si>
  <si>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</si>
  <si>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</si>
  <si>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</si>
  <si>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</si>
  <si>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</si>
  <si>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</si>
  <si>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</si>
  <si>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</si>
  <si>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</si>
  <si>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</si>
  <si>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</si>
  <si>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</si>
  <si>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</si>
  <si>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</si>
  <si>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Danh sách này có 05  giáo trình đăng ký xuất bản</t>
  </si>
  <si>
    <t>(Đã ký)</t>
  </si>
  <si>
    <t>Xây dựng mô hình tự quản sống xanh trong khu ký túc xá các trường Đại học</t>
  </si>
  <si>
    <t>Sử dụng một số kỉ thuật dạy học tích cực trong việc rèn luyện kĩ năng nói cho học sinh tiểu học</t>
  </si>
  <si>
    <t>Lê Thị Hà Trang -59 GDTH và nhóm NC</t>
  </si>
  <si>
    <t>Vận dụng phương pháp dạy học dự án trong tổ chức hoạt động trải nghiệm ở tiểu học</t>
  </si>
  <si>
    <t>Phạm Quỳnh Mai - 58 GDTH và nhóm NC</t>
  </si>
  <si>
    <t>3.3.</t>
  </si>
  <si>
    <t>Nghiên cứu phát triển thể chất cho trẻ mầm non</t>
  </si>
  <si>
    <t>Nhóm NC 59 MN</t>
  </si>
  <si>
    <t>Nghiên cứu phát triển thẩm mĩ cho trẻ mầm non</t>
  </si>
  <si>
    <t>Nghiên cứu phát triển ngôn ngữ cho trẻ mầm non</t>
  </si>
  <si>
    <t>Nghiên cứu phát triển tình cảm - KN xã hội cho trẻ mầm non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</si>
  <si>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</si>
  <si>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</si>
  <si>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</si>
  <si>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</si>
  <si>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</si>
  <si>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</si>
  <si>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</si>
  <si>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Xây dựng chương trình đào tạo ngành Giáo dục Mầm non đáp ứng đa dạng hóa mô hình trường lớp</t>
  </si>
  <si>
    <t>Một tỉ năm trăm linh năm triệu đồng</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</si>
  <si>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</si>
  <si>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</si>
  <si>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</si>
  <si>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</si>
  <si>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</si>
  <si>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</si>
  <si>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</si>
  <si>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Hai mươi tư tỉ, ba trăm tám mươi bốn triệu, năm trăm ngàn đồng</t>
  </si>
  <si>
    <t>TỔNG HỢP CÁC KHOẢN THU NĂM HỌC 2020-2021</t>
  </si>
  <si>
    <t>Các khoản thu từ biểu 8</t>
  </si>
  <si>
    <t>Kinh phí đề tài khoa học thực hiện trong năm, kinh phí Đề tài cấp Bộ và Nhà nước 2020-2021 (Tạm ứng 50% tổng dự toán)</t>
  </si>
  <si>
    <t>Bảy mươi ba tỉ, sáu trăm linh hai triệu, sáu trăm sáu mươi sáu ngàn đồng</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</si>
  <si>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</si>
  <si>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</si>
  <si>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</si>
  <si>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</si>
  <si>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</si>
  <si>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</si>
  <si>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</si>
  <si>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</si>
  <si>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</si>
  <si>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</si>
  <si>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</si>
  <si>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</si>
  <si>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</si>
  <si>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</si>
  <si>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</si>
  <si>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</si>
  <si>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</si>
  <si>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</si>
  <si>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</si>
  <si>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</si>
  <si>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</si>
  <si>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</si>
  <si>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</si>
  <si>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</si>
  <si>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</si>
  <si>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</si>
  <si>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</si>
  <si>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</si>
  <si>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</si>
  <si>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</si>
  <si>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Sửa chữa, bảo dưỡng tài sản có giá trị  (Điều hoà, máy tinh, máy phôto, sửa chữa các công trình)</t>
  </si>
  <si>
    <t>Xem biểu Dự kiến xuất bản (7B)</t>
  </si>
  <si>
    <t>Tài liệu giáo trình ( 22 TC x 4 trieu/1TC) = (3 Giáo trình 2018)</t>
  </si>
  <si>
    <t>Chi Đề tài NCKH Cấp bộ (50% cho 1 năm)</t>
  </si>
  <si>
    <t>Bảy trăm hai mươi mốt triệu đồng</t>
  </si>
  <si>
    <t>Bảy mươi triệu hai trăm ngàn đồng</t>
  </si>
  <si>
    <t>Biểu số 2, Hướng dẫn xây dựng KHNH 690/2020</t>
  </si>
  <si>
    <t>Biểu số 1, Hướng dẫn xây dựng KHNH 690/2020</t>
  </si>
  <si>
    <t>Bao mươi tỉ, năm trăm hai mươi lăm triệu, bốn trăm tám mươi tám ngàn đồng</t>
  </si>
  <si>
    <t>TỔNG HỢP THU CHI NĂM HỌC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</si>
</sst>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s>
  <fonts count="107">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3"/>
      <color theme="1"/>
      <name val="Times New Roman"/>
      <family val="1"/>
    </font>
    <font>
      <sz val="13"/>
      <color indexed="8"/>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s>
  <fills count="10">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s>
  <borders count="153">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hair">
        <color indexed="8"/>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double">
        <color auto="1"/>
      </left>
      <right/>
      <top/>
      <bottom/>
      <diagonal/>
    </border>
    <border>
      <left style="double">
        <color auto="1"/>
      </left>
      <right style="thin">
        <color indexed="8"/>
      </right>
      <top style="hair">
        <color indexed="8"/>
      </top>
      <bottom/>
      <diagonal/>
    </border>
    <border>
      <left style="thin">
        <color auto="1"/>
      </left>
      <right/>
      <top style="thin">
        <color auto="1"/>
      </top>
      <bottom style="thin">
        <color auto="1"/>
      </bottom>
      <diagonal/>
    </border>
    <border>
      <left style="thin">
        <color indexed="8"/>
      </left>
      <right/>
      <top/>
      <bottom/>
      <diagonal/>
    </border>
    <border>
      <left style="thin">
        <color indexed="8"/>
      </left>
      <right style="thin">
        <color indexed="8"/>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bottom style="hair">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bottom style="hair">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hair">
        <color indexed="8"/>
      </bottom>
      <diagonal/>
    </border>
    <border>
      <left style="thin">
        <color indexed="8"/>
      </left>
      <right style="thin">
        <color auto="1"/>
      </right>
      <top/>
      <bottom style="hair">
        <color indexed="8"/>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style="thin">
        <color auto="1"/>
      </right>
      <top style="thin">
        <color auto="1"/>
      </top>
      <bottom style="hair">
        <color indexed="8"/>
      </bottom>
      <diagonal/>
    </border>
    <border>
      <left style="thin">
        <color auto="1"/>
      </left>
      <right style="thin">
        <color auto="1"/>
      </right>
      <top style="hair">
        <color indexed="8"/>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double">
        <color auto="1"/>
      </left>
      <right style="thin">
        <color auto="1"/>
      </right>
      <top style="hair">
        <color indexed="8"/>
      </top>
      <bottom style="hair">
        <color indexed="8"/>
      </bottom>
      <diagonal/>
    </border>
    <border>
      <left style="thin">
        <color auto="1"/>
      </left>
      <right style="double">
        <color auto="1"/>
      </right>
      <top style="hair">
        <color indexed="8"/>
      </top>
      <bottom style="hair">
        <color indexed="8"/>
      </bottom>
      <diagonal/>
    </border>
    <border>
      <left/>
      <right style="thin">
        <color auto="1"/>
      </right>
      <top style="hair">
        <color auto="1"/>
      </top>
      <bottom style="hair">
        <color auto="1"/>
      </bottom>
      <diagonal/>
    </border>
    <border>
      <left/>
      <right style="medium">
        <color auto="1"/>
      </right>
      <top/>
      <bottom/>
      <diagonal/>
    </border>
    <border>
      <left style="thin">
        <color auto="1"/>
      </left>
      <right style="thin">
        <color auto="1"/>
      </right>
      <top style="thin">
        <color indexed="8"/>
      </top>
      <bottom style="thin">
        <color auto="1"/>
      </bottom>
      <diagonal/>
    </border>
    <border>
      <left/>
      <right style="thin">
        <color auto="1"/>
      </right>
      <top/>
      <bottom/>
      <diagonal/>
    </border>
    <border>
      <left style="thin">
        <color indexed="8"/>
      </left>
      <right/>
      <top style="hair">
        <color indexed="8"/>
      </top>
      <bottom style="hair">
        <color indexed="8"/>
      </bottom>
      <diagonal/>
    </border>
    <border>
      <left style="thin">
        <color indexed="8"/>
      </left>
      <right/>
      <top style="hair">
        <color indexed="8"/>
      </top>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right style="double">
        <color auto="1"/>
      </right>
      <top style="hair">
        <color indexed="8"/>
      </top>
      <bottom style="hair">
        <color indexed="8"/>
      </bottom>
      <diagonal/>
    </border>
    <border>
      <left/>
      <right style="double">
        <color auto="1"/>
      </right>
      <top style="hair">
        <color indexed="8"/>
      </top>
      <bottom/>
      <diagonal/>
    </border>
    <border>
      <left/>
      <right style="double">
        <color auto="1"/>
      </right>
      <top style="hair">
        <color auto="1"/>
      </top>
      <bottom style="thin">
        <color auto="1"/>
      </bottom>
      <diagonal/>
    </border>
    <border>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style="hair">
        <color indexed="8"/>
      </top>
      <bottom style="hair">
        <color indexed="8"/>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auto="1"/>
      </left>
      <right style="thin">
        <color auto="1"/>
      </right>
      <top/>
      <bottom style="hair">
        <color indexed="8"/>
      </bottom>
      <diagonal/>
    </border>
    <border>
      <left style="thin">
        <color auto="1"/>
      </left>
      <right style="thin">
        <color auto="1"/>
      </right>
      <top/>
      <bottom style="hair">
        <color indexed="8"/>
      </bottom>
      <diagonal/>
    </border>
    <border>
      <left style="thin">
        <color auto="1"/>
      </left>
      <right style="double">
        <color auto="1"/>
      </right>
      <top/>
      <bottom style="hair">
        <color indexed="8"/>
      </bottom>
      <diagonal/>
    </border>
    <border>
      <left style="thin">
        <color indexed="8"/>
      </left>
      <right style="thin">
        <color auto="1"/>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1763">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0" fontId="0" fillId="0" borderId="0"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1" fillId="0" borderId="0" xfId="0" applyFont="1" applyAlignment="1"/>
    <xf numFmtId="0" fontId="25" fillId="0" borderId="3"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25" fillId="0" borderId="4" xfId="0" applyFont="1" applyBorder="1" applyAlignment="1">
      <alignment vertical="center"/>
    </xf>
    <xf numFmtId="0" fontId="24" fillId="0" borderId="4" xfId="0" applyFont="1" applyBorder="1" applyAlignment="1">
      <alignment horizontal="center" vertical="center"/>
    </xf>
    <xf numFmtId="0" fontId="21" fillId="0" borderId="0" xfId="0" applyFont="1" applyAlignment="1">
      <alignment horizontal="center"/>
    </xf>
    <xf numFmtId="0" fontId="28" fillId="0" borderId="0" xfId="0" applyFont="1" applyAlignment="1">
      <alignment vertical="center"/>
    </xf>
    <xf numFmtId="0" fontId="25" fillId="0" borderId="0" xfId="0" applyFont="1" applyAlignment="1">
      <alignment vertical="center"/>
    </xf>
    <xf numFmtId="0" fontId="25" fillId="0" borderId="5" xfId="0" applyFont="1" applyBorder="1" applyAlignment="1">
      <alignment vertical="center" wrapText="1"/>
    </xf>
    <xf numFmtId="0" fontId="24" fillId="0" borderId="0" xfId="0" applyFont="1" applyAlignment="1">
      <alignment vertical="center"/>
    </xf>
    <xf numFmtId="0" fontId="24" fillId="0" borderId="3" xfId="0" applyFont="1" applyBorder="1" applyAlignment="1">
      <alignment vertical="center"/>
    </xf>
    <xf numFmtId="0" fontId="24" fillId="0" borderId="0" xfId="0" applyFont="1" applyAlignment="1">
      <alignment horizontal="center" vertical="center"/>
    </xf>
    <xf numFmtId="0" fontId="24" fillId="0" borderId="4" xfId="0" applyFont="1" applyBorder="1" applyAlignment="1">
      <alignment vertical="center"/>
    </xf>
    <xf numFmtId="0" fontId="24" fillId="0" borderId="5" xfId="0" applyFont="1" applyBorder="1" applyAlignment="1">
      <alignment vertical="center" wrapText="1"/>
    </xf>
    <xf numFmtId="0" fontId="25" fillId="0" borderId="4" xfId="0" applyFont="1" applyBorder="1" applyAlignment="1">
      <alignment vertical="center" wrapText="1"/>
    </xf>
    <xf numFmtId="0" fontId="0" fillId="0" borderId="0" xfId="0" applyAlignment="1">
      <alignment vertical="top"/>
    </xf>
    <xf numFmtId="0" fontId="25" fillId="0" borderId="4" xfId="0" applyFont="1" applyBorder="1" applyAlignment="1">
      <alignment horizontal="center" vertical="center" wrapText="1"/>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1" fillId="0" borderId="0" xfId="0" applyFont="1" applyAlignment="1">
      <alignment horizontal="center"/>
    </xf>
    <xf numFmtId="0" fontId="22" fillId="0" borderId="0" xfId="0" applyFont="1" applyAlignment="1">
      <alignment horizontal="center" vertical="center"/>
    </xf>
    <xf numFmtId="164" fontId="22" fillId="0" borderId="8" xfId="1" applyNumberFormat="1" applyFont="1" applyBorder="1" applyAlignment="1">
      <alignment horizontal="center" vertical="center" wrapText="1"/>
    </xf>
    <xf numFmtId="0" fontId="24" fillId="0" borderId="0" xfId="0" applyFont="1" applyAlignment="1">
      <alignment horizontal="center" vertical="center"/>
    </xf>
    <xf numFmtId="164" fontId="22" fillId="0" borderId="9" xfId="1" quotePrefix="1" applyNumberFormat="1" applyFont="1" applyBorder="1" applyAlignment="1">
      <alignment horizontal="center" vertical="center" wrapText="1"/>
    </xf>
    <xf numFmtId="0" fontId="23" fillId="0" borderId="0" xfId="0" applyFont="1" applyBorder="1" applyAlignment="1"/>
    <xf numFmtId="164" fontId="22" fillId="0" borderId="10"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164" fontId="22" fillId="0" borderId="13" xfId="1" quotePrefix="1" applyNumberFormat="1" applyFont="1" applyBorder="1" applyAlignment="1">
      <alignment horizontal="center" vertical="center" wrapText="1"/>
    </xf>
    <xf numFmtId="164" fontId="22" fillId="0" borderId="14" xfId="1" quotePrefix="1" applyNumberFormat="1" applyFont="1" applyBorder="1" applyAlignment="1">
      <alignment horizontal="center" vertical="center" wrapText="1"/>
    </xf>
    <xf numFmtId="0" fontId="22" fillId="0" borderId="15" xfId="0" applyFont="1" applyBorder="1" applyAlignment="1">
      <alignment horizontal="right" vertical="top" wrapText="1"/>
    </xf>
    <xf numFmtId="0" fontId="21" fillId="0" borderId="0" xfId="0" applyFont="1" applyFill="1" applyAlignment="1">
      <alignment wrapText="1"/>
    </xf>
    <xf numFmtId="0" fontId="22" fillId="0" borderId="0" xfId="0" applyFont="1" applyFill="1" applyAlignment="1">
      <alignment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 fillId="0" borderId="0" xfId="0" applyFont="1" applyFill="1" applyAlignment="1">
      <alignment vertical="top"/>
    </xf>
    <xf numFmtId="0" fontId="21" fillId="0" borderId="0" xfId="0" applyFont="1" applyFill="1" applyAlignment="1">
      <alignment horizontal="center"/>
    </xf>
    <xf numFmtId="0" fontId="23" fillId="0" borderId="0" xfId="0" applyFont="1" applyFill="1" applyBorder="1" applyAlignment="1"/>
    <xf numFmtId="0" fontId="23" fillId="0" borderId="0" xfId="0" applyFont="1" applyFill="1" applyBorder="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6" xfId="0" applyFont="1" applyBorder="1" applyAlignment="1">
      <alignment horizontal="right"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6" fillId="0" borderId="26" xfId="0" applyFont="1" applyBorder="1" applyAlignment="1">
      <alignment horizontal="right" vertical="center" wrapText="1"/>
    </xf>
    <xf numFmtId="0" fontId="5" fillId="0" borderId="26" xfId="0" applyFont="1" applyBorder="1" applyAlignment="1">
      <alignment horizontal="right" vertical="center" wrapText="1"/>
    </xf>
    <xf numFmtId="0" fontId="22" fillId="0" borderId="26" xfId="0" applyFont="1" applyBorder="1" applyAlignment="1">
      <alignment horizontal="right" vertical="center" wrapText="1"/>
    </xf>
    <xf numFmtId="0" fontId="21" fillId="0" borderId="29" xfId="0" applyFont="1" applyBorder="1" applyAlignment="1">
      <alignment horizontal="center" vertical="center" wrapText="1"/>
    </xf>
    <xf numFmtId="0" fontId="22" fillId="0" borderId="31" xfId="0" applyFont="1" applyBorder="1" applyAlignment="1">
      <alignment horizontal="justify"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15"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33" xfId="0" applyFont="1" applyBorder="1" applyAlignment="1">
      <alignment horizontal="center" vertical="center" wrapText="1"/>
    </xf>
    <xf numFmtId="0" fontId="21" fillId="0" borderId="34" xfId="0" applyFont="1" applyBorder="1" applyAlignment="1">
      <alignment vertical="center"/>
    </xf>
    <xf numFmtId="0" fontId="22" fillId="0" borderId="0" xfId="0" applyFont="1" applyAlignment="1"/>
    <xf numFmtId="0" fontId="21" fillId="0" borderId="0" xfId="0" applyFont="1" applyAlignment="1">
      <alignment vertical="center" wrapText="1"/>
    </xf>
    <xf numFmtId="0" fontId="22" fillId="0" borderId="0" xfId="0" applyFont="1" applyAlignment="1">
      <alignment vertical="center" wrapText="1"/>
    </xf>
    <xf numFmtId="0" fontId="22" fillId="0" borderId="27" xfId="0" applyFont="1" applyBorder="1" applyAlignment="1">
      <alignment horizontal="center" vertical="center" wrapText="1"/>
    </xf>
    <xf numFmtId="0" fontId="23" fillId="0" borderId="0" xfId="0" applyFont="1" applyBorder="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0" xfId="0" applyBorder="1" applyAlignment="1">
      <alignment vertical="center"/>
    </xf>
    <xf numFmtId="0" fontId="5" fillId="0" borderId="0" xfId="0" applyFont="1" applyBorder="1" applyAlignment="1">
      <alignment vertical="center"/>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horizontal="center" vertical="center"/>
    </xf>
    <xf numFmtId="0" fontId="23" fillId="0" borderId="0" xfId="0" applyFont="1" applyBorder="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vertical="center"/>
    </xf>
    <xf numFmtId="0" fontId="14" fillId="0" borderId="21" xfId="0" applyFont="1" applyBorder="1" applyAlignment="1">
      <alignment vertical="center"/>
    </xf>
    <xf numFmtId="0" fontId="9" fillId="0" borderId="41" xfId="0" applyFont="1" applyBorder="1" applyAlignment="1">
      <alignment horizontal="center" vertical="center"/>
    </xf>
    <xf numFmtId="0" fontId="9" fillId="0" borderId="42"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43" xfId="0" applyFont="1" applyBorder="1" applyAlignment="1">
      <alignment vertical="center"/>
    </xf>
    <xf numFmtId="0" fontId="9" fillId="0" borderId="35" xfId="0" quotePrefix="1" applyFont="1" applyBorder="1" applyAlignment="1">
      <alignment horizontal="center" vertical="center"/>
    </xf>
    <xf numFmtId="0" fontId="9" fillId="0" borderId="36" xfId="0" applyFont="1" applyBorder="1" applyAlignment="1">
      <alignment vertical="center"/>
    </xf>
    <xf numFmtId="0" fontId="9" fillId="0" borderId="25" xfId="0" applyFont="1" applyBorder="1" applyAlignment="1">
      <alignment vertical="center"/>
    </xf>
    <xf numFmtId="0" fontId="14" fillId="0" borderId="41" xfId="0" applyFont="1" applyBorder="1" applyAlignment="1">
      <alignment horizontal="center" vertical="center"/>
    </xf>
    <xf numFmtId="0" fontId="14" fillId="0" borderId="42"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6" xfId="0" applyFont="1" applyBorder="1" applyAlignment="1">
      <alignment vertical="center"/>
    </xf>
    <xf numFmtId="0" fontId="24" fillId="0" borderId="35" xfId="0" quotePrefix="1" applyFont="1" applyBorder="1" applyAlignment="1">
      <alignment horizontal="center" vertical="center"/>
    </xf>
    <xf numFmtId="0" fontId="25" fillId="0" borderId="35" xfId="0" quotePrefix="1" applyFont="1" applyBorder="1" applyAlignment="1">
      <alignment horizontal="center" vertical="center"/>
    </xf>
    <xf numFmtId="0" fontId="25" fillId="0" borderId="40"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4" fillId="0" borderId="5" xfId="0" applyFont="1" applyBorder="1" applyAlignment="1">
      <alignment vertical="center"/>
    </xf>
    <xf numFmtId="0" fontId="25" fillId="4" borderId="4" xfId="0" applyFont="1" applyFill="1" applyBorder="1" applyAlignment="1">
      <alignment vertical="center"/>
    </xf>
    <xf numFmtId="0" fontId="24" fillId="0" borderId="4" xfId="0" applyFont="1" applyBorder="1" applyAlignment="1">
      <alignment vertical="center" wrapText="1"/>
    </xf>
    <xf numFmtId="0" fontId="14" fillId="0" borderId="8" xfId="0" applyFont="1" applyBorder="1" applyAlignment="1">
      <alignment vertical="center"/>
    </xf>
    <xf numFmtId="0" fontId="25" fillId="0" borderId="6" xfId="0" applyFont="1" applyBorder="1" applyAlignment="1">
      <alignment vertical="center"/>
    </xf>
    <xf numFmtId="0" fontId="9" fillId="0" borderId="4" xfId="0" applyFont="1" applyBorder="1" applyAlignment="1">
      <alignment horizontal="left" vertical="center" wrapText="1"/>
    </xf>
    <xf numFmtId="0" fontId="21" fillId="0" borderId="0" xfId="0" applyFont="1" applyAlignment="1">
      <alignment horizontal="center"/>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164" fontId="22" fillId="0" borderId="45" xfId="1" applyNumberFormat="1" applyFont="1" applyBorder="1" applyAlignment="1">
      <alignment horizontal="center" vertical="center" wrapText="1"/>
    </xf>
    <xf numFmtId="0" fontId="22" fillId="0" borderId="27" xfId="0" applyFont="1" applyBorder="1" applyAlignment="1">
      <alignment horizontal="left" vertical="center" wrapText="1"/>
    </xf>
    <xf numFmtId="0" fontId="22" fillId="0" borderId="46" xfId="0" applyFont="1" applyBorder="1" applyAlignment="1">
      <alignment horizontal="right" vertical="center" wrapText="1"/>
    </xf>
    <xf numFmtId="164" fontId="22" fillId="0" borderId="3" xfId="1" quotePrefix="1" applyNumberFormat="1" applyFont="1" applyBorder="1" applyAlignment="1">
      <alignment horizontal="center" vertical="center" wrapText="1"/>
    </xf>
    <xf numFmtId="164" fontId="22" fillId="0" borderId="21" xfId="1" quotePrefix="1" applyNumberFormat="1" applyFont="1" applyBorder="1" applyAlignment="1">
      <alignment horizontal="center" vertical="center" wrapText="1"/>
    </xf>
    <xf numFmtId="0" fontId="24" fillId="0" borderId="0" xfId="0" applyFont="1" applyAlignment="1">
      <alignment horizontal="right"/>
    </xf>
    <xf numFmtId="0" fontId="6" fillId="0" borderId="47" xfId="6" applyFont="1" applyFill="1" applyBorder="1" applyAlignment="1">
      <alignment horizontal="center" vertical="center" wrapText="1"/>
    </xf>
    <xf numFmtId="164" fontId="22" fillId="0" borderId="3" xfId="1" applyNumberFormat="1" applyFont="1" applyBorder="1" applyAlignment="1">
      <alignment horizontal="left" vertical="center" wrapText="1"/>
    </xf>
    <xf numFmtId="0" fontId="22" fillId="0" borderId="0" xfId="0" applyFont="1" applyAlignment="1">
      <alignment horizontal="center"/>
    </xf>
    <xf numFmtId="0" fontId="21" fillId="0" borderId="0" xfId="0" applyFont="1" applyAlignment="1">
      <alignment horizontal="center"/>
    </xf>
    <xf numFmtId="0" fontId="12" fillId="0" borderId="0" xfId="0" applyFont="1" applyAlignment="1">
      <alignment horizontal="center"/>
    </xf>
    <xf numFmtId="0" fontId="33" fillId="0" borderId="33" xfId="0"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0" fontId="7" fillId="0" borderId="17" xfId="0" applyFont="1" applyBorder="1" applyAlignment="1">
      <alignment horizontal="left" vertical="top" wrapText="1"/>
    </xf>
    <xf numFmtId="0" fontId="7" fillId="0" borderId="17" xfId="0" applyFont="1" applyBorder="1" applyAlignment="1">
      <alignment horizontal="justify" vertical="top" wrapText="1"/>
    </xf>
    <xf numFmtId="0" fontId="7" fillId="0" borderId="17" xfId="0" applyFont="1" applyBorder="1" applyAlignment="1">
      <alignment horizontal="center" vertical="top" wrapText="1"/>
    </xf>
    <xf numFmtId="0" fontId="7" fillId="0" borderId="17" xfId="0" applyFont="1" applyBorder="1" applyAlignment="1">
      <alignment vertical="top"/>
    </xf>
    <xf numFmtId="0" fontId="7" fillId="0" borderId="17" xfId="0" applyFont="1" applyBorder="1" applyAlignment="1">
      <alignment horizontal="left" vertical="top"/>
    </xf>
    <xf numFmtId="0" fontId="5" fillId="0" borderId="17" xfId="0" applyFont="1" applyBorder="1" applyAlignment="1">
      <alignment horizontal="left" vertical="top"/>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horizontal="justify" vertical="top" wrapText="1"/>
    </xf>
    <xf numFmtId="0" fontId="5" fillId="0" borderId="17" xfId="0" applyFont="1" applyBorder="1" applyAlignment="1">
      <alignment horizontal="center" vertical="top" wrapText="1"/>
    </xf>
    <xf numFmtId="0" fontId="5" fillId="0" borderId="0" xfId="0" applyFont="1" applyAlignment="1">
      <alignment horizontal="center" vertical="top"/>
    </xf>
    <xf numFmtId="0" fontId="22" fillId="0" borderId="33" xfId="0" applyFont="1" applyBorder="1" applyAlignment="1">
      <alignment vertical="center"/>
    </xf>
    <xf numFmtId="0" fontId="7" fillId="2" borderId="17" xfId="0" applyFont="1" applyFill="1" applyBorder="1" applyAlignment="1">
      <alignment horizontal="justify" vertical="top" wrapText="1"/>
    </xf>
    <xf numFmtId="0" fontId="7" fillId="3" borderId="17" xfId="0" applyFont="1" applyFill="1" applyBorder="1" applyAlignment="1">
      <alignment horizontal="justify" vertical="top" wrapText="1"/>
    </xf>
    <xf numFmtId="0" fontId="5" fillId="2" borderId="17" xfId="0" applyFont="1" applyFill="1" applyBorder="1" applyAlignment="1">
      <alignment horizontal="left" vertical="top"/>
    </xf>
    <xf numFmtId="0" fontId="5" fillId="3" borderId="17" xfId="0" applyFont="1" applyFill="1" applyBorder="1" applyAlignment="1">
      <alignment horizontal="left" vertical="top"/>
    </xf>
    <xf numFmtId="0" fontId="5" fillId="0" borderId="0" xfId="0" applyFont="1" applyAlignment="1">
      <alignment horizontal="center" vertical="center" wrapText="1"/>
    </xf>
    <xf numFmtId="0" fontId="21" fillId="0" borderId="0" xfId="0" applyFont="1" applyFill="1" applyAlignment="1">
      <alignment horizontal="center" wrapText="1"/>
    </xf>
    <xf numFmtId="0" fontId="5" fillId="0" borderId="0" xfId="0" applyFont="1" applyFill="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5" fillId="0" borderId="4" xfId="2" applyFont="1" applyBorder="1" applyAlignment="1">
      <alignment vertical="center"/>
    </xf>
    <xf numFmtId="41" fontId="25" fillId="0" borderId="5"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24" fillId="0" borderId="3" xfId="2" applyFont="1" applyBorder="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41" fontId="24" fillId="0" borderId="5" xfId="2" applyFont="1" applyBorder="1" applyAlignment="1">
      <alignment vertical="center"/>
    </xf>
    <xf numFmtId="164" fontId="24" fillId="0" borderId="4" xfId="1" applyNumberFormat="1" applyFont="1" applyBorder="1" applyAlignment="1">
      <alignment vertical="center"/>
    </xf>
    <xf numFmtId="164" fontId="25" fillId="0" borderId="4" xfId="1" applyNumberFormat="1" applyFont="1" applyBorder="1" applyAlignment="1">
      <alignment vertical="center"/>
    </xf>
    <xf numFmtId="164" fontId="25" fillId="0" borderId="5" xfId="1" applyNumberFormat="1" applyFont="1" applyBorder="1" applyAlignment="1">
      <alignment vertical="center"/>
    </xf>
    <xf numFmtId="164" fontId="24" fillId="0" borderId="4" xfId="0" applyNumberFormat="1" applyFont="1" applyBorder="1" applyAlignment="1">
      <alignment vertical="center"/>
    </xf>
    <xf numFmtId="0" fontId="21" fillId="4" borderId="0" xfId="0" applyFont="1" applyFill="1" applyAlignment="1"/>
    <xf numFmtId="0" fontId="22" fillId="4" borderId="0" xfId="0" applyFont="1" applyFill="1" applyAlignment="1"/>
    <xf numFmtId="164" fontId="22" fillId="0" borderId="54" xfId="1" applyNumberFormat="1" applyFont="1" applyFill="1" applyBorder="1" applyAlignment="1">
      <alignment horizontal="center" vertical="top" wrapText="1"/>
    </xf>
    <xf numFmtId="0" fontId="40" fillId="0" borderId="0" xfId="0" applyFont="1" applyFill="1"/>
    <xf numFmtId="0" fontId="30" fillId="0" borderId="0" xfId="0" applyFont="1" applyBorder="1" applyAlignment="1">
      <alignment horizontal="right" vertical="center" wrapText="1"/>
    </xf>
    <xf numFmtId="49" fontId="22" fillId="0" borderId="54" xfId="1" quotePrefix="1" applyNumberFormat="1" applyFont="1" applyFill="1" applyBorder="1" applyAlignment="1">
      <alignment vertical="center" wrapText="1"/>
    </xf>
    <xf numFmtId="49" fontId="22" fillId="0" borderId="54" xfId="1" quotePrefix="1" applyNumberFormat="1" applyFont="1" applyFill="1" applyBorder="1" applyAlignment="1">
      <alignment horizontal="center" vertical="center" wrapText="1"/>
    </xf>
    <xf numFmtId="49" fontId="22" fillId="0" borderId="54" xfId="1" applyNumberFormat="1" applyFont="1" applyFill="1" applyBorder="1" applyAlignment="1">
      <alignment horizontal="center" vertical="center" wrapText="1"/>
    </xf>
    <xf numFmtId="49" fontId="22" fillId="0" borderId="59"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5" fillId="3" borderId="17" xfId="0" applyFont="1" applyFill="1" applyBorder="1" applyAlignment="1">
      <alignment horizontal="left" vertical="top" wrapText="1"/>
    </xf>
    <xf numFmtId="0" fontId="5" fillId="0" borderId="17" xfId="0" applyFont="1" applyBorder="1" applyAlignment="1">
      <alignment horizontal="left" vertical="top"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54" xfId="1" applyNumberFormat="1" applyFont="1" applyFill="1" applyBorder="1" applyAlignment="1">
      <alignment vertical="center" wrapText="1"/>
    </xf>
    <xf numFmtId="164" fontId="22" fillId="0" borderId="54" xfId="1" applyNumberFormat="1" applyFont="1" applyFill="1" applyBorder="1" applyAlignment="1">
      <alignment horizontal="center" vertical="center" wrapText="1"/>
    </xf>
    <xf numFmtId="0" fontId="5" fillId="0" borderId="54" xfId="0" applyFont="1" applyFill="1" applyBorder="1" applyAlignment="1">
      <alignment horizontal="center" vertical="top"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6" fillId="0" borderId="54" xfId="0" applyFont="1" applyBorder="1" applyAlignment="1">
      <alignment horizontal="center" vertical="center"/>
    </xf>
    <xf numFmtId="0" fontId="6" fillId="0" borderId="54" xfId="0" applyFont="1" applyBorder="1" applyAlignment="1">
      <alignment horizontal="left" vertical="center"/>
    </xf>
    <xf numFmtId="0" fontId="5" fillId="0" borderId="54" xfId="0" applyFont="1" applyBorder="1" applyAlignment="1">
      <alignment horizontal="center" vertical="center"/>
    </xf>
    <xf numFmtId="0" fontId="21" fillId="0" borderId="54" xfId="0" applyFont="1" applyBorder="1" applyAlignment="1">
      <alignment horizontal="justify" vertical="center" wrapText="1"/>
    </xf>
    <xf numFmtId="0" fontId="21" fillId="0" borderId="54" xfId="0" applyFont="1" applyBorder="1" applyAlignment="1">
      <alignment horizontal="center" vertical="center" wrapText="1"/>
    </xf>
    <xf numFmtId="0" fontId="8" fillId="0" borderId="54" xfId="0" applyFont="1" applyBorder="1" applyAlignment="1">
      <alignment horizontal="justify" vertical="top" wrapText="1"/>
    </xf>
    <xf numFmtId="0" fontId="7" fillId="0" borderId="54" xfId="0" applyFont="1" applyBorder="1" applyAlignment="1">
      <alignment horizontal="center" vertical="top" wrapText="1"/>
    </xf>
    <xf numFmtId="0" fontId="6" fillId="0" borderId="54" xfId="0" applyFont="1" applyFill="1" applyBorder="1" applyAlignment="1">
      <alignment horizontal="right" vertical="top" wrapText="1"/>
    </xf>
    <xf numFmtId="0" fontId="6" fillId="0" borderId="54" xfId="0" applyFont="1" applyFill="1" applyBorder="1" applyAlignment="1">
      <alignment horizontal="justify" vertical="top" wrapText="1"/>
    </xf>
    <xf numFmtId="0" fontId="6" fillId="0" borderId="54" xfId="0" applyFont="1" applyFill="1" applyBorder="1" applyAlignment="1">
      <alignment horizontal="center" vertical="center" wrapText="1"/>
    </xf>
    <xf numFmtId="0" fontId="6" fillId="0" borderId="54" xfId="0" applyFont="1" applyFill="1" applyBorder="1" applyAlignment="1">
      <alignment horizontal="center" vertical="top" wrapText="1"/>
    </xf>
    <xf numFmtId="0" fontId="8" fillId="0" borderId="54" xfId="0" applyFont="1" applyBorder="1" applyAlignment="1">
      <alignment horizontal="center" vertical="top" wrapText="1"/>
    </xf>
    <xf numFmtId="164" fontId="22" fillId="0" borderId="54" xfId="1" applyNumberFormat="1" applyFont="1" applyBorder="1" applyAlignment="1">
      <alignment horizontal="center" vertical="center" wrapText="1"/>
    </xf>
    <xf numFmtId="164" fontId="7" fillId="0" borderId="54" xfId="3" applyNumberFormat="1" applyFont="1" applyBorder="1" applyAlignment="1">
      <alignment horizontal="left" vertical="center" wrapText="1"/>
    </xf>
    <xf numFmtId="164" fontId="21" fillId="0" borderId="54" xfId="1" applyNumberFormat="1" applyFont="1" applyBorder="1" applyAlignment="1">
      <alignment horizontal="left" vertical="center" wrapText="1"/>
    </xf>
    <xf numFmtId="0" fontId="21" fillId="0" borderId="54" xfId="0" applyFont="1" applyBorder="1" applyAlignment="1">
      <alignment vertical="center" wrapText="1"/>
    </xf>
    <xf numFmtId="164" fontId="22" fillId="0" borderId="54" xfId="1" applyNumberFormat="1" applyFont="1" applyBorder="1" applyAlignment="1">
      <alignment horizontal="left" vertical="center" wrapText="1"/>
    </xf>
    <xf numFmtId="0" fontId="8" fillId="0" borderId="54" xfId="0" applyFont="1" applyBorder="1" applyAlignment="1">
      <alignment vertical="top"/>
    </xf>
    <xf numFmtId="0" fontId="6" fillId="0" borderId="54" xfId="0" applyFont="1" applyBorder="1" applyAlignment="1">
      <alignment horizontal="center" vertical="top"/>
    </xf>
    <xf numFmtId="0" fontId="26" fillId="0" borderId="0" xfId="0" applyFont="1" applyAlignment="1"/>
    <xf numFmtId="0" fontId="25" fillId="0" borderId="5" xfId="0" applyFont="1" applyBorder="1" applyAlignment="1">
      <alignment horizontal="left" vertical="center" wrapText="1"/>
    </xf>
    <xf numFmtId="41" fontId="0" fillId="0" borderId="0" xfId="2" applyFont="1" applyAlignment="1">
      <alignment vertical="center"/>
    </xf>
    <xf numFmtId="0" fontId="22" fillId="0" borderId="0" xfId="0" applyFont="1" applyAlignment="1">
      <alignment horizontal="center" vertical="center" wrapText="1"/>
    </xf>
    <xf numFmtId="3" fontId="25" fillId="0" borderId="5" xfId="0" applyNumberFormat="1" applyFont="1" applyBorder="1" applyAlignment="1">
      <alignment horizontal="center" vertical="center"/>
    </xf>
    <xf numFmtId="1" fontId="21" fillId="0" borderId="60" xfId="0" applyNumberFormat="1" applyFont="1" applyFill="1" applyBorder="1" applyAlignment="1">
      <alignment vertical="top" wrapText="1"/>
    </xf>
    <xf numFmtId="0" fontId="14" fillId="0" borderId="40" xfId="0" quotePrefix="1" applyFont="1" applyBorder="1" applyAlignment="1">
      <alignment horizontal="center" vertical="center"/>
    </xf>
    <xf numFmtId="0" fontId="30" fillId="0" borderId="35" xfId="0" applyFont="1" applyBorder="1" applyAlignment="1">
      <alignment horizontal="center" vertical="center"/>
    </xf>
    <xf numFmtId="0" fontId="22" fillId="0" borderId="0" xfId="0" applyFont="1" applyFill="1" applyAlignment="1">
      <alignment horizontal="center" wrapText="1"/>
    </xf>
    <xf numFmtId="0" fontId="22" fillId="0" borderId="0" xfId="0" applyFont="1" applyFill="1" applyAlignment="1">
      <alignment horizontal="center"/>
    </xf>
    <xf numFmtId="164" fontId="22" fillId="0" borderId="60" xfId="1" applyNumberFormat="1" applyFont="1" applyFill="1" applyBorder="1" applyAlignment="1">
      <alignment vertical="center" wrapText="1"/>
    </xf>
    <xf numFmtId="164" fontId="22" fillId="0" borderId="60" xfId="1" applyNumberFormat="1" applyFont="1" applyFill="1" applyBorder="1" applyAlignment="1">
      <alignment horizontal="center" vertical="center" wrapText="1"/>
    </xf>
    <xf numFmtId="0" fontId="22" fillId="0" borderId="60" xfId="0" applyFont="1" applyFill="1" applyBorder="1" applyAlignment="1">
      <alignment vertical="top" wrapText="1"/>
    </xf>
    <xf numFmtId="0" fontId="22" fillId="0" borderId="60" xfId="0" applyFont="1" applyFill="1" applyBorder="1" applyAlignment="1">
      <alignment horizontal="left" vertical="top" wrapText="1"/>
    </xf>
    <xf numFmtId="0" fontId="22" fillId="0" borderId="60" xfId="0" applyFont="1" applyFill="1" applyBorder="1" applyAlignment="1">
      <alignment horizontal="center" vertical="center" wrapText="1"/>
    </xf>
    <xf numFmtId="0" fontId="22" fillId="0" borderId="60" xfId="0" applyFont="1" applyFill="1" applyBorder="1" applyAlignment="1">
      <alignment horizontal="center" vertical="top" wrapText="1"/>
    </xf>
    <xf numFmtId="0" fontId="22" fillId="0" borderId="60" xfId="0" applyFont="1" applyFill="1" applyBorder="1" applyAlignment="1">
      <alignment vertical="top"/>
    </xf>
    <xf numFmtId="0" fontId="21" fillId="0" borderId="60" xfId="0" applyFont="1" applyFill="1" applyBorder="1" applyAlignment="1">
      <alignment horizontal="center" vertical="center" wrapText="1"/>
    </xf>
    <xf numFmtId="0" fontId="2" fillId="0" borderId="60" xfId="0" applyFont="1" applyFill="1" applyBorder="1" applyAlignment="1">
      <alignment vertical="top"/>
    </xf>
    <xf numFmtId="0" fontId="21" fillId="0" borderId="60" xfId="0" applyFont="1" applyFill="1" applyBorder="1" applyAlignment="1">
      <alignment horizontal="center" vertical="center"/>
    </xf>
    <xf numFmtId="0" fontId="21" fillId="0" borderId="60" xfId="0" applyFont="1" applyFill="1" applyBorder="1" applyAlignment="1">
      <alignment horizontal="center" vertical="top" wrapText="1"/>
    </xf>
    <xf numFmtId="0" fontId="21" fillId="0" borderId="60" xfId="0" applyFont="1" applyFill="1" applyBorder="1" applyAlignment="1">
      <alignment vertical="top"/>
    </xf>
    <xf numFmtId="0" fontId="5" fillId="0" borderId="60" xfId="0" applyFont="1" applyFill="1" applyBorder="1" applyAlignment="1">
      <alignment vertical="top"/>
    </xf>
    <xf numFmtId="0" fontId="5" fillId="0" borderId="60" xfId="0" applyFont="1" applyFill="1" applyBorder="1" applyAlignment="1">
      <alignment horizontal="center" vertical="top"/>
    </xf>
    <xf numFmtId="0" fontId="5" fillId="0" borderId="60" xfId="0" applyFont="1" applyBorder="1" applyAlignment="1">
      <alignment horizontal="center" vertical="top"/>
    </xf>
    <xf numFmtId="1" fontId="22" fillId="0" borderId="60" xfId="0" applyNumberFormat="1" applyFont="1" applyFill="1" applyBorder="1" applyAlignment="1">
      <alignment vertical="top" wrapText="1"/>
    </xf>
    <xf numFmtId="0" fontId="32" fillId="0" borderId="60" xfId="0" applyFont="1" applyFill="1" applyBorder="1" applyAlignment="1">
      <alignment horizontal="center" vertical="center" wrapText="1"/>
    </xf>
    <xf numFmtId="0" fontId="21" fillId="0" borderId="60" xfId="0" applyFont="1" applyFill="1" applyBorder="1" applyAlignment="1">
      <alignment horizontal="left" vertical="top" wrapText="1"/>
    </xf>
    <xf numFmtId="0" fontId="34" fillId="0" borderId="60" xfId="0" applyFont="1" applyBorder="1" applyAlignment="1">
      <alignment horizontal="center" vertical="center" wrapText="1"/>
    </xf>
    <xf numFmtId="0" fontId="22" fillId="5" borderId="60" xfId="0" applyFont="1" applyFill="1" applyBorder="1" applyAlignment="1">
      <alignment horizontal="center" vertical="center" wrapText="1"/>
    </xf>
    <xf numFmtId="0" fontId="21" fillId="5" borderId="60" xfId="0" applyFont="1" applyFill="1" applyBorder="1" applyAlignment="1">
      <alignment horizontal="center" vertical="top" wrapText="1"/>
    </xf>
    <xf numFmtId="0" fontId="22" fillId="0" borderId="60" xfId="0" applyFont="1" applyBorder="1" applyAlignment="1">
      <alignment vertical="center"/>
    </xf>
    <xf numFmtId="166" fontId="22" fillId="5" borderId="60" xfId="0" applyNumberFormat="1" applyFont="1" applyFill="1" applyBorder="1" applyAlignment="1">
      <alignment horizontal="center" vertical="top" wrapText="1"/>
    </xf>
    <xf numFmtId="0" fontId="22" fillId="5" borderId="60" xfId="0" applyFont="1" applyFill="1" applyBorder="1" applyAlignment="1">
      <alignment horizontal="center" vertical="top" wrapText="1"/>
    </xf>
    <xf numFmtId="0" fontId="21" fillId="5" borderId="60" xfId="0" applyFont="1" applyFill="1" applyBorder="1" applyAlignment="1">
      <alignment vertical="top"/>
    </xf>
    <xf numFmtId="164" fontId="36" fillId="0" borderId="60" xfId="0" applyNumberFormat="1" applyFont="1" applyBorder="1" applyAlignment="1">
      <alignment vertical="center" wrapText="1"/>
    </xf>
    <xf numFmtId="0" fontId="36" fillId="0" borderId="60" xfId="0" applyFont="1" applyBorder="1" applyAlignment="1">
      <alignment vertical="top" wrapText="1"/>
    </xf>
    <xf numFmtId="0" fontId="36" fillId="0" borderId="60" xfId="0" applyFont="1" applyBorder="1" applyAlignment="1">
      <alignment horizontal="left" vertical="top" wrapText="1"/>
    </xf>
    <xf numFmtId="0" fontId="5" fillId="0" borderId="60" xfId="0" applyFont="1" applyFill="1" applyBorder="1" applyAlignment="1">
      <alignment horizontal="center" vertical="center"/>
    </xf>
    <xf numFmtId="0" fontId="5" fillId="0" borderId="60" xfId="0" applyFont="1" applyFill="1" applyBorder="1" applyAlignment="1">
      <alignment horizontal="center" vertical="top" wrapText="1"/>
    </xf>
    <xf numFmtId="0" fontId="5" fillId="0" borderId="60" xfId="0" applyFont="1" applyFill="1" applyBorder="1" applyAlignment="1">
      <alignment horizontal="center" vertical="center" wrapText="1"/>
    </xf>
    <xf numFmtId="166" fontId="5" fillId="0" borderId="60" xfId="0" applyNumberFormat="1" applyFont="1" applyBorder="1" applyAlignment="1">
      <alignment vertical="top" wrapText="1"/>
    </xf>
    <xf numFmtId="0" fontId="5" fillId="0" borderId="60" xfId="0" applyFont="1" applyBorder="1" applyAlignment="1">
      <alignment horizontal="center" vertical="center" wrapText="1"/>
    </xf>
    <xf numFmtId="166" fontId="5" fillId="0" borderId="60" xfId="0" applyNumberFormat="1" applyFont="1" applyBorder="1" applyAlignment="1">
      <alignment horizontal="left" vertical="top" wrapText="1"/>
    </xf>
    <xf numFmtId="1" fontId="5" fillId="0" borderId="60" xfId="0" applyNumberFormat="1" applyFont="1" applyBorder="1" applyAlignment="1">
      <alignment vertical="top" wrapText="1"/>
    </xf>
    <xf numFmtId="0" fontId="34" fillId="0" borderId="60" xfId="0" applyFont="1" applyBorder="1" applyAlignment="1">
      <alignment horizontal="center" vertical="top" wrapText="1"/>
    </xf>
    <xf numFmtId="0" fontId="36" fillId="0" borderId="60" xfId="0" applyFont="1" applyBorder="1" applyAlignment="1">
      <alignment horizontal="center" vertical="center" wrapText="1"/>
    </xf>
    <xf numFmtId="0" fontId="5" fillId="0" borderId="60" xfId="0" applyFont="1" applyBorder="1" applyAlignment="1">
      <alignment horizontal="left" vertical="top" wrapText="1"/>
    </xf>
    <xf numFmtId="166" fontId="5" fillId="0" borderId="60" xfId="0" applyNumberFormat="1" applyFont="1" applyBorder="1" applyAlignment="1">
      <alignment horizontal="center" vertical="top" wrapText="1"/>
    </xf>
    <xf numFmtId="0" fontId="6" fillId="0" borderId="60" xfId="0" applyFont="1" applyBorder="1" applyAlignment="1">
      <alignment horizontal="center" vertical="center" wrapText="1"/>
    </xf>
    <xf numFmtId="1" fontId="32" fillId="5" borderId="60" xfId="0" applyNumberFormat="1" applyFont="1" applyFill="1" applyBorder="1" applyAlignment="1">
      <alignment vertical="top" wrapText="1"/>
    </xf>
    <xf numFmtId="166" fontId="6" fillId="5" borderId="60" xfId="0" applyNumberFormat="1" applyFont="1" applyFill="1" applyBorder="1" applyAlignment="1">
      <alignment horizontal="center" vertical="top" wrapText="1"/>
    </xf>
    <xf numFmtId="0" fontId="6" fillId="5" borderId="60" xfId="0" applyFont="1" applyFill="1" applyBorder="1" applyAlignment="1">
      <alignment horizontal="center" vertical="center" wrapText="1"/>
    </xf>
    <xf numFmtId="1" fontId="32" fillId="0" borderId="60" xfId="0" applyNumberFormat="1" applyFont="1" applyBorder="1" applyAlignment="1">
      <alignment vertical="top" wrapText="1"/>
    </xf>
    <xf numFmtId="166" fontId="32" fillId="0" borderId="60" xfId="0" applyNumberFormat="1" applyFont="1" applyBorder="1" applyAlignment="1">
      <alignment vertical="top" wrapText="1"/>
    </xf>
    <xf numFmtId="0" fontId="32" fillId="0" borderId="60" xfId="0" applyFont="1" applyBorder="1" applyAlignment="1">
      <alignment horizontal="center" vertical="center" wrapText="1"/>
    </xf>
    <xf numFmtId="0" fontId="32" fillId="0" borderId="60" xfId="0" applyFont="1" applyBorder="1" applyAlignment="1">
      <alignment horizontal="center" vertical="top" wrapText="1"/>
    </xf>
    <xf numFmtId="164" fontId="22" fillId="0" borderId="60" xfId="3" applyNumberFormat="1" applyFont="1" applyFill="1" applyBorder="1" applyAlignment="1">
      <alignment vertical="center" wrapText="1"/>
    </xf>
    <xf numFmtId="164" fontId="8" fillId="0" borderId="60" xfId="3" applyNumberFormat="1" applyFont="1" applyFill="1" applyBorder="1" applyAlignment="1">
      <alignment horizontal="center" vertical="center" wrapText="1"/>
    </xf>
    <xf numFmtId="164" fontId="8" fillId="0" borderId="60" xfId="3" applyNumberFormat="1" applyFont="1" applyFill="1" applyBorder="1" applyAlignment="1">
      <alignment vertical="center" wrapText="1"/>
    </xf>
    <xf numFmtId="0" fontId="8" fillId="0" borderId="60" xfId="0" applyFont="1" applyFill="1" applyBorder="1" applyAlignment="1">
      <alignment vertical="top" wrapText="1"/>
    </xf>
    <xf numFmtId="0" fontId="8" fillId="0" borderId="60" xfId="0" applyFont="1" applyFill="1" applyBorder="1" applyAlignment="1">
      <alignment horizontal="left" vertical="top" wrapText="1"/>
    </xf>
    <xf numFmtId="0" fontId="8" fillId="0" borderId="60" xfId="0" applyFont="1" applyFill="1" applyBorder="1" applyAlignment="1">
      <alignment horizontal="center" vertical="center" wrapText="1"/>
    </xf>
    <xf numFmtId="0" fontId="7" fillId="0" borderId="60" xfId="0" applyFont="1" applyFill="1" applyBorder="1" applyAlignment="1">
      <alignment horizontal="right" vertical="center"/>
    </xf>
    <xf numFmtId="0" fontId="7" fillId="0" borderId="60" xfId="0" applyFont="1" applyFill="1" applyBorder="1" applyAlignment="1">
      <alignment vertical="center" wrapText="1"/>
    </xf>
    <xf numFmtId="0" fontId="7" fillId="0" borderId="60" xfId="0" applyFont="1" applyFill="1" applyBorder="1" applyAlignment="1">
      <alignment horizontal="right" vertical="center" wrapText="1"/>
    </xf>
    <xf numFmtId="0" fontId="7" fillId="0" borderId="60" xfId="0" applyFont="1" applyFill="1" applyBorder="1" applyAlignment="1">
      <alignment horizontal="center" vertical="center" wrapText="1"/>
    </xf>
    <xf numFmtId="0" fontId="7" fillId="0" borderId="60" xfId="0" applyFont="1" applyFill="1" applyBorder="1" applyAlignment="1">
      <alignment horizontal="center" vertical="top" wrapText="1"/>
    </xf>
    <xf numFmtId="0" fontId="7" fillId="0" borderId="60" xfId="0" applyFont="1" applyFill="1" applyBorder="1" applyAlignment="1">
      <alignment vertical="top"/>
    </xf>
    <xf numFmtId="0" fontId="8" fillId="0" borderId="60" xfId="0" applyFont="1" applyFill="1" applyBorder="1" applyAlignment="1">
      <alignment horizontal="center" vertical="top" wrapText="1"/>
    </xf>
    <xf numFmtId="0" fontId="7" fillId="0" borderId="60" xfId="0" applyFont="1" applyFill="1" applyBorder="1" applyAlignment="1">
      <alignment horizontal="center" vertical="center"/>
    </xf>
    <xf numFmtId="0" fontId="2" fillId="0" borderId="60" xfId="0" applyFont="1" applyFill="1" applyBorder="1" applyAlignment="1">
      <alignment horizontal="center" vertical="top"/>
    </xf>
    <xf numFmtId="0" fontId="6" fillId="5" borderId="60" xfId="0" applyFont="1" applyFill="1" applyBorder="1" applyAlignment="1">
      <alignment horizontal="center" vertical="top" wrapText="1"/>
    </xf>
    <xf numFmtId="0" fontId="21" fillId="0" borderId="60" xfId="0" applyFont="1" applyFill="1" applyBorder="1" applyAlignment="1">
      <alignment horizontal="justify" vertical="center" wrapText="1"/>
    </xf>
    <xf numFmtId="0" fontId="21" fillId="0" borderId="60" xfId="0" applyFont="1" applyFill="1" applyBorder="1" applyAlignment="1">
      <alignment horizontal="center"/>
    </xf>
    <xf numFmtId="0" fontId="21" fillId="0" borderId="60" xfId="0" applyFont="1" applyFill="1" applyBorder="1" applyAlignment="1">
      <alignment wrapText="1"/>
    </xf>
    <xf numFmtId="0" fontId="22" fillId="0" borderId="60" xfId="0" applyFont="1" applyFill="1" applyBorder="1" applyAlignment="1">
      <alignment wrapText="1"/>
    </xf>
    <xf numFmtId="0" fontId="7" fillId="0" borderId="60" xfId="0" applyFont="1" applyFill="1" applyBorder="1" applyAlignment="1">
      <alignment wrapText="1"/>
    </xf>
    <xf numFmtId="165" fontId="21" fillId="0" borderId="60" xfId="0" applyNumberFormat="1" applyFont="1" applyFill="1" applyBorder="1" applyAlignment="1">
      <alignment wrapText="1"/>
    </xf>
    <xf numFmtId="0" fontId="21" fillId="0" borderId="60" xfId="0" quotePrefix="1" applyFont="1" applyFill="1" applyBorder="1" applyAlignment="1"/>
    <xf numFmtId="0" fontId="21" fillId="0" borderId="60" xfId="0" quotePrefix="1" applyFont="1" applyFill="1" applyBorder="1" applyAlignment="1">
      <alignment horizontal="left"/>
    </xf>
    <xf numFmtId="166" fontId="22" fillId="0" borderId="60" xfId="0" applyNumberFormat="1" applyFont="1" applyFill="1" applyBorder="1" applyAlignment="1">
      <alignment horizontal="center" vertical="center" wrapText="1"/>
    </xf>
    <xf numFmtId="0" fontId="22" fillId="0" borderId="60" xfId="0" applyFont="1" applyFill="1" applyBorder="1" applyAlignment="1">
      <alignment horizontal="justify" vertical="center" wrapText="1"/>
    </xf>
    <xf numFmtId="0" fontId="22" fillId="5" borderId="60" xfId="0" applyFont="1" applyFill="1" applyBorder="1" applyAlignment="1">
      <alignment horizontal="justify" vertical="center" wrapText="1"/>
    </xf>
    <xf numFmtId="166" fontId="22" fillId="5" borderId="60" xfId="0" applyNumberFormat="1" applyFont="1" applyFill="1" applyBorder="1" applyAlignment="1">
      <alignment horizontal="justify" vertical="center" wrapText="1"/>
    </xf>
    <xf numFmtId="164" fontId="21" fillId="0" borderId="54" xfId="1" applyNumberFormat="1" applyFont="1" applyFill="1" applyBorder="1" applyAlignment="1">
      <alignment horizontal="center" vertical="center" wrapText="1"/>
    </xf>
    <xf numFmtId="164" fontId="21" fillId="0" borderId="60" xfId="1" applyNumberFormat="1" applyFont="1" applyFill="1" applyBorder="1" applyAlignment="1">
      <alignment horizontal="center" vertical="center" wrapText="1"/>
    </xf>
    <xf numFmtId="0" fontId="21"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164" fontId="7" fillId="0" borderId="60" xfId="3" applyNumberFormat="1" applyFont="1" applyFill="1" applyBorder="1" applyAlignment="1">
      <alignment horizontal="center" vertical="center" wrapText="1"/>
    </xf>
    <xf numFmtId="0" fontId="40" fillId="0" borderId="0" xfId="0" applyFont="1" applyFill="1" applyAlignment="1">
      <alignment horizontal="center" wrapText="1"/>
    </xf>
    <xf numFmtId="0" fontId="22" fillId="0" borderId="0" xfId="0" applyFont="1" applyFill="1" applyAlignment="1">
      <alignment horizontal="right" wrapText="1"/>
    </xf>
    <xf numFmtId="49" fontId="40" fillId="0" borderId="0" xfId="0" applyNumberFormat="1" applyFont="1" applyFill="1" applyAlignment="1">
      <alignment horizontal="center"/>
    </xf>
    <xf numFmtId="0" fontId="40" fillId="0" borderId="60" xfId="0" applyFont="1" applyFill="1" applyBorder="1" applyAlignment="1">
      <alignment horizontal="center" vertical="top"/>
    </xf>
    <xf numFmtId="164" fontId="43" fillId="0" borderId="60" xfId="3" applyNumberFormat="1" applyFont="1" applyFill="1" applyBorder="1" applyAlignment="1">
      <alignment vertical="center" wrapText="1"/>
    </xf>
    <xf numFmtId="0" fontId="40" fillId="0" borderId="0" xfId="0" applyFont="1" applyFill="1" applyAlignment="1">
      <alignment vertical="top"/>
    </xf>
    <xf numFmtId="0" fontId="40" fillId="0" borderId="60" xfId="0" applyFont="1" applyFill="1" applyBorder="1"/>
    <xf numFmtId="0" fontId="40" fillId="0" borderId="60" xfId="0" applyFont="1" applyFill="1" applyBorder="1" applyAlignment="1">
      <alignment horizontal="center" wrapText="1"/>
    </xf>
    <xf numFmtId="0" fontId="40" fillId="0" borderId="0" xfId="0" applyFont="1" applyFill="1" applyAlignment="1">
      <alignment horizontal="center"/>
    </xf>
    <xf numFmtId="0" fontId="40" fillId="0" borderId="0" xfId="0" applyFont="1" applyFill="1" applyAlignment="1">
      <alignment wrapText="1"/>
    </xf>
    <xf numFmtId="0" fontId="42" fillId="0" borderId="0" xfId="0" applyFont="1" applyBorder="1" applyAlignment="1">
      <alignment vertical="center"/>
    </xf>
    <xf numFmtId="0" fontId="5" fillId="0" borderId="74" xfId="0" applyFont="1" applyBorder="1" applyAlignment="1">
      <alignment vertical="top" wrapText="1"/>
    </xf>
    <xf numFmtId="0" fontId="5" fillId="0" borderId="74" xfId="0" applyFont="1" applyBorder="1" applyAlignment="1">
      <alignment horizontal="center" vertical="center" wrapText="1"/>
    </xf>
    <xf numFmtId="0" fontId="35" fillId="0" borderId="0" xfId="0" applyFont="1" applyBorder="1" applyAlignment="1">
      <alignment vertical="center"/>
    </xf>
    <xf numFmtId="0" fontId="5" fillId="0" borderId="0" xfId="0" applyFont="1" applyBorder="1" applyAlignment="1">
      <alignment horizontal="center" vertical="center"/>
    </xf>
    <xf numFmtId="0" fontId="24" fillId="0" borderId="74" xfId="0" applyFont="1" applyBorder="1" applyAlignment="1">
      <alignment horizontal="center" vertical="center"/>
    </xf>
    <xf numFmtId="0" fontId="24" fillId="0" borderId="74" xfId="0" applyFont="1" applyBorder="1" applyAlignment="1">
      <alignment horizontal="center" vertical="center" wrapText="1"/>
    </xf>
    <xf numFmtId="0" fontId="25" fillId="0" borderId="7" xfId="0" quotePrefix="1" applyFont="1" applyBorder="1" applyAlignment="1">
      <alignment horizontal="center" vertical="center"/>
    </xf>
    <xf numFmtId="0" fontId="24" fillId="0" borderId="7" xfId="0" applyFont="1" applyBorder="1" applyAlignment="1">
      <alignment vertical="center"/>
    </xf>
    <xf numFmtId="0" fontId="25" fillId="0" borderId="7" xfId="0" applyFont="1" applyBorder="1" applyAlignment="1">
      <alignment vertical="center"/>
    </xf>
    <xf numFmtId="0" fontId="24" fillId="0" borderId="9" xfId="0" applyFont="1" applyBorder="1" applyAlignment="1">
      <alignment horizontal="left" vertical="center" wrapText="1"/>
    </xf>
    <xf numFmtId="41" fontId="24" fillId="0" borderId="74" xfId="2" applyFont="1" applyBorder="1" applyAlignment="1">
      <alignment horizontal="center" vertical="center" wrapText="1"/>
    </xf>
    <xf numFmtId="0" fontId="25" fillId="0" borderId="64" xfId="0" applyFont="1" applyBorder="1" applyAlignment="1">
      <alignment vertical="center" wrapText="1"/>
    </xf>
    <xf numFmtId="0" fontId="11" fillId="0" borderId="60" xfId="0" applyFont="1" applyBorder="1" applyAlignment="1">
      <alignment vertical="center"/>
    </xf>
    <xf numFmtId="0" fontId="25" fillId="0" borderId="7" xfId="0" applyFont="1" applyBorder="1" applyAlignment="1">
      <alignment horizontal="center" vertical="center"/>
    </xf>
    <xf numFmtId="164" fontId="24" fillId="0" borderId="7" xfId="1" applyNumberFormat="1" applyFont="1" applyBorder="1" applyAlignment="1">
      <alignment vertical="center"/>
    </xf>
    <xf numFmtId="0" fontId="21" fillId="0" borderId="60" xfId="0" applyFont="1" applyFill="1" applyBorder="1" applyAlignment="1">
      <alignment horizontal="center" vertical="center" wrapText="1"/>
    </xf>
    <xf numFmtId="0" fontId="8" fillId="0" borderId="17" xfId="0" applyFont="1" applyBorder="1" applyAlignment="1">
      <alignment horizontal="center" vertical="top" wrapText="1"/>
    </xf>
    <xf numFmtId="0" fontId="6" fillId="0" borderId="17" xfId="0" applyFont="1" applyBorder="1" applyAlignment="1">
      <alignment horizontal="center" vertical="top"/>
    </xf>
    <xf numFmtId="0" fontId="25" fillId="0" borderId="4" xfId="0" applyFont="1" applyFill="1" applyBorder="1" applyAlignment="1">
      <alignment horizontal="center" vertical="center" wrapText="1"/>
    </xf>
    <xf numFmtId="0" fontId="25" fillId="0" borderId="4" xfId="0" applyFont="1" applyFill="1" applyBorder="1" applyAlignment="1">
      <alignment horizontal="center" vertical="center"/>
    </xf>
    <xf numFmtId="0" fontId="25" fillId="0" borderId="0" xfId="0" applyFont="1" applyFill="1" applyBorder="1" applyAlignment="1">
      <alignment vertical="center"/>
    </xf>
    <xf numFmtId="0" fontId="22" fillId="0" borderId="0" xfId="0" applyFont="1" applyFill="1" applyAlignment="1">
      <alignment horizont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xf>
    <xf numFmtId="166" fontId="32" fillId="0" borderId="74" xfId="0" applyNumberFormat="1" applyFont="1" applyFill="1" applyBorder="1" applyAlignment="1">
      <alignment vertical="top" wrapText="1"/>
    </xf>
    <xf numFmtId="0" fontId="32" fillId="0" borderId="74" xfId="0" applyFont="1" applyFill="1" applyBorder="1" applyAlignment="1">
      <alignment horizontal="left" vertical="top" wrapText="1"/>
    </xf>
    <xf numFmtId="0" fontId="32" fillId="0" borderId="74" xfId="0" applyFont="1" applyFill="1" applyBorder="1" applyAlignment="1">
      <alignment horizontal="center" vertical="center"/>
    </xf>
    <xf numFmtId="0" fontId="32" fillId="0" borderId="74" xfId="0" applyFont="1" applyFill="1" applyBorder="1" applyAlignment="1">
      <alignment horizontal="center" vertical="center" wrapText="1"/>
    </xf>
    <xf numFmtId="166" fontId="32" fillId="0" borderId="74" xfId="0" applyNumberFormat="1" applyFont="1" applyFill="1" applyBorder="1" applyAlignment="1">
      <alignment horizontal="left" vertical="top" wrapText="1"/>
    </xf>
    <xf numFmtId="1" fontId="32" fillId="0" borderId="74" xfId="0" applyNumberFormat="1" applyFont="1" applyBorder="1" applyAlignment="1">
      <alignment vertical="top" wrapText="1"/>
    </xf>
    <xf numFmtId="166" fontId="32" fillId="0" borderId="74" xfId="0" applyNumberFormat="1" applyFont="1" applyBorder="1" applyAlignment="1">
      <alignment vertical="top" wrapText="1"/>
    </xf>
    <xf numFmtId="0" fontId="32" fillId="0" borderId="74" xfId="0" applyFont="1" applyBorder="1" applyAlignment="1">
      <alignment horizontal="center" vertical="center" wrapText="1"/>
    </xf>
    <xf numFmtId="164" fontId="43" fillId="0" borderId="74" xfId="0" applyNumberFormat="1" applyFont="1" applyBorder="1" applyAlignment="1">
      <alignment vertical="center" wrapText="1"/>
    </xf>
    <xf numFmtId="0" fontId="43" fillId="0" borderId="74" xfId="0" applyFont="1" applyBorder="1" applyAlignment="1">
      <alignment vertical="top" wrapText="1"/>
    </xf>
    <xf numFmtId="0" fontId="43" fillId="0" borderId="74" xfId="0" applyFont="1" applyBorder="1" applyAlignment="1">
      <alignment horizontal="left" vertical="top" wrapText="1"/>
    </xf>
    <xf numFmtId="0" fontId="32" fillId="0" borderId="74" xfId="0" applyFont="1" applyBorder="1" applyAlignment="1">
      <alignment vertical="top" wrapText="1"/>
    </xf>
    <xf numFmtId="166" fontId="32" fillId="0" borderId="74" xfId="0" applyNumberFormat="1" applyFont="1" applyBorder="1" applyAlignment="1">
      <alignment horizontal="left" vertical="top" wrapText="1"/>
    </xf>
    <xf numFmtId="1" fontId="43" fillId="0" borderId="74" xfId="0" applyNumberFormat="1" applyFont="1" applyBorder="1" applyAlignment="1">
      <alignment vertical="top" wrapText="1"/>
    </xf>
    <xf numFmtId="166" fontId="43" fillId="0" borderId="74" xfId="0" applyNumberFormat="1" applyFont="1" applyBorder="1" applyAlignment="1">
      <alignment vertical="top" wrapText="1"/>
    </xf>
    <xf numFmtId="166" fontId="43" fillId="0" borderId="74" xfId="0" applyNumberFormat="1" applyFont="1" applyBorder="1" applyAlignment="1">
      <alignment horizontal="center" vertical="top" wrapText="1"/>
    </xf>
    <xf numFmtId="0" fontId="32" fillId="0" borderId="74" xfId="0" applyFont="1" applyBorder="1" applyAlignment="1">
      <alignment horizontal="left" vertical="top" wrapText="1"/>
    </xf>
    <xf numFmtId="164" fontId="43" fillId="0" borderId="74" xfId="1" applyNumberFormat="1" applyFont="1" applyFill="1" applyBorder="1" applyAlignment="1">
      <alignment horizontal="center" vertical="center" wrapText="1"/>
    </xf>
    <xf numFmtId="0" fontId="5" fillId="0" borderId="49" xfId="0" applyFont="1" applyBorder="1" applyAlignment="1">
      <alignment horizontal="justify" vertical="center" wrapText="1"/>
    </xf>
    <xf numFmtId="0" fontId="43" fillId="0" borderId="74" xfId="0" applyFont="1" applyBorder="1" applyAlignment="1">
      <alignment horizontal="center" vertical="center" wrapText="1"/>
    </xf>
    <xf numFmtId="0" fontId="32" fillId="0" borderId="74" xfId="0" applyFont="1" applyFill="1" applyBorder="1" applyAlignment="1">
      <alignment vertical="top" wrapText="1"/>
    </xf>
    <xf numFmtId="0" fontId="22" fillId="5" borderId="74"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21" fillId="5" borderId="74" xfId="0" applyFont="1" applyFill="1" applyBorder="1" applyAlignment="1">
      <alignment horizontal="center" vertical="top" wrapText="1"/>
    </xf>
    <xf numFmtId="0" fontId="22" fillId="0" borderId="74" xfId="0" applyFont="1" applyBorder="1" applyAlignment="1">
      <alignment vertical="center"/>
    </xf>
    <xf numFmtId="166" fontId="22" fillId="5" borderId="74" xfId="0" applyNumberFormat="1" applyFont="1" applyFill="1" applyBorder="1" applyAlignment="1">
      <alignment horizontal="center" vertical="top" wrapText="1"/>
    </xf>
    <xf numFmtId="0" fontId="22" fillId="5" borderId="74" xfId="0" applyFont="1" applyFill="1" applyBorder="1" applyAlignment="1">
      <alignment horizontal="center" vertical="top" wrapText="1"/>
    </xf>
    <xf numFmtId="0" fontId="21" fillId="5" borderId="74" xfId="0" applyFont="1" applyFill="1" applyBorder="1" applyAlignment="1">
      <alignment vertical="top"/>
    </xf>
    <xf numFmtId="0" fontId="32" fillId="0" borderId="74" xfId="0" applyFont="1" applyFill="1" applyBorder="1" applyAlignment="1">
      <alignment vertical="center" wrapText="1"/>
    </xf>
    <xf numFmtId="0" fontId="32" fillId="0" borderId="74" xfId="0" applyNumberFormat="1" applyFont="1" applyFill="1" applyBorder="1" applyAlignment="1">
      <alignment horizontal="center" vertical="center"/>
    </xf>
    <xf numFmtId="0" fontId="31" fillId="0" borderId="9" xfId="0" applyNumberFormat="1" applyFont="1" applyFill="1" applyBorder="1" applyAlignment="1" applyProtection="1">
      <alignment wrapText="1"/>
    </xf>
    <xf numFmtId="0" fontId="31" fillId="4" borderId="9" xfId="0" applyNumberFormat="1" applyFont="1" applyFill="1" applyBorder="1" applyAlignment="1" applyProtection="1">
      <alignment wrapText="1"/>
    </xf>
    <xf numFmtId="0" fontId="32" fillId="0" borderId="74" xfId="0" applyFont="1" applyFill="1" applyBorder="1" applyAlignment="1">
      <alignment vertical="top"/>
    </xf>
    <xf numFmtId="0" fontId="45" fillId="0" borderId="74" xfId="0" applyFont="1" applyFill="1" applyBorder="1" applyAlignment="1">
      <alignment horizontal="center" vertical="top"/>
    </xf>
    <xf numFmtId="0" fontId="32" fillId="0" borderId="74" xfId="0" applyFont="1" applyFill="1" applyBorder="1" applyAlignment="1">
      <alignment horizontal="center" vertical="top"/>
    </xf>
    <xf numFmtId="0" fontId="32" fillId="4" borderId="74" xfId="0" applyFont="1" applyFill="1" applyBorder="1" applyAlignment="1">
      <alignment vertical="center" wrapText="1"/>
    </xf>
    <xf numFmtId="0" fontId="32" fillId="0" borderId="74" xfId="4" applyFont="1" applyFill="1" applyBorder="1" applyAlignment="1">
      <alignment horizontal="left" vertical="justify"/>
    </xf>
    <xf numFmtId="0" fontId="46" fillId="0" borderId="74" xfId="4" applyFont="1" applyFill="1" applyBorder="1" applyAlignment="1">
      <alignment horizontal="center" vertical="center" wrapText="1"/>
    </xf>
    <xf numFmtId="0" fontId="32" fillId="0" borderId="74" xfId="4" applyFont="1" applyFill="1" applyBorder="1" applyAlignment="1">
      <alignment vertical="center" wrapText="1"/>
    </xf>
    <xf numFmtId="0" fontId="32" fillId="0" borderId="74" xfId="4" applyNumberFormat="1" applyFont="1" applyFill="1" applyBorder="1" applyAlignment="1">
      <alignment horizontal="left" wrapText="1"/>
    </xf>
    <xf numFmtId="0" fontId="32" fillId="0" borderId="74" xfId="4" applyFont="1" applyFill="1" applyBorder="1" applyAlignment="1">
      <alignment horizontal="left" vertical="center" wrapText="1"/>
    </xf>
    <xf numFmtId="0" fontId="32" fillId="0" borderId="74" xfId="0" applyFont="1" applyBorder="1" applyAlignment="1">
      <alignment horizontal="left" vertical="top"/>
    </xf>
    <xf numFmtId="0" fontId="32" fillId="0" borderId="74" xfId="0" applyFont="1" applyBorder="1" applyAlignment="1">
      <alignment horizontal="center" vertical="top"/>
    </xf>
    <xf numFmtId="1" fontId="43" fillId="0" borderId="74" xfId="0" applyNumberFormat="1" applyFont="1" applyFill="1" applyBorder="1" applyAlignment="1">
      <alignment vertical="top" wrapText="1"/>
    </xf>
    <xf numFmtId="166" fontId="43" fillId="0" borderId="74" xfId="0" applyNumberFormat="1" applyFont="1" applyFill="1" applyBorder="1" applyAlignment="1">
      <alignment vertical="top" wrapText="1"/>
    </xf>
    <xf numFmtId="1" fontId="32" fillId="0" borderId="74" xfId="0" applyNumberFormat="1" applyFont="1" applyFill="1" applyBorder="1" applyAlignment="1">
      <alignment vertical="top" wrapText="1"/>
    </xf>
    <xf numFmtId="166" fontId="43" fillId="0" borderId="74" xfId="0" applyNumberFormat="1" applyFont="1" applyFill="1" applyBorder="1" applyAlignment="1">
      <alignment horizontal="center" vertical="top" wrapText="1"/>
    </xf>
    <xf numFmtId="0" fontId="43" fillId="0" borderId="74" xfId="0" applyFont="1" applyFill="1" applyBorder="1" applyAlignment="1">
      <alignment horizontal="center" vertical="center" wrapText="1"/>
    </xf>
    <xf numFmtId="164" fontId="43" fillId="0" borderId="74" xfId="1" applyNumberFormat="1" applyFont="1" applyFill="1" applyBorder="1" applyAlignment="1">
      <alignment vertical="center" wrapText="1"/>
    </xf>
    <xf numFmtId="0" fontId="43" fillId="0" borderId="74" xfId="0" applyFont="1" applyFill="1" applyBorder="1" applyAlignment="1">
      <alignment vertical="top" wrapText="1"/>
    </xf>
    <xf numFmtId="0" fontId="43" fillId="0" borderId="74" xfId="0" applyFont="1" applyFill="1" applyBorder="1" applyAlignment="1">
      <alignment horizontal="left" vertical="top" wrapText="1"/>
    </xf>
    <xf numFmtId="0" fontId="44" fillId="0" borderId="74" xfId="0" applyFont="1" applyFill="1" applyBorder="1" applyAlignment="1">
      <alignment vertical="top"/>
    </xf>
    <xf numFmtId="164" fontId="43" fillId="5" borderId="74" xfId="1" applyNumberFormat="1" applyFont="1" applyFill="1" applyBorder="1" applyAlignment="1">
      <alignment vertical="center" wrapText="1"/>
    </xf>
    <xf numFmtId="0" fontId="43" fillId="5" borderId="74" xfId="0" applyFont="1" applyFill="1" applyBorder="1" applyAlignment="1">
      <alignment horizontal="center" vertical="center" wrapText="1"/>
    </xf>
    <xf numFmtId="0" fontId="32" fillId="0" borderId="74" xfId="0" applyFont="1" applyFill="1" applyBorder="1" applyAlignment="1">
      <alignment horizontal="center" vertical="top" wrapText="1"/>
    </xf>
    <xf numFmtId="0" fontId="32" fillId="2" borderId="74" xfId="0" applyFont="1" applyFill="1" applyBorder="1" applyAlignment="1">
      <alignment horizontal="left" vertical="top"/>
    </xf>
    <xf numFmtId="0" fontId="45" fillId="0" borderId="74" xfId="0" applyFont="1" applyFill="1" applyBorder="1" applyAlignment="1">
      <alignment horizontal="center" vertical="center"/>
    </xf>
    <xf numFmtId="0" fontId="32" fillId="0" borderId="74" xfId="0" applyFont="1" applyBorder="1" applyAlignment="1">
      <alignment vertical="top"/>
    </xf>
    <xf numFmtId="0" fontId="43" fillId="0" borderId="74" xfId="0" applyFont="1" applyFill="1" applyBorder="1" applyAlignment="1">
      <alignment horizontal="center" vertical="top"/>
    </xf>
    <xf numFmtId="1" fontId="32" fillId="5" borderId="74" xfId="0" applyNumberFormat="1" applyFont="1" applyFill="1" applyBorder="1" applyAlignment="1">
      <alignment vertical="top" wrapText="1"/>
    </xf>
    <xf numFmtId="166" fontId="32" fillId="5" borderId="74" xfId="0" applyNumberFormat="1" applyFont="1" applyFill="1" applyBorder="1" applyAlignment="1">
      <alignment vertical="top" wrapText="1"/>
    </xf>
    <xf numFmtId="0" fontId="32" fillId="5" borderId="74" xfId="0" applyFont="1" applyFill="1" applyBorder="1" applyAlignment="1">
      <alignment horizontal="center" vertical="center" wrapText="1"/>
    </xf>
    <xf numFmtId="1" fontId="32" fillId="0" borderId="74" xfId="0" applyNumberFormat="1" applyFont="1" applyFill="1" applyBorder="1" applyAlignment="1">
      <alignment horizontal="center" vertical="top" wrapText="1"/>
    </xf>
    <xf numFmtId="166" fontId="32" fillId="6" borderId="74" xfId="0" applyNumberFormat="1" applyFont="1" applyFill="1" applyBorder="1" applyAlignment="1">
      <alignment horizontal="left" vertical="top" wrapText="1"/>
    </xf>
    <xf numFmtId="166" fontId="43" fillId="5" borderId="74" xfId="0" applyNumberFormat="1" applyFont="1" applyFill="1" applyBorder="1" applyAlignment="1">
      <alignment horizontal="center" vertical="top" wrapText="1"/>
    </xf>
    <xf numFmtId="1" fontId="32" fillId="4" borderId="74" xfId="0" applyNumberFormat="1" applyFont="1" applyFill="1" applyBorder="1" applyAlignment="1">
      <alignment vertical="top" wrapText="1"/>
    </xf>
    <xf numFmtId="0" fontId="32" fillId="4" borderId="74" xfId="0" applyFont="1" applyFill="1" applyBorder="1" applyAlignment="1">
      <alignment horizontal="center" vertical="center" wrapText="1"/>
    </xf>
    <xf numFmtId="0" fontId="36" fillId="6" borderId="52" xfId="0" applyFont="1" applyFill="1" applyBorder="1" applyAlignment="1">
      <alignment horizontal="center" vertical="center" wrapText="1"/>
    </xf>
    <xf numFmtId="0" fontId="36" fillId="6" borderId="52" xfId="0" applyFont="1" applyFill="1" applyBorder="1" applyAlignment="1">
      <alignment horizontal="center"/>
    </xf>
    <xf numFmtId="0" fontId="36" fillId="6" borderId="52" xfId="0" applyFont="1" applyFill="1" applyBorder="1" applyAlignment="1">
      <alignment wrapText="1"/>
    </xf>
    <xf numFmtId="0" fontId="22" fillId="4" borderId="74" xfId="0" applyFont="1" applyFill="1" applyBorder="1" applyAlignment="1">
      <alignment wrapText="1"/>
    </xf>
    <xf numFmtId="0" fontId="40" fillId="4" borderId="0" xfId="0" applyFont="1" applyFill="1"/>
    <xf numFmtId="166" fontId="43" fillId="4" borderId="74" xfId="0" applyNumberFormat="1" applyFont="1" applyFill="1" applyBorder="1" applyAlignment="1">
      <alignment horizontal="center" vertical="top" wrapText="1"/>
    </xf>
    <xf numFmtId="0" fontId="43" fillId="4" borderId="74" xfId="0" applyFont="1" applyFill="1" applyBorder="1" applyAlignment="1">
      <alignment horizontal="center" vertical="center" wrapText="1"/>
    </xf>
    <xf numFmtId="0" fontId="36" fillId="6" borderId="77" xfId="0" applyFont="1" applyFill="1" applyBorder="1" applyAlignment="1">
      <alignment horizontal="center" vertical="center" wrapText="1"/>
    </xf>
    <xf numFmtId="0" fontId="36" fillId="6" borderId="77" xfId="0" applyFont="1" applyFill="1" applyBorder="1" applyAlignment="1">
      <alignment horizontal="center"/>
    </xf>
    <xf numFmtId="0" fontId="36" fillId="6" borderId="77" xfId="0" applyFont="1" applyFill="1" applyBorder="1" applyAlignment="1">
      <alignment wrapText="1"/>
    </xf>
    <xf numFmtId="1" fontId="34" fillId="4" borderId="9" xfId="0" applyNumberFormat="1" applyFont="1" applyFill="1" applyBorder="1" applyAlignment="1">
      <alignment vertical="top" wrapText="1"/>
    </xf>
    <xf numFmtId="166" fontId="36" fillId="6" borderId="77" xfId="0" applyNumberFormat="1" applyFont="1" applyFill="1" applyBorder="1" applyAlignment="1">
      <alignment horizontal="center" vertical="top" wrapText="1"/>
    </xf>
    <xf numFmtId="0" fontId="34" fillId="6" borderId="77"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0" xfId="0" applyFont="1" applyFill="1" applyBorder="1" applyAlignment="1">
      <alignment horizontal="center"/>
    </xf>
    <xf numFmtId="0" fontId="22" fillId="4" borderId="60" xfId="0" applyFont="1" applyFill="1" applyBorder="1" applyAlignment="1">
      <alignment wrapText="1"/>
    </xf>
    <xf numFmtId="0" fontId="21" fillId="4" borderId="74" xfId="0" applyFont="1" applyFill="1" applyBorder="1" applyAlignment="1">
      <alignment horizontal="center" vertical="center" wrapText="1"/>
    </xf>
    <xf numFmtId="0" fontId="22" fillId="4" borderId="74" xfId="0" applyFont="1" applyFill="1" applyBorder="1" applyAlignment="1">
      <alignment horizontal="center" vertical="center" wrapText="1"/>
    </xf>
    <xf numFmtId="0" fontId="22" fillId="4" borderId="74" xfId="0" applyFont="1" applyFill="1" applyBorder="1" applyAlignment="1">
      <alignment horizontal="center"/>
    </xf>
    <xf numFmtId="0" fontId="32" fillId="0" borderId="74" xfId="0" applyFont="1" applyFill="1" applyBorder="1" applyAlignment="1">
      <alignment horizontal="right" vertical="center"/>
    </xf>
    <xf numFmtId="0" fontId="32" fillId="0" borderId="74" xfId="0" applyNumberFormat="1" applyFont="1" applyFill="1" applyBorder="1" applyAlignment="1">
      <alignment horizontal="center" vertical="center" wrapText="1"/>
    </xf>
    <xf numFmtId="0" fontId="32" fillId="0" borderId="74" xfId="0" applyFont="1" applyFill="1" applyBorder="1" applyAlignment="1">
      <alignment horizontal="right" vertical="center" wrapText="1"/>
    </xf>
    <xf numFmtId="164" fontId="43" fillId="0" borderId="74" xfId="3" applyNumberFormat="1" applyFont="1" applyFill="1" applyBorder="1" applyAlignment="1">
      <alignment vertical="center" wrapText="1"/>
    </xf>
    <xf numFmtId="166" fontId="32" fillId="0" borderId="74" xfId="0" applyNumberFormat="1" applyFont="1" applyBorder="1" applyAlignment="1">
      <alignment horizontal="center" vertical="top" wrapText="1"/>
    </xf>
    <xf numFmtId="0" fontId="6" fillId="0" borderId="74" xfId="0" applyFont="1" applyBorder="1" applyAlignment="1">
      <alignment horizontal="right" vertical="top" wrapText="1"/>
    </xf>
    <xf numFmtId="0" fontId="6" fillId="0" borderId="74" xfId="0" applyFont="1" applyBorder="1" applyAlignment="1">
      <alignment horizontal="justify" vertical="top" wrapText="1"/>
    </xf>
    <xf numFmtId="0" fontId="6" fillId="0" borderId="74" xfId="0" applyFont="1" applyBorder="1" applyAlignment="1">
      <alignment horizontal="center" vertical="center" wrapText="1"/>
    </xf>
    <xf numFmtId="0" fontId="5" fillId="0" borderId="74" xfId="0" applyFont="1" applyBorder="1" applyAlignment="1">
      <alignment horizontal="center" vertical="top" wrapText="1"/>
    </xf>
    <xf numFmtId="0" fontId="5" fillId="0" borderId="74" xfId="0" applyFont="1" applyBorder="1" applyAlignment="1">
      <alignment horizontal="center" vertical="center"/>
    </xf>
    <xf numFmtId="0" fontId="5" fillId="0" borderId="74" xfId="0" applyFont="1" applyBorder="1" applyAlignment="1">
      <alignment horizontal="right" vertical="center" wrapText="1" shrinkToFit="1"/>
    </xf>
    <xf numFmtId="0" fontId="5" fillId="0" borderId="74" xfId="0" applyFont="1" applyBorder="1" applyAlignment="1">
      <alignment horizontal="justify" vertical="center" wrapText="1"/>
    </xf>
    <xf numFmtId="0" fontId="5" fillId="0" borderId="74" xfId="0" applyFont="1" applyFill="1" applyBorder="1" applyAlignment="1">
      <alignment vertical="top" wrapText="1"/>
    </xf>
    <xf numFmtId="0" fontId="5" fillId="0" borderId="74" xfId="0" applyFont="1" applyFill="1" applyBorder="1" applyAlignment="1">
      <alignment horizontal="center" vertical="top" wrapText="1"/>
    </xf>
    <xf numFmtId="0" fontId="5" fillId="0" borderId="74" xfId="0" applyFont="1" applyFill="1" applyBorder="1" applyAlignment="1">
      <alignment vertical="center"/>
    </xf>
    <xf numFmtId="0" fontId="5" fillId="0" borderId="74" xfId="0" applyFont="1" applyFill="1" applyBorder="1" applyAlignment="1">
      <alignment horizontal="justify" vertical="center" wrapText="1"/>
    </xf>
    <xf numFmtId="0" fontId="6" fillId="0" borderId="54" xfId="0" applyFont="1" applyBorder="1" applyAlignment="1">
      <alignment horizontal="right" vertical="top" wrapText="1"/>
    </xf>
    <xf numFmtId="0" fontId="6" fillId="0" borderId="54" xfId="0" applyFont="1" applyBorder="1" applyAlignment="1">
      <alignment horizontal="justify" vertical="top" wrapText="1"/>
    </xf>
    <xf numFmtId="0" fontId="6" fillId="0" borderId="54" xfId="0" applyFont="1" applyBorder="1" applyAlignment="1">
      <alignment horizontal="center" vertical="top" wrapText="1"/>
    </xf>
    <xf numFmtId="0" fontId="6" fillId="0" borderId="54" xfId="0" applyFont="1" applyBorder="1" applyAlignment="1">
      <alignment horizontal="center" vertical="center" wrapText="1"/>
    </xf>
    <xf numFmtId="0" fontId="5" fillId="0" borderId="54" xfId="0" applyFont="1" applyBorder="1" applyAlignment="1">
      <alignment horizontal="center" vertical="top" wrapText="1"/>
    </xf>
    <xf numFmtId="0" fontId="5" fillId="0" borderId="54" xfId="0" applyFont="1" applyBorder="1" applyAlignment="1">
      <alignment horizontal="right" vertical="center" wrapText="1"/>
    </xf>
    <xf numFmtId="0" fontId="5" fillId="0" borderId="54" xfId="0" applyFont="1" applyBorder="1" applyAlignment="1">
      <alignment horizontal="justify" vertical="center" wrapText="1"/>
    </xf>
    <xf numFmtId="0" fontId="6" fillId="0" borderId="54" xfId="0" applyFont="1" applyBorder="1" applyAlignment="1">
      <alignment horizontal="right" vertical="center" wrapText="1"/>
    </xf>
    <xf numFmtId="0" fontId="6" fillId="0" borderId="54" xfId="0" applyFont="1" applyBorder="1" applyAlignment="1">
      <alignment horizontal="justify" vertical="center" wrapText="1"/>
    </xf>
    <xf numFmtId="0" fontId="5" fillId="0" borderId="74" xfId="0" applyFont="1" applyBorder="1" applyAlignment="1">
      <alignment vertical="center" wrapText="1"/>
    </xf>
    <xf numFmtId="0" fontId="6" fillId="5" borderId="74" xfId="0" applyFont="1" applyFill="1" applyBorder="1" applyAlignment="1">
      <alignment horizontal="center" vertical="center" wrapText="1"/>
    </xf>
    <xf numFmtId="0" fontId="5" fillId="5" borderId="74" xfId="0" applyFont="1" applyFill="1" applyBorder="1" applyAlignment="1">
      <alignment horizontal="center" vertical="center" wrapText="1"/>
    </xf>
    <xf numFmtId="0" fontId="2" fillId="0" borderId="74" xfId="0" applyFont="1" applyFill="1" applyBorder="1" applyAlignment="1">
      <alignment horizontal="center" vertical="top"/>
    </xf>
    <xf numFmtId="0" fontId="6" fillId="5" borderId="74" xfId="0" applyFont="1" applyFill="1" applyBorder="1" applyAlignment="1">
      <alignment horizontal="center" vertical="top" wrapText="1"/>
    </xf>
    <xf numFmtId="166" fontId="32" fillId="5" borderId="74" xfId="0" applyNumberFormat="1" applyFont="1" applyFill="1" applyBorder="1" applyAlignment="1">
      <alignment horizontal="center" vertical="top" wrapText="1"/>
    </xf>
    <xf numFmtId="0" fontId="6" fillId="0" borderId="74" xfId="0" applyFont="1" applyBorder="1" applyAlignment="1">
      <alignment horizontal="center" vertical="top" wrapText="1"/>
    </xf>
    <xf numFmtId="0" fontId="6" fillId="0" borderId="74" xfId="0" applyFont="1" applyBorder="1" applyAlignment="1">
      <alignment vertical="top" wrapText="1"/>
    </xf>
    <xf numFmtId="0" fontId="5" fillId="0" borderId="74" xfId="0" applyFont="1" applyBorder="1" applyAlignment="1">
      <alignment horizontal="justify" vertical="top" wrapText="1"/>
    </xf>
    <xf numFmtId="0" fontId="5" fillId="0" borderId="54" xfId="0" applyFont="1" applyBorder="1" applyAlignment="1">
      <alignment vertical="top" wrapText="1"/>
    </xf>
    <xf numFmtId="0" fontId="0" fillId="0" borderId="54" xfId="0" applyFont="1" applyBorder="1" applyAlignment="1">
      <alignment horizontal="center"/>
    </xf>
    <xf numFmtId="0" fontId="5" fillId="0" borderId="74" xfId="0" applyFont="1" applyBorder="1" applyAlignment="1">
      <alignment horizontal="center"/>
    </xf>
    <xf numFmtId="0" fontId="6" fillId="0" borderId="6" xfId="0" applyFont="1" applyBorder="1" applyAlignment="1">
      <alignment vertical="center" wrapText="1"/>
    </xf>
    <xf numFmtId="0" fontId="5" fillId="0" borderId="7" xfId="0" applyFont="1" applyBorder="1" applyAlignment="1">
      <alignment horizontal="center" vertical="center" wrapText="1"/>
    </xf>
    <xf numFmtId="0" fontId="9" fillId="0" borderId="0" xfId="0" applyFont="1" applyAlignment="1">
      <alignment wrapText="1"/>
    </xf>
    <xf numFmtId="0" fontId="9" fillId="0" borderId="0" xfId="0" applyFont="1" applyAlignment="1">
      <alignment horizontal="center"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5" fillId="0" borderId="0" xfId="0" applyFont="1" applyAlignment="1">
      <alignment horizontal="center" wrapText="1"/>
    </xf>
    <xf numFmtId="0" fontId="2" fillId="4" borderId="0" xfId="0" applyFont="1" applyFill="1" applyAlignment="1">
      <alignment vertical="top"/>
    </xf>
    <xf numFmtId="0" fontId="6" fillId="7" borderId="60" xfId="0" applyFont="1" applyFill="1" applyBorder="1" applyAlignment="1">
      <alignment vertical="top"/>
    </xf>
    <xf numFmtId="166" fontId="22" fillId="0" borderId="33" xfId="0" applyNumberFormat="1" applyFont="1" applyBorder="1" applyAlignment="1">
      <alignment vertical="center"/>
    </xf>
    <xf numFmtId="1" fontId="5" fillId="7" borderId="60" xfId="0" applyNumberFormat="1" applyFont="1" applyFill="1" applyBorder="1" applyAlignment="1">
      <alignment vertical="top" wrapText="1"/>
    </xf>
    <xf numFmtId="166" fontId="5" fillId="7" borderId="60" xfId="0" applyNumberFormat="1" applyFont="1" applyFill="1" applyBorder="1" applyAlignment="1">
      <alignment horizontal="center" vertical="top" wrapText="1"/>
    </xf>
    <xf numFmtId="0" fontId="6" fillId="7" borderId="60" xfId="0" applyFont="1" applyFill="1" applyBorder="1" applyAlignment="1">
      <alignment horizontal="center" vertical="center" wrapText="1"/>
    </xf>
    <xf numFmtId="0" fontId="2" fillId="4" borderId="60" xfId="0" applyFont="1" applyFill="1" applyBorder="1" applyAlignment="1">
      <alignment horizontal="center" vertical="top"/>
    </xf>
    <xf numFmtId="0" fontId="6" fillId="4" borderId="60" xfId="0" applyFont="1" applyFill="1" applyBorder="1" applyAlignment="1">
      <alignment horizontal="center" vertical="top" wrapText="1"/>
    </xf>
    <xf numFmtId="41" fontId="14" fillId="0" borderId="6" xfId="2" applyNumberFormat="1" applyFont="1" applyBorder="1" applyAlignment="1">
      <alignment vertical="center"/>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Fill="1" applyAlignment="1">
      <alignment wrapText="1"/>
    </xf>
    <xf numFmtId="0" fontId="6" fillId="0" borderId="0" xfId="0" applyFont="1" applyFill="1" applyAlignment="1">
      <alignment horizontal="right" wrapText="1"/>
    </xf>
    <xf numFmtId="0" fontId="0" fillId="0" borderId="0" xfId="0" applyFont="1" applyFill="1"/>
    <xf numFmtId="0" fontId="35" fillId="0" borderId="0" xfId="0" applyFont="1" applyFill="1" applyBorder="1" applyAlignment="1"/>
    <xf numFmtId="0" fontId="35" fillId="0" borderId="0" xfId="0" applyFont="1" applyFill="1" applyBorder="1" applyAlignment="1">
      <alignment horizontal="center"/>
    </xf>
    <xf numFmtId="164" fontId="6" fillId="0" borderId="54" xfId="1" applyNumberFormat="1" applyFont="1" applyFill="1" applyBorder="1" applyAlignment="1">
      <alignment horizontal="center" vertical="top" wrapText="1"/>
    </xf>
    <xf numFmtId="49" fontId="6" fillId="0" borderId="54" xfId="1" quotePrefix="1" applyNumberFormat="1" applyFont="1" applyFill="1" applyBorder="1" applyAlignment="1">
      <alignment vertical="center" wrapText="1"/>
    </xf>
    <xf numFmtId="49" fontId="6" fillId="0" borderId="54" xfId="1" quotePrefix="1" applyNumberFormat="1" applyFont="1" applyFill="1" applyBorder="1" applyAlignment="1">
      <alignment horizontal="center" vertical="center" wrapText="1"/>
    </xf>
    <xf numFmtId="49" fontId="6" fillId="0" borderId="54" xfId="1" applyNumberFormat="1" applyFont="1" applyFill="1" applyBorder="1" applyAlignment="1">
      <alignment horizontal="center" vertical="center" wrapText="1"/>
    </xf>
    <xf numFmtId="49" fontId="6" fillId="0" borderId="59" xfId="1" applyNumberFormat="1" applyFont="1" applyFill="1" applyBorder="1" applyAlignment="1">
      <alignment horizontal="center" vertical="center" wrapText="1"/>
    </xf>
    <xf numFmtId="49" fontId="0" fillId="0" borderId="0" xfId="0" applyNumberFormat="1" applyFont="1" applyFill="1" applyAlignment="1">
      <alignment horizontal="center"/>
    </xf>
    <xf numFmtId="164" fontId="6" fillId="0" borderId="54" xfId="1" applyNumberFormat="1" applyFont="1" applyFill="1" applyBorder="1" applyAlignment="1">
      <alignment vertical="center" wrapText="1"/>
    </xf>
    <xf numFmtId="164" fontId="6" fillId="0" borderId="54" xfId="1" applyNumberFormat="1" applyFont="1" applyFill="1" applyBorder="1" applyAlignment="1">
      <alignment horizontal="center" vertical="center" wrapText="1"/>
    </xf>
    <xf numFmtId="164" fontId="5" fillId="0" borderId="54" xfId="1" applyNumberFormat="1" applyFont="1" applyFill="1" applyBorder="1" applyAlignment="1">
      <alignment horizontal="center" vertical="center" wrapText="1"/>
    </xf>
    <xf numFmtId="164" fontId="6" fillId="0" borderId="60" xfId="1" applyNumberFormat="1" applyFont="1" applyFill="1" applyBorder="1" applyAlignment="1">
      <alignment vertical="center" wrapText="1"/>
    </xf>
    <xf numFmtId="164" fontId="6" fillId="0" borderId="60" xfId="1" applyNumberFormat="1" applyFont="1" applyFill="1" applyBorder="1" applyAlignment="1">
      <alignment horizontal="center" vertical="center" wrapText="1"/>
    </xf>
    <xf numFmtId="164" fontId="5" fillId="0" borderId="60" xfId="1" applyNumberFormat="1" applyFont="1" applyFill="1" applyBorder="1" applyAlignment="1">
      <alignment horizontal="center" vertical="center" wrapText="1"/>
    </xf>
    <xf numFmtId="0" fontId="6" fillId="0" borderId="60" xfId="0" applyFont="1" applyFill="1" applyBorder="1" applyAlignment="1">
      <alignment vertical="top" wrapText="1"/>
    </xf>
    <xf numFmtId="0" fontId="6" fillId="0" borderId="60" xfId="0" applyFont="1" applyFill="1" applyBorder="1" applyAlignment="1">
      <alignment horizontal="left" vertical="top" wrapText="1"/>
    </xf>
    <xf numFmtId="0" fontId="6" fillId="0" borderId="60" xfId="0" applyFont="1" applyFill="1" applyBorder="1" applyAlignment="1">
      <alignment horizontal="center" vertical="center" wrapText="1"/>
    </xf>
    <xf numFmtId="0" fontId="6" fillId="0" borderId="60" xfId="0" applyFont="1" applyFill="1" applyBorder="1" applyAlignment="1">
      <alignment horizontal="center" vertical="top" wrapText="1"/>
    </xf>
    <xf numFmtId="0" fontId="6" fillId="0" borderId="60" xfId="0" applyFont="1" applyFill="1" applyBorder="1" applyAlignment="1">
      <alignment vertical="top"/>
    </xf>
    <xf numFmtId="166" fontId="5" fillId="0" borderId="74" xfId="0" applyNumberFormat="1" applyFont="1" applyFill="1" applyBorder="1" applyAlignment="1">
      <alignment vertical="top" wrapText="1"/>
    </xf>
    <xf numFmtId="0" fontId="5" fillId="0" borderId="74" xfId="0" applyFont="1" applyFill="1" applyBorder="1" applyAlignment="1">
      <alignment vertical="center" wrapText="1"/>
    </xf>
    <xf numFmtId="0" fontId="5" fillId="0" borderId="74" xfId="0" applyFont="1" applyFill="1" applyBorder="1" applyAlignment="1">
      <alignment horizontal="center" vertical="center" wrapText="1"/>
    </xf>
    <xf numFmtId="0" fontId="5" fillId="0" borderId="74" xfId="0" applyNumberFormat="1" applyFont="1" applyFill="1" applyBorder="1" applyAlignment="1">
      <alignment horizontal="center" vertical="center"/>
    </xf>
    <xf numFmtId="0" fontId="12" fillId="0" borderId="9" xfId="0" applyNumberFormat="1" applyFont="1" applyFill="1" applyBorder="1" applyAlignment="1" applyProtection="1">
      <alignment wrapText="1"/>
    </xf>
    <xf numFmtId="0" fontId="5" fillId="0" borderId="74" xfId="0" applyFont="1" applyFill="1" applyBorder="1" applyAlignment="1">
      <alignment horizontal="center" vertical="center"/>
    </xf>
    <xf numFmtId="0" fontId="12" fillId="4" borderId="9" xfId="0" applyNumberFormat="1" applyFont="1" applyFill="1" applyBorder="1" applyAlignment="1" applyProtection="1">
      <alignment wrapText="1"/>
    </xf>
    <xf numFmtId="0" fontId="5" fillId="0" borderId="74" xfId="0" applyFont="1" applyFill="1" applyBorder="1" applyAlignment="1">
      <alignment vertical="top"/>
    </xf>
    <xf numFmtId="0" fontId="0" fillId="0" borderId="74" xfId="0" applyFont="1" applyFill="1" applyBorder="1" applyAlignment="1">
      <alignment horizontal="center" vertical="top"/>
    </xf>
    <xf numFmtId="0" fontId="5" fillId="0" borderId="74" xfId="0" applyFont="1" applyFill="1" applyBorder="1" applyAlignment="1">
      <alignment horizontal="center" vertical="top"/>
    </xf>
    <xf numFmtId="0" fontId="5" fillId="4" borderId="74" xfId="0" applyFont="1" applyFill="1" applyBorder="1" applyAlignment="1">
      <alignment vertical="center" wrapText="1"/>
    </xf>
    <xf numFmtId="0" fontId="5" fillId="0" borderId="74" xfId="4" applyFont="1" applyFill="1" applyBorder="1" applyAlignment="1">
      <alignment horizontal="left" vertical="justify"/>
    </xf>
    <xf numFmtId="0" fontId="49" fillId="0" borderId="74" xfId="4" applyFont="1" applyFill="1" applyBorder="1" applyAlignment="1">
      <alignment horizontal="center" vertical="center" wrapText="1"/>
    </xf>
    <xf numFmtId="0" fontId="5" fillId="0" borderId="74" xfId="4" applyFont="1" applyFill="1" applyBorder="1" applyAlignment="1">
      <alignment vertical="center" wrapText="1"/>
    </xf>
    <xf numFmtId="0" fontId="5" fillId="0" borderId="74" xfId="4" applyNumberFormat="1" applyFont="1" applyFill="1" applyBorder="1" applyAlignment="1">
      <alignment horizontal="left" wrapText="1"/>
    </xf>
    <xf numFmtId="0" fontId="5" fillId="0" borderId="74" xfId="4" applyFont="1" applyFill="1" applyBorder="1" applyAlignment="1">
      <alignment horizontal="left" vertical="center" wrapText="1"/>
    </xf>
    <xf numFmtId="0" fontId="5" fillId="0" borderId="74" xfId="0" applyFont="1" applyBorder="1" applyAlignment="1">
      <alignment horizontal="left" vertical="top"/>
    </xf>
    <xf numFmtId="0" fontId="5" fillId="0" borderId="74" xfId="0" applyFont="1" applyBorder="1" applyAlignment="1">
      <alignment horizontal="center" vertical="top"/>
    </xf>
    <xf numFmtId="1" fontId="6" fillId="0" borderId="74" xfId="0" applyNumberFormat="1" applyFont="1" applyFill="1" applyBorder="1" applyAlignment="1">
      <alignment vertical="top" wrapText="1"/>
    </xf>
    <xf numFmtId="166" fontId="6" fillId="0" borderId="74" xfId="0" applyNumberFormat="1" applyFont="1" applyFill="1" applyBorder="1" applyAlignment="1">
      <alignment vertical="top" wrapText="1"/>
    </xf>
    <xf numFmtId="1" fontId="5" fillId="0" borderId="74" xfId="0" applyNumberFormat="1" applyFont="1" applyFill="1" applyBorder="1" applyAlignment="1">
      <alignment vertical="top" wrapText="1"/>
    </xf>
    <xf numFmtId="1" fontId="5" fillId="7" borderId="74" xfId="0" applyNumberFormat="1" applyFont="1" applyFill="1" applyBorder="1" applyAlignment="1">
      <alignment vertical="top" wrapText="1"/>
    </xf>
    <xf numFmtId="166" fontId="6" fillId="7" borderId="74" xfId="0" applyNumberFormat="1" applyFont="1" applyFill="1" applyBorder="1" applyAlignment="1">
      <alignment horizontal="center" vertical="top" wrapText="1"/>
    </xf>
    <xf numFmtId="0" fontId="6" fillId="7" borderId="74" xfId="0" applyFont="1" applyFill="1" applyBorder="1" applyAlignment="1">
      <alignment horizontal="center" vertical="center" wrapText="1"/>
    </xf>
    <xf numFmtId="0" fontId="5" fillId="7" borderId="60" xfId="0" applyFont="1" applyFill="1" applyBorder="1" applyAlignment="1">
      <alignment horizontal="center" vertical="top" wrapText="1"/>
    </xf>
    <xf numFmtId="0" fontId="5" fillId="7" borderId="60" xfId="0" applyFont="1" applyFill="1" applyBorder="1" applyAlignment="1">
      <alignment vertical="top"/>
    </xf>
    <xf numFmtId="164" fontId="6" fillId="0" borderId="74" xfId="1" applyNumberFormat="1" applyFont="1" applyFill="1" applyBorder="1" applyAlignment="1">
      <alignment vertical="center" wrapText="1"/>
    </xf>
    <xf numFmtId="0" fontId="6" fillId="0" borderId="74" xfId="0" applyFont="1" applyFill="1" applyBorder="1" applyAlignment="1">
      <alignment vertical="top" wrapText="1"/>
    </xf>
    <xf numFmtId="0" fontId="6" fillId="0" borderId="74" xfId="0" applyFont="1" applyFill="1" applyBorder="1" applyAlignment="1">
      <alignment horizontal="left" vertical="top" wrapText="1"/>
    </xf>
    <xf numFmtId="0" fontId="5" fillId="0" borderId="74" xfId="0" applyFont="1" applyFill="1" applyBorder="1" applyAlignment="1">
      <alignment horizontal="left" vertical="top" wrapText="1"/>
    </xf>
    <xf numFmtId="166" fontId="5" fillId="0" borderId="74" xfId="0" applyNumberFormat="1" applyFont="1" applyFill="1" applyBorder="1" applyAlignment="1">
      <alignment horizontal="left" vertical="top" wrapText="1"/>
    </xf>
    <xf numFmtId="1" fontId="6" fillId="0" borderId="74" xfId="0" applyNumberFormat="1" applyFont="1" applyBorder="1" applyAlignment="1">
      <alignment vertical="top" wrapText="1"/>
    </xf>
    <xf numFmtId="166" fontId="6" fillId="0" borderId="74" xfId="0" applyNumberFormat="1" applyFont="1" applyBorder="1" applyAlignment="1">
      <alignment vertical="top" wrapText="1"/>
    </xf>
    <xf numFmtId="166" fontId="5" fillId="0" borderId="74" xfId="0" applyNumberFormat="1" applyFont="1" applyBorder="1" applyAlignment="1">
      <alignment vertical="top" wrapText="1"/>
    </xf>
    <xf numFmtId="166" fontId="5" fillId="7" borderId="74" xfId="0" applyNumberFormat="1" applyFont="1" applyFill="1" applyBorder="1" applyAlignment="1">
      <alignment vertical="top" wrapText="1"/>
    </xf>
    <xf numFmtId="0" fontId="5" fillId="0" borderId="74" xfId="0" applyFont="1" applyBorder="1" applyAlignment="1">
      <alignment horizontal="left" vertical="top" wrapText="1"/>
    </xf>
    <xf numFmtId="1" fontId="5" fillId="4" borderId="74" xfId="0" applyNumberFormat="1" applyFont="1" applyFill="1" applyBorder="1" applyAlignment="1">
      <alignment vertical="top" wrapText="1"/>
    </xf>
    <xf numFmtId="0" fontId="5" fillId="4" borderId="74" xfId="0" applyFont="1" applyFill="1" applyBorder="1" applyAlignment="1">
      <alignment horizontal="left" vertical="top" wrapText="1"/>
    </xf>
    <xf numFmtId="0" fontId="5" fillId="4" borderId="74" xfId="0" applyFont="1" applyFill="1" applyBorder="1" applyAlignment="1">
      <alignment horizontal="center" vertical="center" wrapText="1"/>
    </xf>
    <xf numFmtId="0" fontId="5" fillId="4" borderId="60" xfId="0" applyFont="1" applyFill="1" applyBorder="1" applyAlignment="1">
      <alignment vertical="top"/>
    </xf>
    <xf numFmtId="0" fontId="5" fillId="4" borderId="74" xfId="0" applyFont="1" applyFill="1" applyBorder="1" applyAlignment="1">
      <alignment horizontal="center" vertical="top" wrapText="1"/>
    </xf>
    <xf numFmtId="0" fontId="6" fillId="4" borderId="74" xfId="0" applyFont="1" applyFill="1" applyBorder="1" applyAlignment="1">
      <alignment vertical="center"/>
    </xf>
    <xf numFmtId="166" fontId="6" fillId="4" borderId="74" xfId="0" applyNumberFormat="1" applyFont="1" applyFill="1" applyBorder="1" applyAlignment="1">
      <alignment horizontal="center" vertical="top" wrapText="1"/>
    </xf>
    <xf numFmtId="0" fontId="6" fillId="4" borderId="74" xfId="0" applyFont="1" applyFill="1" applyBorder="1" applyAlignment="1">
      <alignment horizontal="center" vertical="top" wrapText="1"/>
    </xf>
    <xf numFmtId="0" fontId="5" fillId="4" borderId="74" xfId="0" applyFont="1" applyFill="1" applyBorder="1" applyAlignment="1">
      <alignment vertical="top"/>
    </xf>
    <xf numFmtId="0" fontId="2" fillId="7" borderId="74" xfId="0" applyFont="1" applyFill="1" applyBorder="1" applyAlignment="1">
      <alignment vertical="top"/>
    </xf>
    <xf numFmtId="164" fontId="6" fillId="4" borderId="74" xfId="1" applyNumberFormat="1" applyFont="1" applyFill="1" applyBorder="1" applyAlignment="1">
      <alignment vertical="center" wrapText="1"/>
    </xf>
    <xf numFmtId="0" fontId="6" fillId="4" borderId="74" xfId="0" applyFont="1" applyFill="1" applyBorder="1" applyAlignment="1">
      <alignment horizontal="center" vertical="center" wrapText="1"/>
    </xf>
    <xf numFmtId="164" fontId="6" fillId="5" borderId="74" xfId="1" applyNumberFormat="1" applyFont="1" applyFill="1" applyBorder="1" applyAlignment="1">
      <alignment vertical="center" wrapText="1"/>
    </xf>
    <xf numFmtId="0" fontId="5" fillId="5" borderId="60" xfId="0" applyFont="1" applyFill="1" applyBorder="1" applyAlignment="1">
      <alignment horizontal="center" vertical="top" wrapText="1"/>
    </xf>
    <xf numFmtId="0" fontId="6" fillId="5" borderId="60" xfId="0" applyFont="1" applyFill="1" applyBorder="1" applyAlignment="1">
      <alignment vertical="center"/>
    </xf>
    <xf numFmtId="166" fontId="6" fillId="5" borderId="60" xfId="0" applyNumberFormat="1" applyFont="1" applyFill="1" applyBorder="1" applyAlignment="1">
      <alignment horizontal="center" vertical="center" wrapText="1"/>
    </xf>
    <xf numFmtId="164" fontId="6" fillId="0" borderId="60" xfId="0" applyNumberFormat="1" applyFont="1" applyBorder="1" applyAlignment="1">
      <alignment vertical="center" wrapText="1"/>
    </xf>
    <xf numFmtId="0" fontId="6" fillId="0" borderId="60" xfId="0" applyFont="1" applyBorder="1" applyAlignment="1">
      <alignment vertical="top" wrapText="1"/>
    </xf>
    <xf numFmtId="0" fontId="6" fillId="0" borderId="60" xfId="0" applyFont="1" applyBorder="1" applyAlignment="1">
      <alignment horizontal="left" vertical="top" wrapText="1"/>
    </xf>
    <xf numFmtId="0" fontId="6" fillId="0" borderId="74" xfId="0" applyFont="1" applyFill="1" applyBorder="1" applyAlignment="1">
      <alignment horizontal="center" vertical="center" wrapText="1"/>
    </xf>
    <xf numFmtId="1" fontId="5" fillId="0" borderId="74" xfId="0" applyNumberFormat="1" applyFont="1" applyBorder="1" applyAlignment="1">
      <alignment vertical="top" wrapText="1"/>
    </xf>
    <xf numFmtId="0" fontId="0" fillId="0" borderId="0" xfId="0" applyFont="1" applyFill="1" applyAlignment="1">
      <alignment vertical="top"/>
    </xf>
    <xf numFmtId="1" fontId="6" fillId="7" borderId="74" xfId="0" applyNumberFormat="1" applyFont="1" applyFill="1" applyBorder="1" applyAlignment="1">
      <alignment vertical="top" wrapText="1"/>
    </xf>
    <xf numFmtId="164" fontId="6" fillId="7" borderId="74" xfId="1" applyNumberFormat="1" applyFont="1" applyFill="1" applyBorder="1" applyAlignment="1">
      <alignment horizontal="center" vertical="center" wrapText="1"/>
    </xf>
    <xf numFmtId="164" fontId="6" fillId="0" borderId="74" xfId="0" applyNumberFormat="1" applyFont="1" applyBorder="1" applyAlignment="1">
      <alignment vertical="center" wrapText="1"/>
    </xf>
    <xf numFmtId="0" fontId="6" fillId="0" borderId="74" xfId="0" applyFont="1" applyBorder="1" applyAlignment="1">
      <alignment horizontal="left" vertical="top" wrapText="1"/>
    </xf>
    <xf numFmtId="166" fontId="5" fillId="0" borderId="74" xfId="0" applyNumberFormat="1" applyFont="1" applyBorder="1" applyAlignment="1">
      <alignment horizontal="left" vertical="top" wrapText="1"/>
    </xf>
    <xf numFmtId="164" fontId="6" fillId="0" borderId="60" xfId="3" applyNumberFormat="1" applyFont="1" applyFill="1" applyBorder="1" applyAlignment="1">
      <alignment vertical="center" wrapText="1"/>
    </xf>
    <xf numFmtId="164" fontId="6" fillId="0" borderId="60" xfId="3" applyNumberFormat="1" applyFont="1" applyFill="1" applyBorder="1" applyAlignment="1">
      <alignment horizontal="center" vertical="center" wrapText="1"/>
    </xf>
    <xf numFmtId="164" fontId="5" fillId="0" borderId="60" xfId="3" applyNumberFormat="1" applyFont="1" applyFill="1" applyBorder="1" applyAlignment="1">
      <alignment horizontal="center" vertical="center" wrapText="1"/>
    </xf>
    <xf numFmtId="0" fontId="5" fillId="0" borderId="60" xfId="0" applyFont="1" applyBorder="1" applyAlignment="1">
      <alignment horizontal="center" vertical="top" wrapText="1"/>
    </xf>
    <xf numFmtId="0" fontId="5" fillId="0" borderId="74" xfId="0" applyFont="1" applyFill="1" applyBorder="1" applyAlignment="1">
      <alignment horizontal="right" vertical="center"/>
    </xf>
    <xf numFmtId="0" fontId="5" fillId="0" borderId="74" xfId="0" applyNumberFormat="1" applyFont="1" applyFill="1" applyBorder="1" applyAlignment="1">
      <alignment horizontal="center" vertical="center" wrapText="1"/>
    </xf>
    <xf numFmtId="0" fontId="5" fillId="0" borderId="74" xfId="0" applyFont="1" applyFill="1" applyBorder="1" applyAlignment="1">
      <alignment horizontal="right" vertical="center" wrapText="1"/>
    </xf>
    <xf numFmtId="164" fontId="6" fillId="0" borderId="74" xfId="3" applyNumberFormat="1" applyFont="1" applyFill="1" applyBorder="1" applyAlignment="1">
      <alignment vertical="center" wrapText="1"/>
    </xf>
    <xf numFmtId="166" fontId="5" fillId="7" borderId="74" xfId="0" applyNumberFormat="1" applyFont="1" applyFill="1" applyBorder="1" applyAlignment="1">
      <alignment horizontal="center" vertical="top" wrapText="1"/>
    </xf>
    <xf numFmtId="1" fontId="5" fillId="5" borderId="74" xfId="0" applyNumberFormat="1" applyFont="1" applyFill="1" applyBorder="1" applyAlignment="1">
      <alignment vertical="top" wrapText="1"/>
    </xf>
    <xf numFmtId="166" fontId="6" fillId="5" borderId="74" xfId="0" applyNumberFormat="1" applyFont="1" applyFill="1" applyBorder="1" applyAlignment="1">
      <alignment horizontal="center" vertical="top" wrapText="1"/>
    </xf>
    <xf numFmtId="0" fontId="5" fillId="5" borderId="60" xfId="0" applyFont="1" applyFill="1" applyBorder="1" applyAlignment="1">
      <alignment vertical="top"/>
    </xf>
    <xf numFmtId="0" fontId="5" fillId="4" borderId="60" xfId="0" applyFont="1" applyFill="1" applyBorder="1" applyAlignment="1">
      <alignment horizontal="center" vertical="center" wrapText="1"/>
    </xf>
    <xf numFmtId="0" fontId="5" fillId="4" borderId="60" xfId="0" applyFont="1" applyFill="1" applyBorder="1" applyAlignment="1">
      <alignment horizontal="center" vertical="center"/>
    </xf>
    <xf numFmtId="0" fontId="6" fillId="4" borderId="60" xfId="0" applyFont="1" applyFill="1" applyBorder="1" applyAlignment="1">
      <alignment horizontal="center" vertical="center" wrapText="1"/>
    </xf>
    <xf numFmtId="166" fontId="5" fillId="5" borderId="74" xfId="0" applyNumberFormat="1" applyFont="1" applyFill="1" applyBorder="1" applyAlignment="1">
      <alignment horizontal="center" vertical="top" wrapText="1"/>
    </xf>
    <xf numFmtId="0" fontId="5" fillId="5" borderId="74" xfId="0" applyFont="1" applyFill="1" applyBorder="1" applyAlignment="1">
      <alignment vertical="top"/>
    </xf>
    <xf numFmtId="0" fontId="6" fillId="0" borderId="74" xfId="0" applyFont="1" applyFill="1" applyBorder="1" applyAlignment="1">
      <alignment horizontal="center" vertical="top" wrapText="1"/>
    </xf>
    <xf numFmtId="0" fontId="5" fillId="2" borderId="74" xfId="0" applyFont="1" applyFill="1" applyBorder="1" applyAlignment="1">
      <alignment horizontal="left" vertical="top"/>
    </xf>
    <xf numFmtId="0" fontId="0" fillId="0" borderId="74" xfId="0" applyFont="1" applyFill="1" applyBorder="1" applyAlignment="1">
      <alignment horizontal="center" vertical="center"/>
    </xf>
    <xf numFmtId="0" fontId="5" fillId="0" borderId="74" xfId="0" applyFont="1" applyBorder="1" applyAlignment="1">
      <alignment vertical="top"/>
    </xf>
    <xf numFmtId="166" fontId="5" fillId="4" borderId="74" xfId="0" applyNumberFormat="1" applyFont="1" applyFill="1" applyBorder="1" applyAlignment="1">
      <alignment vertical="top" wrapText="1"/>
    </xf>
    <xf numFmtId="1" fontId="5" fillId="4" borderId="60" xfId="0" applyNumberFormat="1" applyFont="1" applyFill="1" applyBorder="1" applyAlignment="1">
      <alignment horizontal="center" vertical="center" wrapText="1"/>
    </xf>
    <xf numFmtId="0" fontId="5" fillId="4" borderId="60" xfId="0" applyFont="1" applyFill="1" applyBorder="1" applyAlignment="1">
      <alignment horizontal="center" vertical="top" wrapText="1"/>
    </xf>
    <xf numFmtId="0" fontId="6" fillId="7" borderId="74" xfId="0" applyFont="1" applyFill="1" applyBorder="1" applyAlignment="1">
      <alignment horizontal="center" vertical="top"/>
    </xf>
    <xf numFmtId="0" fontId="5" fillId="7" borderId="74" xfId="0" applyFont="1" applyFill="1" applyBorder="1" applyAlignment="1">
      <alignment horizontal="center" vertical="center"/>
    </xf>
    <xf numFmtId="0" fontId="5" fillId="0" borderId="60" xfId="0" applyFont="1" applyFill="1" applyBorder="1" applyAlignment="1">
      <alignment horizontal="justify" vertical="center" wrapText="1"/>
    </xf>
    <xf numFmtId="0" fontId="0" fillId="0" borderId="60" xfId="0" applyFont="1" applyFill="1" applyBorder="1" applyAlignment="1">
      <alignment horizontal="center" vertical="top"/>
    </xf>
    <xf numFmtId="0" fontId="5" fillId="0" borderId="60" xfId="0" applyFont="1" applyFill="1" applyBorder="1" applyAlignment="1">
      <alignment horizontal="left" vertical="top" wrapText="1"/>
    </xf>
    <xf numFmtId="0" fontId="5" fillId="0" borderId="74" xfId="0" applyFont="1" applyFill="1" applyBorder="1" applyAlignment="1">
      <alignment horizontal="center"/>
    </xf>
    <xf numFmtId="0" fontId="5" fillId="0" borderId="60" xfId="0" applyFont="1" applyFill="1" applyBorder="1" applyAlignment="1">
      <alignment horizontal="center"/>
    </xf>
    <xf numFmtId="0" fontId="5" fillId="0" borderId="60" xfId="0" applyFont="1" applyFill="1" applyBorder="1" applyAlignment="1">
      <alignment wrapText="1"/>
    </xf>
    <xf numFmtId="0" fontId="6" fillId="0" borderId="60" xfId="0" applyFont="1" applyFill="1" applyBorder="1" applyAlignment="1">
      <alignment wrapText="1"/>
    </xf>
    <xf numFmtId="165" fontId="5" fillId="0" borderId="60" xfId="0" applyNumberFormat="1" applyFont="1" applyFill="1" applyBorder="1" applyAlignment="1">
      <alignment wrapText="1"/>
    </xf>
    <xf numFmtId="0" fontId="0" fillId="0" borderId="74" xfId="0" applyFont="1" applyFill="1" applyBorder="1"/>
    <xf numFmtId="0" fontId="5" fillId="0" borderId="60" xfId="0" quotePrefix="1" applyFont="1" applyFill="1" applyBorder="1" applyAlignment="1"/>
    <xf numFmtId="0" fontId="0" fillId="0" borderId="74" xfId="0" applyFont="1" applyFill="1" applyBorder="1" applyAlignment="1">
      <alignment horizontal="center" wrapText="1"/>
    </xf>
    <xf numFmtId="0" fontId="5" fillId="0" borderId="60" xfId="0" quotePrefix="1" applyFont="1" applyFill="1" applyBorder="1" applyAlignment="1">
      <alignment horizontal="left"/>
    </xf>
    <xf numFmtId="166" fontId="5" fillId="5" borderId="74" xfId="0" applyNumberFormat="1" applyFont="1" applyFill="1" applyBorder="1" applyAlignment="1">
      <alignment vertical="top" wrapText="1"/>
    </xf>
    <xf numFmtId="166" fontId="5" fillId="6" borderId="74" xfId="0" applyNumberFormat="1" applyFont="1" applyFill="1" applyBorder="1" applyAlignment="1">
      <alignment horizontal="left" vertical="top" wrapText="1"/>
    </xf>
    <xf numFmtId="0" fontId="6" fillId="4" borderId="60" xfId="0" applyFont="1" applyFill="1" applyBorder="1" applyAlignment="1">
      <alignment horizontal="center"/>
    </xf>
    <xf numFmtId="0" fontId="6" fillId="4" borderId="60" xfId="0" applyFont="1" applyFill="1" applyBorder="1" applyAlignment="1">
      <alignment wrapText="1"/>
    </xf>
    <xf numFmtId="0" fontId="0" fillId="4" borderId="0" xfId="0" applyFont="1" applyFill="1"/>
    <xf numFmtId="0" fontId="6" fillId="4" borderId="74" xfId="0" applyFont="1" applyFill="1" applyBorder="1" applyAlignment="1">
      <alignment horizontal="center"/>
    </xf>
    <xf numFmtId="0" fontId="6" fillId="4" borderId="74" xfId="0" applyFont="1" applyFill="1" applyBorder="1" applyAlignment="1">
      <alignment wrapText="1"/>
    </xf>
    <xf numFmtId="0" fontId="6" fillId="6" borderId="52" xfId="0" applyFont="1" applyFill="1" applyBorder="1" applyAlignment="1">
      <alignment wrapText="1"/>
    </xf>
    <xf numFmtId="0" fontId="6" fillId="6" borderId="77" xfId="0" applyFont="1" applyFill="1" applyBorder="1" applyAlignment="1">
      <alignment wrapText="1"/>
    </xf>
    <xf numFmtId="0" fontId="6" fillId="8" borderId="77" xfId="0" applyFont="1" applyFill="1" applyBorder="1" applyAlignment="1">
      <alignment wrapText="1"/>
    </xf>
    <xf numFmtId="0" fontId="6" fillId="5" borderId="74" xfId="0" applyFont="1" applyFill="1" applyBorder="1" applyAlignment="1">
      <alignment wrapText="1"/>
    </xf>
    <xf numFmtId="1" fontId="5" fillId="4" borderId="9" xfId="0" applyNumberFormat="1" applyFont="1" applyFill="1" applyBorder="1" applyAlignment="1">
      <alignment vertical="top" wrapText="1"/>
    </xf>
    <xf numFmtId="166" fontId="6" fillId="6" borderId="77" xfId="0" applyNumberFormat="1" applyFont="1" applyFill="1" applyBorder="1" applyAlignment="1">
      <alignment horizontal="center" vertical="top" wrapText="1"/>
    </xf>
    <xf numFmtId="0" fontId="6" fillId="6" borderId="77"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6" fillId="6" borderId="77" xfId="0" applyFont="1" applyFill="1" applyBorder="1" applyAlignment="1">
      <alignment horizontal="center"/>
    </xf>
    <xf numFmtId="1" fontId="6" fillId="0" borderId="60" xfId="0" applyNumberFormat="1" applyFont="1" applyFill="1" applyBorder="1" applyAlignment="1">
      <alignment vertical="top" wrapText="1"/>
    </xf>
    <xf numFmtId="0" fontId="6" fillId="0" borderId="60" xfId="0" applyFont="1" applyFill="1" applyBorder="1" applyAlignment="1">
      <alignment horizontal="justify" vertical="center" wrapText="1"/>
    </xf>
    <xf numFmtId="1" fontId="5" fillId="0" borderId="60" xfId="0" applyNumberFormat="1" applyFont="1" applyFill="1" applyBorder="1" applyAlignment="1">
      <alignment vertical="top" wrapText="1"/>
    </xf>
    <xf numFmtId="0" fontId="0" fillId="0" borderId="0" xfId="0" applyFont="1" applyFill="1" applyAlignment="1">
      <alignment horizontal="center"/>
    </xf>
    <xf numFmtId="0" fontId="5" fillId="0" borderId="0" xfId="0" applyFont="1" applyFill="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0" fontId="6" fillId="0" borderId="0" xfId="0" applyFont="1" applyFill="1" applyAlignment="1">
      <alignment horizontal="center" wrapText="1"/>
    </xf>
    <xf numFmtId="0" fontId="5" fillId="0" borderId="60" xfId="0" applyFont="1" applyFill="1" applyBorder="1" applyAlignment="1">
      <alignment horizontal="center" vertical="center" wrapText="1"/>
    </xf>
    <xf numFmtId="0" fontId="5" fillId="0" borderId="0" xfId="0" applyFont="1" applyFill="1" applyAlignment="1">
      <alignment horizontal="center"/>
    </xf>
    <xf numFmtId="0" fontId="6" fillId="0" borderId="0" xfId="0" applyFont="1" applyFill="1" applyAlignment="1">
      <alignment horizontal="center"/>
    </xf>
    <xf numFmtId="0" fontId="6" fillId="0" borderId="74" xfId="0" applyFont="1" applyFill="1" applyBorder="1" applyAlignment="1">
      <alignment vertical="top"/>
    </xf>
    <xf numFmtId="0" fontId="50" fillId="0" borderId="9" xfId="0" applyNumberFormat="1" applyFont="1" applyFill="1" applyBorder="1" applyAlignment="1" applyProtection="1">
      <alignment wrapText="1"/>
    </xf>
    <xf numFmtId="0" fontId="43" fillId="0" borderId="9" xfId="0" applyFont="1" applyFill="1" applyBorder="1" applyAlignment="1">
      <alignment vertical="center" wrapText="1"/>
    </xf>
    <xf numFmtId="0" fontId="43" fillId="0" borderId="74" xfId="0" applyFont="1" applyFill="1" applyBorder="1" applyAlignment="1">
      <alignment vertical="center" wrapText="1"/>
    </xf>
    <xf numFmtId="166" fontId="6" fillId="0" borderId="74" xfId="0" applyNumberFormat="1" applyFont="1" applyFill="1" applyBorder="1" applyAlignment="1">
      <alignment horizontal="left" vertical="top" wrapText="1"/>
    </xf>
    <xf numFmtId="0" fontId="5" fillId="0" borderId="0" xfId="0" applyFont="1" applyFill="1" applyBorder="1" applyAlignment="1">
      <alignment horizontal="center" vertical="top" wrapText="1"/>
    </xf>
    <xf numFmtId="0" fontId="6" fillId="4" borderId="74" xfId="0" applyFont="1" applyFill="1" applyBorder="1" applyAlignment="1">
      <alignment horizontal="left" vertical="top" wrapText="1"/>
    </xf>
    <xf numFmtId="166" fontId="6" fillId="0" borderId="74" xfId="0" applyNumberFormat="1" applyFont="1" applyBorder="1" applyAlignment="1">
      <alignment horizontal="left" vertical="top" wrapText="1"/>
    </xf>
    <xf numFmtId="164" fontId="6" fillId="0" borderId="74" xfId="3" applyNumberFormat="1" applyFont="1" applyFill="1" applyBorder="1" applyAlignment="1">
      <alignment horizontal="center" vertical="center" wrapText="1"/>
    </xf>
    <xf numFmtId="164" fontId="5" fillId="0" borderId="74" xfId="3" applyNumberFormat="1" applyFont="1" applyFill="1" applyBorder="1" applyAlignment="1">
      <alignment horizontal="center" vertical="center" wrapText="1"/>
    </xf>
    <xf numFmtId="0" fontId="22" fillId="0" borderId="0" xfId="0" applyFont="1" applyAlignment="1">
      <alignment horizontal="right"/>
    </xf>
    <xf numFmtId="0" fontId="5" fillId="0" borderId="60" xfId="0" applyFont="1" applyFill="1" applyBorder="1" applyAlignment="1">
      <alignment horizontal="center" vertical="center" wrapText="1"/>
    </xf>
    <xf numFmtId="0" fontId="5" fillId="0" borderId="64" xfId="0" applyFont="1" applyBorder="1" applyAlignment="1">
      <alignment horizontal="center" vertical="center" wrapText="1"/>
    </xf>
    <xf numFmtId="0" fontId="6" fillId="0" borderId="64" xfId="0" applyFont="1" applyBorder="1" applyAlignment="1">
      <alignment vertical="center" wrapText="1"/>
    </xf>
    <xf numFmtId="0" fontId="5" fillId="0" borderId="64" xfId="0" applyFont="1" applyBorder="1" applyAlignment="1">
      <alignment vertical="center" wrapText="1"/>
    </xf>
    <xf numFmtId="0" fontId="2" fillId="0" borderId="5" xfId="0" applyFont="1" applyBorder="1" applyAlignment="1">
      <alignment vertical="center"/>
    </xf>
    <xf numFmtId="0" fontId="6" fillId="0" borderId="64" xfId="0" applyFont="1" applyBorder="1" applyAlignment="1">
      <alignment horizontal="center" vertical="center" wrapText="1"/>
    </xf>
    <xf numFmtId="0" fontId="25" fillId="0" borderId="36" xfId="0" applyFont="1" applyBorder="1" applyAlignment="1">
      <alignment vertical="center" wrapText="1"/>
    </xf>
    <xf numFmtId="0" fontId="22" fillId="0" borderId="0" xfId="0" applyFont="1" applyAlignment="1">
      <alignment horizontal="center" vertical="center"/>
    </xf>
    <xf numFmtId="0" fontId="22" fillId="0" borderId="0" xfId="0" applyFont="1" applyFill="1" applyAlignment="1">
      <alignment horizontal="center"/>
    </xf>
    <xf numFmtId="0" fontId="21" fillId="0" borderId="0" xfId="0" applyFont="1" applyAlignment="1">
      <alignment horizontal="center"/>
    </xf>
    <xf numFmtId="164" fontId="22" fillId="0" borderId="11" xfId="1" applyNumberFormat="1" applyFont="1" applyBorder="1" applyAlignment="1">
      <alignment horizontal="center" vertical="center" wrapText="1"/>
    </xf>
    <xf numFmtId="0" fontId="22" fillId="0" borderId="0" xfId="0" applyFont="1" applyAlignment="1">
      <alignment vertical="center"/>
    </xf>
    <xf numFmtId="0" fontId="14" fillId="0" borderId="0" xfId="0" applyFont="1" applyAlignment="1">
      <alignment horizontal="right" vertical="center"/>
    </xf>
    <xf numFmtId="0" fontId="22" fillId="0" borderId="1" xfId="0" applyFont="1" applyBorder="1" applyAlignment="1">
      <alignment horizontal="justify" vertical="top" wrapText="1"/>
    </xf>
    <xf numFmtId="0" fontId="22" fillId="0" borderId="27" xfId="0" applyFont="1" applyBorder="1" applyAlignment="1">
      <alignment horizontal="justify" vertical="center" wrapText="1"/>
    </xf>
    <xf numFmtId="0" fontId="6" fillId="0" borderId="27" xfId="0" applyFont="1" applyBorder="1" applyAlignment="1">
      <alignment horizontal="justify" vertical="center" wrapText="1"/>
    </xf>
    <xf numFmtId="0" fontId="22" fillId="0" borderId="29" xfId="0" applyFont="1" applyBorder="1" applyAlignment="1">
      <alignment horizontal="left" vertical="center" wrapText="1"/>
    </xf>
    <xf numFmtId="0" fontId="21" fillId="0" borderId="79" xfId="0" applyFont="1" applyBorder="1" applyAlignment="1">
      <alignment horizontal="left" vertical="center" wrapText="1"/>
    </xf>
    <xf numFmtId="0" fontId="2" fillId="0" borderId="0" xfId="0" applyFont="1" applyAlignment="1">
      <alignment horizontal="center" vertical="top"/>
    </xf>
    <xf numFmtId="0" fontId="22" fillId="0" borderId="27" xfId="0" applyFont="1" applyFill="1" applyBorder="1" applyAlignment="1">
      <alignment horizontal="center" vertical="center" wrapText="1"/>
    </xf>
    <xf numFmtId="0" fontId="22" fillId="0" borderId="48" xfId="0" applyFont="1" applyFill="1" applyBorder="1" applyAlignment="1">
      <alignment horizontal="center" vertical="center" wrapText="1"/>
    </xf>
    <xf numFmtId="164" fontId="22" fillId="0" borderId="64" xfId="1" applyNumberFormat="1" applyFont="1" applyFill="1" applyBorder="1" applyAlignment="1">
      <alignment horizontal="center" vertical="center" wrapText="1"/>
    </xf>
    <xf numFmtId="49" fontId="22" fillId="0" borderId="74" xfId="1" quotePrefix="1" applyNumberFormat="1" applyFont="1" applyFill="1" applyBorder="1" applyAlignment="1">
      <alignment horizontal="center" vertical="center" wrapText="1"/>
    </xf>
    <xf numFmtId="49" fontId="22" fillId="0" borderId="74" xfId="1" applyNumberFormat="1" applyFont="1" applyFill="1" applyBorder="1" applyAlignment="1">
      <alignment horizontal="center" vertical="center" wrapText="1"/>
    </xf>
    <xf numFmtId="49" fontId="29" fillId="0" borderId="74" xfId="1" applyNumberFormat="1" applyFont="1" applyFill="1" applyBorder="1" applyAlignment="1">
      <alignment horizontal="center" vertical="center" wrapText="1"/>
    </xf>
    <xf numFmtId="0" fontId="21" fillId="0" borderId="0" xfId="0" quotePrefix="1" applyFont="1" applyFill="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xf>
    <xf numFmtId="0" fontId="6" fillId="0" borderId="0" xfId="0" applyFont="1" applyAlignment="1">
      <alignment horizontal="center" vertical="center" wrapText="1"/>
    </xf>
    <xf numFmtId="0" fontId="35" fillId="0" borderId="0" xfId="0" applyFont="1" applyBorder="1" applyAlignment="1">
      <alignment horizontal="center" vertical="center"/>
    </xf>
    <xf numFmtId="164" fontId="6" fillId="0" borderId="37" xfId="1" applyNumberFormat="1" applyFont="1" applyBorder="1" applyAlignment="1">
      <alignment horizontal="center" vertical="center" wrapText="1"/>
    </xf>
    <xf numFmtId="164" fontId="6" fillId="0" borderId="38"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pplyAlignment="1">
      <alignment vertical="center"/>
    </xf>
    <xf numFmtId="0" fontId="5" fillId="0" borderId="0" xfId="0" applyFont="1" applyBorder="1" applyAlignment="1">
      <alignment vertical="center" wrapText="1"/>
    </xf>
    <xf numFmtId="0" fontId="35" fillId="0" borderId="0" xfId="0" applyFont="1" applyBorder="1" applyAlignment="1">
      <alignment vertical="center" wrapText="1"/>
    </xf>
    <xf numFmtId="0" fontId="0" fillId="0" borderId="0" xfId="0" applyFont="1" applyBorder="1" applyAlignment="1">
      <alignment horizontal="center" vertical="center"/>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6" fillId="0" borderId="0" xfId="0" applyFont="1" applyBorder="1" applyAlignment="1">
      <alignment horizontal="center" vertical="center"/>
    </xf>
    <xf numFmtId="0" fontId="0" fillId="0" borderId="0" xfId="0" applyFont="1" applyAlignment="1">
      <alignment horizontal="center" vertical="center"/>
    </xf>
    <xf numFmtId="0" fontId="13" fillId="0" borderId="86" xfId="0" applyFont="1" applyBorder="1" applyAlignment="1">
      <alignment horizontal="center" vertical="top" wrapText="1"/>
    </xf>
    <xf numFmtId="0" fontId="13" fillId="0" borderId="83" xfId="0" applyFont="1" applyBorder="1" applyAlignment="1">
      <alignment horizontal="justify" vertical="top" wrapText="1"/>
    </xf>
    <xf numFmtId="0" fontId="12" fillId="0" borderId="86" xfId="0" applyFont="1" applyBorder="1" applyAlignment="1">
      <alignment horizontal="center" vertical="top" wrapText="1"/>
    </xf>
    <xf numFmtId="0" fontId="5" fillId="0" borderId="0" xfId="0" applyFont="1" applyAlignment="1">
      <alignment horizontal="justify" vertical="center"/>
    </xf>
    <xf numFmtId="0" fontId="12" fillId="0" borderId="83" xfId="0" applyFont="1" applyBorder="1" applyAlignment="1">
      <alignment horizontal="justify" vertical="top" wrapText="1"/>
    </xf>
    <xf numFmtId="0" fontId="12" fillId="0" borderId="86" xfId="5" applyFont="1" applyBorder="1" applyAlignment="1">
      <alignment horizontal="center" vertical="top" wrapText="1"/>
    </xf>
    <xf numFmtId="0" fontId="12" fillId="0" borderId="83" xfId="5" applyFont="1" applyBorder="1" applyAlignment="1">
      <alignment horizontal="justify" vertical="top" wrapText="1"/>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3" fillId="0" borderId="82" xfId="0" applyFont="1" applyBorder="1" applyAlignment="1">
      <alignment horizontal="center" vertical="top" wrapText="1"/>
    </xf>
    <xf numFmtId="0" fontId="13" fillId="0" borderId="84" xfId="0" applyFont="1" applyBorder="1" applyAlignment="1">
      <alignment horizontal="justify" vertical="top" wrapText="1"/>
    </xf>
    <xf numFmtId="0" fontId="13" fillId="0" borderId="85" xfId="0" applyFont="1" applyBorder="1" applyAlignment="1">
      <alignment vertical="top"/>
    </xf>
    <xf numFmtId="0" fontId="48" fillId="0" borderId="86" xfId="0" applyFont="1" applyBorder="1" applyAlignment="1">
      <alignment horizontal="center" vertical="top" wrapText="1"/>
    </xf>
    <xf numFmtId="0" fontId="48" fillId="0" borderId="83" xfId="0" applyFont="1" applyBorder="1" applyAlignment="1">
      <alignment horizontal="justify" vertical="top" wrapText="1"/>
    </xf>
    <xf numFmtId="0" fontId="47" fillId="0" borderId="87" xfId="0" applyFont="1" applyBorder="1" applyAlignment="1">
      <alignment vertical="top"/>
    </xf>
    <xf numFmtId="9" fontId="13" fillId="0" borderId="87" xfId="0" applyNumberFormat="1" applyFont="1" applyBorder="1" applyAlignment="1">
      <alignment vertical="top"/>
    </xf>
    <xf numFmtId="0" fontId="47" fillId="0" borderId="86" xfId="0" applyFont="1" applyBorder="1" applyAlignment="1">
      <alignment horizontal="center" vertical="top" wrapText="1"/>
    </xf>
    <xf numFmtId="0" fontId="47" fillId="0" borderId="83" xfId="0" applyFont="1" applyBorder="1" applyAlignment="1">
      <alignment horizontal="justify" vertical="top" wrapText="1"/>
    </xf>
    <xf numFmtId="0" fontId="48" fillId="0" borderId="87" xfId="0" applyFont="1" applyBorder="1" applyAlignment="1">
      <alignment vertical="top"/>
    </xf>
    <xf numFmtId="0" fontId="12" fillId="0" borderId="87" xfId="0" applyFont="1" applyBorder="1" applyAlignment="1">
      <alignment vertical="top"/>
    </xf>
    <xf numFmtId="0" fontId="12" fillId="0" borderId="87" xfId="5" applyFont="1" applyBorder="1" applyAlignment="1">
      <alignment vertical="top"/>
    </xf>
    <xf numFmtId="0" fontId="13" fillId="0" borderId="30" xfId="0" applyFont="1" applyBorder="1" applyAlignment="1">
      <alignment horizontal="center" vertical="top" wrapText="1"/>
    </xf>
    <xf numFmtId="0" fontId="13" fillId="0" borderId="31" xfId="0" applyFont="1" applyBorder="1" applyAlignment="1">
      <alignment horizontal="justify" vertical="top" wrapText="1"/>
    </xf>
    <xf numFmtId="0" fontId="12" fillId="0" borderId="32" xfId="0" applyFont="1" applyBorder="1" applyAlignment="1">
      <alignment vertical="top"/>
    </xf>
    <xf numFmtId="0" fontId="13" fillId="0" borderId="84" xfId="0" applyFont="1" applyBorder="1" applyAlignment="1">
      <alignment vertical="top" wrapText="1"/>
    </xf>
    <xf numFmtId="0" fontId="47" fillId="0" borderId="83" xfId="0" applyFont="1" applyBorder="1" applyAlignment="1">
      <alignment vertical="top" wrapText="1"/>
    </xf>
    <xf numFmtId="3" fontId="12" fillId="0" borderId="83" xfId="0" applyNumberFormat="1" applyFont="1" applyBorder="1" applyAlignment="1">
      <alignment vertical="top" wrapText="1"/>
    </xf>
    <xf numFmtId="0" fontId="48" fillId="0" borderId="83" xfId="0" applyFont="1" applyBorder="1" applyAlignment="1">
      <alignment vertical="top" wrapText="1"/>
    </xf>
    <xf numFmtId="0" fontId="12" fillId="0" borderId="83" xfId="0" applyFont="1" applyBorder="1" applyAlignment="1">
      <alignment vertical="top" wrapText="1"/>
    </xf>
    <xf numFmtId="3" fontId="12" fillId="0" borderId="83" xfId="5" applyNumberFormat="1" applyFont="1" applyBorder="1" applyAlignment="1">
      <alignment vertical="top" wrapText="1"/>
    </xf>
    <xf numFmtId="0" fontId="14" fillId="0" borderId="0" xfId="0" applyFont="1" applyAlignment="1">
      <alignment horizontal="center" vertical="center" wrapText="1"/>
    </xf>
    <xf numFmtId="0" fontId="6" fillId="0" borderId="0" xfId="0" applyFont="1" applyAlignment="1">
      <alignment wrapText="1"/>
    </xf>
    <xf numFmtId="0" fontId="21" fillId="0" borderId="5" xfId="0" applyFont="1" applyFill="1" applyBorder="1" applyAlignment="1">
      <alignment vertical="center" wrapText="1"/>
    </xf>
    <xf numFmtId="0" fontId="21" fillId="0" borderId="64" xfId="0" applyFont="1" applyFill="1" applyBorder="1" applyAlignment="1">
      <alignment vertical="center" wrapText="1"/>
    </xf>
    <xf numFmtId="0" fontId="21" fillId="0" borderId="6" xfId="0" applyFont="1" applyFill="1" applyBorder="1" applyAlignment="1">
      <alignment vertical="center" wrapText="1"/>
    </xf>
    <xf numFmtId="166" fontId="21" fillId="0" borderId="22" xfId="0" applyNumberFormat="1" applyFont="1" applyFill="1" applyBorder="1" applyAlignment="1">
      <alignment vertical="top" wrapText="1"/>
    </xf>
    <xf numFmtId="166" fontId="21" fillId="0" borderId="35" xfId="0" applyNumberFormat="1" applyFont="1" applyFill="1" applyBorder="1" applyAlignment="1">
      <alignment vertical="top" wrapText="1"/>
    </xf>
    <xf numFmtId="166" fontId="21" fillId="0" borderId="44" xfId="0" applyNumberFormat="1" applyFont="1" applyFill="1" applyBorder="1" applyAlignment="1">
      <alignment vertical="top" wrapText="1"/>
    </xf>
    <xf numFmtId="166" fontId="21" fillId="0" borderId="41" xfId="0" applyNumberFormat="1" applyFont="1" applyFill="1" applyBorder="1" applyAlignment="1">
      <alignment vertical="top" wrapText="1"/>
    </xf>
    <xf numFmtId="1" fontId="21" fillId="0" borderId="44" xfId="0" applyNumberFormat="1" applyFont="1" applyFill="1" applyBorder="1" applyAlignment="1">
      <alignment vertical="top" wrapText="1"/>
    </xf>
    <xf numFmtId="1" fontId="22" fillId="0" borderId="44" xfId="0" applyNumberFormat="1" applyFont="1" applyFill="1" applyBorder="1" applyAlignment="1">
      <alignment horizontal="center" vertical="top" wrapText="1"/>
    </xf>
    <xf numFmtId="166" fontId="21" fillId="0" borderId="88" xfId="0" applyNumberFormat="1" applyFont="1" applyFill="1" applyBorder="1" applyAlignment="1">
      <alignment vertical="top" wrapText="1"/>
    </xf>
    <xf numFmtId="1" fontId="21" fillId="0" borderId="41" xfId="0" applyNumberFormat="1" applyFont="1" applyFill="1" applyBorder="1" applyAlignment="1">
      <alignment vertical="top" wrapText="1"/>
    </xf>
    <xf numFmtId="0" fontId="21" fillId="0" borderId="79" xfId="0" applyFont="1" applyFill="1" applyBorder="1" applyAlignment="1">
      <alignment horizontal="left" vertical="center" wrapText="1"/>
    </xf>
    <xf numFmtId="0" fontId="7" fillId="0" borderId="74" xfId="0" applyFont="1" applyBorder="1" applyAlignment="1">
      <alignment horizontal="justify" vertical="top" wrapText="1"/>
    </xf>
    <xf numFmtId="0" fontId="7" fillId="0" borderId="74" xfId="0" applyFont="1" applyBorder="1" applyAlignment="1">
      <alignment horizontal="center" vertical="top" wrapText="1"/>
    </xf>
    <xf numFmtId="0" fontId="7" fillId="0" borderId="74" xfId="0" applyFont="1" applyBorder="1" applyAlignment="1">
      <alignment vertical="top"/>
    </xf>
    <xf numFmtId="0" fontId="5" fillId="0" borderId="1" xfId="0" applyFont="1" applyBorder="1" applyAlignment="1">
      <alignment horizontal="center" vertical="center" wrapText="1"/>
    </xf>
    <xf numFmtId="0" fontId="32" fillId="0" borderId="49" xfId="0" applyFont="1" applyBorder="1" applyAlignment="1">
      <alignment horizontal="center" vertical="center" wrapText="1"/>
    </xf>
    <xf numFmtId="0" fontId="21" fillId="0" borderId="74" xfId="0" applyFont="1" applyFill="1" applyBorder="1" applyAlignment="1">
      <alignment horizontal="center" vertical="center" wrapText="1"/>
    </xf>
    <xf numFmtId="0" fontId="22" fillId="0" borderId="74" xfId="0" applyFont="1" applyFill="1" applyBorder="1" applyAlignment="1">
      <alignment horizontal="center" vertical="center" wrapText="1"/>
    </xf>
    <xf numFmtId="0" fontId="0" fillId="0" borderId="0" xfId="0" applyFont="1"/>
    <xf numFmtId="0" fontId="35" fillId="0" borderId="53" xfId="0" applyFont="1" applyBorder="1" applyAlignment="1">
      <alignment vertical="center"/>
    </xf>
    <xf numFmtId="164" fontId="6" fillId="0" borderId="39" xfId="1" applyNumberFormat="1" applyFont="1" applyBorder="1" applyAlignment="1">
      <alignment horizontal="center" vertical="center" wrapText="1"/>
    </xf>
    <xf numFmtId="0" fontId="0" fillId="0" borderId="0" xfId="0" applyFont="1" applyAlignment="1">
      <alignment vertical="top"/>
    </xf>
    <xf numFmtId="0" fontId="0" fillId="0" borderId="0" xfId="0" applyFont="1" applyAlignment="1">
      <alignment horizontal="center"/>
    </xf>
    <xf numFmtId="0" fontId="0" fillId="0" borderId="0" xfId="0" applyFont="1" applyAlignment="1">
      <alignment wrapText="1"/>
    </xf>
    <xf numFmtId="0" fontId="6" fillId="0" borderId="0" xfId="0" applyFont="1" applyAlignment="1">
      <alignment horizontal="left" vertical="center" wrapText="1"/>
    </xf>
    <xf numFmtId="0" fontId="35" fillId="0" borderId="0" xfId="0" applyFont="1" applyAlignment="1">
      <alignment wrapText="1"/>
    </xf>
    <xf numFmtId="0" fontId="5" fillId="0" borderId="0" xfId="0" applyFont="1" applyAlignment="1">
      <alignment horizontal="left" vertical="center" wrapText="1"/>
    </xf>
    <xf numFmtId="0" fontId="6" fillId="0" borderId="0" xfId="0" applyFont="1" applyAlignment="1">
      <alignment vertical="center" wrapText="1"/>
    </xf>
    <xf numFmtId="0" fontId="35" fillId="0" borderId="53" xfId="0" applyFont="1" applyBorder="1" applyAlignment="1">
      <alignment horizontal="center" vertical="center"/>
    </xf>
    <xf numFmtId="41" fontId="13" fillId="0" borderId="54" xfId="0" applyNumberFormat="1" applyFont="1" applyBorder="1" applyAlignment="1">
      <alignment horizontal="right" vertical="center" wrapText="1"/>
    </xf>
    <xf numFmtId="41" fontId="12" fillId="0" borderId="54" xfId="2" applyFont="1" applyFill="1" applyBorder="1" applyAlignment="1">
      <alignment horizontal="right" vertical="center" wrapText="1"/>
    </xf>
    <xf numFmtId="41" fontId="12" fillId="0" borderId="54" xfId="2" applyFont="1" applyBorder="1" applyAlignment="1">
      <alignment horizontal="right" vertical="center" wrapText="1"/>
    </xf>
    <xf numFmtId="3" fontId="13" fillId="0" borderId="74" xfId="0" applyNumberFormat="1" applyFont="1" applyBorder="1" applyAlignment="1">
      <alignment horizontal="right" vertical="center" wrapText="1"/>
    </xf>
    <xf numFmtId="41" fontId="13" fillId="0" borderId="74" xfId="0" applyNumberFormat="1" applyFont="1" applyBorder="1" applyAlignment="1">
      <alignment horizontal="right" vertical="center" wrapText="1"/>
    </xf>
    <xf numFmtId="167" fontId="12" fillId="4" borderId="74" xfId="1" applyNumberFormat="1" applyFont="1" applyFill="1" applyBorder="1" applyAlignment="1">
      <alignment horizontal="right" vertical="center"/>
    </xf>
    <xf numFmtId="3" fontId="12" fillId="0" borderId="74" xfId="0" applyNumberFormat="1" applyFont="1" applyFill="1" applyBorder="1" applyAlignment="1">
      <alignment horizontal="right" vertical="top" wrapText="1"/>
    </xf>
    <xf numFmtId="164" fontId="12" fillId="0" borderId="74" xfId="3" applyNumberFormat="1" applyFont="1" applyFill="1" applyBorder="1" applyAlignment="1">
      <alignment horizontal="right" vertical="top" wrapText="1"/>
    </xf>
    <xf numFmtId="3" fontId="13" fillId="0" borderId="54" xfId="0" applyNumberFormat="1" applyFont="1" applyBorder="1" applyAlignment="1">
      <alignment horizontal="center" vertical="center" wrapText="1"/>
    </xf>
    <xf numFmtId="0" fontId="21" fillId="0" borderId="90" xfId="0" applyFont="1" applyBorder="1" applyAlignment="1">
      <alignment horizontal="right" vertical="center" wrapText="1"/>
    </xf>
    <xf numFmtId="164" fontId="22" fillId="0" borderId="74" xfId="1" applyNumberFormat="1" applyFont="1" applyBorder="1" applyAlignment="1">
      <alignment horizontal="center" vertical="center" wrapText="1"/>
    </xf>
    <xf numFmtId="164" fontId="22" fillId="0" borderId="74" xfId="1" applyNumberFormat="1" applyFont="1" applyBorder="1" applyAlignment="1">
      <alignment horizontal="left" vertical="center" wrapText="1"/>
    </xf>
    <xf numFmtId="164" fontId="22" fillId="0" borderId="74" xfId="1" quotePrefix="1" applyNumberFormat="1" applyFont="1" applyBorder="1" applyAlignment="1">
      <alignment horizontal="center" vertical="center" wrapText="1"/>
    </xf>
    <xf numFmtId="164" fontId="22" fillId="0" borderId="74" xfId="1" quotePrefix="1" applyNumberFormat="1" applyFont="1" applyBorder="1" applyAlignment="1">
      <alignment vertical="center" wrapText="1"/>
    </xf>
    <xf numFmtId="0" fontId="22" fillId="0" borderId="74" xfId="0" applyFont="1" applyBorder="1" applyAlignment="1">
      <alignment horizontal="right" vertical="top" wrapText="1"/>
    </xf>
    <xf numFmtId="0" fontId="22" fillId="0" borderId="74" xfId="0" applyFont="1" applyBorder="1" applyAlignment="1">
      <alignment horizontal="center" vertical="top" wrapText="1"/>
    </xf>
    <xf numFmtId="0" fontId="22" fillId="0" borderId="74" xfId="0" applyFont="1" applyBorder="1" applyAlignment="1">
      <alignment vertical="top"/>
    </xf>
    <xf numFmtId="0" fontId="21" fillId="0" borderId="74" xfId="0" applyFont="1" applyBorder="1" applyAlignment="1">
      <alignment horizontal="right" vertical="center" wrapText="1"/>
    </xf>
    <xf numFmtId="0" fontId="21" fillId="0" borderId="74" xfId="0" applyFont="1" applyBorder="1" applyAlignment="1">
      <alignment horizontal="left" vertical="center" wrapText="1"/>
    </xf>
    <xf numFmtId="0" fontId="21" fillId="0" borderId="74" xfId="0" applyFont="1" applyBorder="1" applyAlignment="1">
      <alignment horizontal="center" vertical="center" wrapText="1"/>
    </xf>
    <xf numFmtId="0" fontId="21" fillId="0" borderId="74" xfId="0" applyFont="1" applyBorder="1" applyAlignment="1">
      <alignment vertical="center"/>
    </xf>
    <xf numFmtId="0" fontId="22" fillId="0" borderId="74" xfId="0" applyFont="1" applyBorder="1" applyAlignment="1">
      <alignment horizontal="center" vertical="center" wrapText="1"/>
    </xf>
    <xf numFmtId="0" fontId="22" fillId="0" borderId="74" xfId="0" applyFont="1" applyBorder="1" applyAlignment="1">
      <alignment horizontal="justify" vertical="center" wrapText="1"/>
    </xf>
    <xf numFmtId="0" fontId="22" fillId="0" borderId="74" xfId="0" applyNumberFormat="1" applyFont="1" applyBorder="1" applyAlignment="1">
      <alignment horizontal="center" vertical="center" wrapText="1"/>
    </xf>
    <xf numFmtId="0" fontId="25" fillId="0" borderId="0" xfId="0" applyFont="1" applyAlignment="1">
      <alignment wrapText="1"/>
    </xf>
    <xf numFmtId="0" fontId="52" fillId="0" borderId="0" xfId="0" applyFont="1"/>
    <xf numFmtId="0" fontId="25" fillId="0" borderId="0" xfId="0" applyFont="1"/>
    <xf numFmtId="0" fontId="30" fillId="0" borderId="0" xfId="0" applyFont="1" applyBorder="1" applyAlignment="1"/>
    <xf numFmtId="164" fontId="24" fillId="0" borderId="64" xfId="1" applyNumberFormat="1" applyFont="1" applyBorder="1" applyAlignment="1">
      <alignment horizontal="center" vertical="center" wrapText="1"/>
    </xf>
    <xf numFmtId="164" fontId="24" fillId="0" borderId="3" xfId="1" applyNumberFormat="1" applyFont="1" applyBorder="1" applyAlignment="1">
      <alignment horizontal="center" vertical="center" wrapText="1"/>
    </xf>
    <xf numFmtId="164" fontId="10" fillId="0" borderId="60" xfId="3" applyNumberFormat="1" applyFont="1" applyBorder="1" applyAlignment="1">
      <alignment horizontal="left" vertical="center" wrapText="1"/>
    </xf>
    <xf numFmtId="0" fontId="52" fillId="0" borderId="2" xfId="0" applyFont="1" applyBorder="1"/>
    <xf numFmtId="164" fontId="24" fillId="0" borderId="4" xfId="1" applyNumberFormat="1" applyFont="1" applyBorder="1" applyAlignment="1">
      <alignment horizontal="center" vertical="center" wrapText="1"/>
    </xf>
    <xf numFmtId="0" fontId="52" fillId="0" borderId="0" xfId="0" applyFont="1" applyBorder="1"/>
    <xf numFmtId="164" fontId="24" fillId="0" borderId="5" xfId="1" applyNumberFormat="1" applyFont="1" applyBorder="1" applyAlignment="1">
      <alignment horizontal="center" vertical="center" wrapText="1"/>
    </xf>
    <xf numFmtId="0" fontId="24" fillId="0" borderId="65" xfId="0" applyFont="1" applyBorder="1" applyAlignment="1">
      <alignment horizontal="center" vertical="center" wrapText="1"/>
    </xf>
    <xf numFmtId="0" fontId="24" fillId="0" borderId="1" xfId="0" applyFont="1" applyBorder="1" applyAlignment="1">
      <alignment horizontal="justify" vertical="center" wrapText="1"/>
    </xf>
    <xf numFmtId="0" fontId="24" fillId="0" borderId="61" xfId="0" applyFont="1" applyBorder="1" applyAlignment="1">
      <alignment horizontal="center" vertical="center" wrapText="1"/>
    </xf>
    <xf numFmtId="0" fontId="25" fillId="0" borderId="66" xfId="0" applyFont="1" applyBorder="1" applyAlignment="1">
      <alignment vertical="center"/>
    </xf>
    <xf numFmtId="0" fontId="25" fillId="0" borderId="67" xfId="0" applyFont="1" applyBorder="1" applyAlignment="1">
      <alignment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4" fillId="0" borderId="69" xfId="0" applyFont="1" applyBorder="1" applyAlignment="1">
      <alignment vertical="center"/>
    </xf>
    <xf numFmtId="0" fontId="53" fillId="0" borderId="0" xfId="0" applyFont="1" applyAlignment="1">
      <alignment vertical="top"/>
    </xf>
    <xf numFmtId="0" fontId="25" fillId="0" borderId="65"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xf>
    <xf numFmtId="0" fontId="25" fillId="0" borderId="1" xfId="0" applyFont="1" applyBorder="1" applyAlignment="1">
      <alignment horizontal="center" vertical="center"/>
    </xf>
    <xf numFmtId="0" fontId="25" fillId="0" borderId="70" xfId="0" applyFont="1" applyBorder="1" applyAlignment="1">
      <alignment vertical="center"/>
    </xf>
    <xf numFmtId="0" fontId="14" fillId="0" borderId="65" xfId="0" applyFont="1" applyBorder="1" applyAlignment="1">
      <alignment horizontal="center" vertical="center" wrapText="1"/>
    </xf>
    <xf numFmtId="0" fontId="14"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71" xfId="0" applyFont="1" applyBorder="1" applyAlignment="1">
      <alignment vertical="center"/>
    </xf>
    <xf numFmtId="0" fontId="9" fillId="0" borderId="71" xfId="0" applyFont="1" applyBorder="1" applyAlignment="1">
      <alignment horizontal="center" vertical="center"/>
    </xf>
    <xf numFmtId="0" fontId="9" fillId="0" borderId="70" xfId="0" applyFont="1" applyBorder="1" applyAlignment="1">
      <alignment vertical="center"/>
    </xf>
    <xf numFmtId="0" fontId="25" fillId="0" borderId="71" xfId="0" applyFont="1" applyBorder="1" applyAlignment="1">
      <alignment vertical="center"/>
    </xf>
    <xf numFmtId="0" fontId="25" fillId="0" borderId="71" xfId="0" applyFont="1" applyBorder="1" applyAlignment="1">
      <alignment horizontal="center" vertical="center"/>
    </xf>
    <xf numFmtId="0" fontId="25" fillId="0" borderId="49" xfId="0" applyFont="1" applyBorder="1" applyAlignment="1">
      <alignment vertical="center"/>
    </xf>
    <xf numFmtId="0" fontId="25" fillId="0" borderId="49" xfId="0" applyFont="1" applyBorder="1" applyAlignment="1">
      <alignment horizontal="center" vertical="center"/>
    </xf>
    <xf numFmtId="0" fontId="25" fillId="0" borderId="71" xfId="0" applyFont="1" applyBorder="1" applyAlignment="1">
      <alignment horizontal="center" vertical="center" wrapText="1"/>
    </xf>
    <xf numFmtId="0" fontId="24" fillId="0" borderId="71" xfId="0" applyFont="1" applyBorder="1" applyAlignment="1">
      <alignment vertical="center"/>
    </xf>
    <xf numFmtId="0" fontId="24" fillId="0" borderId="71" xfId="0" applyFont="1" applyBorder="1" applyAlignment="1">
      <alignment horizontal="center" vertical="center"/>
    </xf>
    <xf numFmtId="0" fontId="25" fillId="0" borderId="73" xfId="0" applyFont="1" applyBorder="1" applyAlignment="1">
      <alignment vertical="center"/>
    </xf>
    <xf numFmtId="0" fontId="25" fillId="0" borderId="0" xfId="0" applyFont="1" applyAlignment="1">
      <alignment horizontal="center"/>
    </xf>
    <xf numFmtId="0" fontId="24" fillId="0" borderId="0" xfId="0" applyFont="1" applyAlignment="1">
      <alignment wrapText="1"/>
    </xf>
    <xf numFmtId="0" fontId="24" fillId="0" borderId="0" xfId="0" applyFont="1" applyAlignment="1"/>
    <xf numFmtId="0" fontId="25" fillId="0" borderId="0" xfId="0" applyFont="1" applyAlignme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0" fontId="5" fillId="0" borderId="74" xfId="0" applyFont="1" applyBorder="1" applyAlignment="1">
      <alignment vertical="center"/>
    </xf>
    <xf numFmtId="0" fontId="0" fillId="0" borderId="74" xfId="0" applyFont="1" applyBorder="1" applyAlignment="1">
      <alignment vertical="center"/>
    </xf>
    <xf numFmtId="164" fontId="5" fillId="0" borderId="74" xfId="1" applyNumberFormat="1" applyFont="1" applyBorder="1" applyAlignment="1">
      <alignment horizontal="center" vertical="center" wrapText="1"/>
    </xf>
    <xf numFmtId="164" fontId="5" fillId="0" borderId="74" xfId="1" applyNumberFormat="1" applyFont="1" applyBorder="1" applyAlignment="1">
      <alignment vertical="center" wrapText="1"/>
    </xf>
    <xf numFmtId="164" fontId="5" fillId="0" borderId="74" xfId="1" applyNumberFormat="1" applyFont="1" applyBorder="1" applyAlignment="1">
      <alignment horizontal="left" vertical="center" wrapText="1"/>
    </xf>
    <xf numFmtId="0" fontId="0" fillId="0" borderId="74" xfId="0" applyFont="1" applyBorder="1" applyAlignment="1">
      <alignment vertical="center" wrapText="1"/>
    </xf>
    <xf numFmtId="3" fontId="5" fillId="0" borderId="74" xfId="0" applyNumberFormat="1" applyFont="1" applyBorder="1" applyAlignment="1">
      <alignment horizontal="center" vertical="center" wrapText="1"/>
    </xf>
    <xf numFmtId="164" fontId="5" fillId="0" borderId="74" xfId="3" applyNumberFormat="1" applyFont="1" applyBorder="1" applyAlignment="1">
      <alignment horizontal="center" vertical="center" wrapText="1"/>
    </xf>
    <xf numFmtId="49" fontId="5" fillId="0" borderId="74" xfId="3" applyNumberFormat="1" applyFont="1" applyBorder="1" applyAlignment="1">
      <alignment horizontal="center" vertical="center" wrapText="1"/>
    </xf>
    <xf numFmtId="0" fontId="5" fillId="0" borderId="74" xfId="5" applyFont="1" applyBorder="1" applyAlignment="1">
      <alignment horizontal="center" vertical="center"/>
    </xf>
    <xf numFmtId="0" fontId="6" fillId="0" borderId="74" xfId="0" applyFont="1" applyBorder="1" applyAlignment="1">
      <alignment vertical="center"/>
    </xf>
    <xf numFmtId="0" fontId="2" fillId="0" borderId="74" xfId="0" applyFont="1" applyBorder="1" applyAlignment="1">
      <alignment horizontal="center" vertical="center"/>
    </xf>
    <xf numFmtId="164" fontId="5" fillId="0" borderId="74" xfId="0" applyNumberFormat="1" applyFont="1" applyBorder="1" applyAlignment="1">
      <alignment horizontal="center" vertical="center" wrapText="1"/>
    </xf>
    <xf numFmtId="0" fontId="25" fillId="0" borderId="79" xfId="0" applyFont="1" applyBorder="1" applyAlignment="1">
      <alignment horizontal="left" vertical="center" wrapText="1"/>
    </xf>
    <xf numFmtId="164" fontId="25" fillId="0" borderId="79" xfId="1" applyNumberFormat="1" applyFont="1" applyBorder="1" applyAlignment="1">
      <alignment horizontal="center" vertical="center" wrapText="1"/>
    </xf>
    <xf numFmtId="164" fontId="25" fillId="0" borderId="5" xfId="1" applyNumberFormat="1" applyFont="1" applyBorder="1" applyAlignment="1">
      <alignment horizontal="center" vertical="center" wrapText="1"/>
    </xf>
    <xf numFmtId="0" fontId="55" fillId="0" borderId="79" xfId="0" applyFont="1" applyBorder="1" applyAlignment="1">
      <alignment vertical="center" wrapText="1"/>
    </xf>
    <xf numFmtId="49" fontId="24" fillId="0" borderId="74" xfId="1" quotePrefix="1" applyNumberFormat="1" applyFont="1" applyFill="1" applyBorder="1" applyAlignment="1">
      <alignment horizontal="center" vertical="center" wrapText="1"/>
    </xf>
    <xf numFmtId="49" fontId="24" fillId="0" borderId="74" xfId="1" applyNumberFormat="1" applyFont="1" applyFill="1" applyBorder="1" applyAlignment="1">
      <alignment horizontal="center" vertical="center" wrapText="1"/>
    </xf>
    <xf numFmtId="0" fontId="52" fillId="0" borderId="78" xfId="0" applyFont="1" applyBorder="1"/>
    <xf numFmtId="0" fontId="0" fillId="0" borderId="74" xfId="0" applyFont="1" applyBorder="1" applyAlignment="1">
      <alignment vertical="top"/>
    </xf>
    <xf numFmtId="0" fontId="25" fillId="0" borderId="79" xfId="0" applyFont="1" applyBorder="1" applyAlignment="1">
      <alignment horizontal="center" vertical="center"/>
    </xf>
    <xf numFmtId="0" fontId="12" fillId="0" borderId="91" xfId="0" applyFont="1" applyBorder="1" applyAlignment="1">
      <alignment horizontal="center" vertical="top" wrapText="1"/>
    </xf>
    <xf numFmtId="0" fontId="6" fillId="0" borderId="74" xfId="0" applyFont="1" applyBorder="1" applyAlignment="1">
      <alignment horizontal="right" vertical="center" wrapText="1"/>
    </xf>
    <xf numFmtId="164" fontId="6" fillId="0" borderId="74" xfId="1" applyNumberFormat="1" applyFont="1" applyBorder="1" applyAlignment="1">
      <alignment horizontal="center" vertical="center" wrapText="1"/>
    </xf>
    <xf numFmtId="3" fontId="6" fillId="0" borderId="74" xfId="0" applyNumberFormat="1" applyFont="1" applyBorder="1" applyAlignment="1">
      <alignment horizontal="center" vertical="center" wrapText="1"/>
    </xf>
    <xf numFmtId="3" fontId="13" fillId="0" borderId="83" xfId="0" applyNumberFormat="1" applyFont="1" applyBorder="1" applyAlignment="1">
      <alignment vertical="top" wrapText="1"/>
    </xf>
    <xf numFmtId="41" fontId="12" fillId="0" borderId="74" xfId="0" applyNumberFormat="1" applyFont="1" applyBorder="1" applyAlignment="1">
      <alignment horizontal="right" vertical="center" wrapText="1"/>
    </xf>
    <xf numFmtId="0" fontId="12" fillId="0" borderId="83" xfId="0" applyFont="1" applyBorder="1" applyAlignment="1">
      <alignment vertical="top"/>
    </xf>
    <xf numFmtId="0" fontId="56" fillId="0" borderId="74" xfId="0" applyFont="1" applyBorder="1" applyAlignment="1">
      <alignment horizontal="center" vertical="center" shrinkToFit="1"/>
    </xf>
    <xf numFmtId="3" fontId="57" fillId="0" borderId="74" xfId="1" applyNumberFormat="1" applyFont="1" applyBorder="1" applyAlignment="1">
      <alignment horizontal="center" vertical="center"/>
    </xf>
    <xf numFmtId="0" fontId="21" fillId="0" borderId="48" xfId="0" applyFont="1" applyFill="1" applyBorder="1" applyAlignment="1">
      <alignment horizontal="center" vertical="center" wrapText="1"/>
    </xf>
    <xf numFmtId="0" fontId="1" fillId="0" borderId="0" xfId="0" applyFont="1" applyAlignment="1">
      <alignment horizontal="center" vertical="top"/>
    </xf>
    <xf numFmtId="0" fontId="21" fillId="0" borderId="27" xfId="0" applyFont="1" applyFill="1" applyBorder="1" applyAlignment="1">
      <alignment horizontal="center" vertical="center" wrapText="1"/>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2" fillId="0" borderId="29" xfId="0" applyFont="1" applyBorder="1" applyAlignment="1">
      <alignment horizontal="center" vertical="center" wrapText="1"/>
    </xf>
    <xf numFmtId="0" fontId="4" fillId="0" borderId="74" xfId="0" applyFont="1" applyBorder="1" applyAlignment="1">
      <alignment horizontal="center" vertical="top"/>
    </xf>
    <xf numFmtId="0" fontId="21" fillId="0" borderId="74" xfId="0" applyFont="1" applyBorder="1" applyAlignment="1">
      <alignment horizontal="center" vertical="center"/>
    </xf>
    <xf numFmtId="164" fontId="22" fillId="0" borderId="74" xfId="0" applyNumberFormat="1" applyFont="1" applyBorder="1" applyAlignment="1">
      <alignment horizontal="center" vertical="center" wrapText="1"/>
    </xf>
    <xf numFmtId="0" fontId="22" fillId="0" borderId="0" xfId="0" applyFont="1" applyFill="1" applyAlignment="1">
      <alignment horizont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21" fillId="0" borderId="101" xfId="0" applyFont="1" applyBorder="1" applyAlignment="1">
      <alignment horizontal="center" vertical="center" wrapText="1"/>
    </xf>
    <xf numFmtId="0" fontId="22"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22" fillId="0" borderId="100" xfId="0" applyFont="1" applyBorder="1" applyAlignment="1">
      <alignment horizontal="center" vertical="center" wrapText="1"/>
    </xf>
    <xf numFmtId="0" fontId="1" fillId="0" borderId="100" xfId="0" applyFont="1" applyBorder="1" applyAlignment="1">
      <alignment horizontal="center" vertical="top"/>
    </xf>
    <xf numFmtId="0" fontId="5" fillId="0" borderId="100" xfId="0" applyFont="1" applyBorder="1" applyAlignment="1">
      <alignment horizontal="center" vertical="center"/>
    </xf>
    <xf numFmtId="0" fontId="22" fillId="0" borderId="100" xfId="0" applyFont="1" applyBorder="1" applyAlignment="1">
      <alignment horizontal="center" vertical="center"/>
    </xf>
    <xf numFmtId="0" fontId="5" fillId="0" borderId="100" xfId="0" applyFont="1" applyBorder="1" applyAlignment="1">
      <alignment vertical="center" wrapText="1"/>
    </xf>
    <xf numFmtId="0" fontId="5" fillId="0" borderId="100" xfId="0" applyFont="1" applyBorder="1" applyAlignment="1">
      <alignment horizontal="center" vertical="center" wrapText="1"/>
    </xf>
    <xf numFmtId="0" fontId="32" fillId="0" borderId="100" xfId="0" applyFont="1" applyBorder="1" applyAlignment="1">
      <alignment horizontal="center" vertical="center" wrapText="1"/>
    </xf>
    <xf numFmtId="0" fontId="21" fillId="0" borderId="100" xfId="0" applyFont="1" applyBorder="1" applyAlignment="1">
      <alignment horizontal="center" vertical="center"/>
    </xf>
    <xf numFmtId="166" fontId="21" fillId="0" borderId="100" xfId="0" applyNumberFormat="1" applyFont="1" applyBorder="1" applyAlignment="1">
      <alignment horizontal="left" vertical="top" wrapText="1"/>
    </xf>
    <xf numFmtId="0" fontId="21" fillId="0" borderId="100" xfId="0" applyFont="1" applyBorder="1" applyAlignment="1">
      <alignment horizontal="left" vertical="top" wrapText="1"/>
    </xf>
    <xf numFmtId="0" fontId="5" fillId="0" borderId="100" xfId="0" applyFont="1" applyBorder="1" applyAlignment="1">
      <alignment horizontal="center" vertical="top" wrapText="1"/>
    </xf>
    <xf numFmtId="0" fontId="5" fillId="0" borderId="100" xfId="0" applyFont="1" applyBorder="1" applyAlignment="1">
      <alignment vertical="top" wrapText="1"/>
    </xf>
    <xf numFmtId="0" fontId="9"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center" vertical="center"/>
    </xf>
    <xf numFmtId="0" fontId="5" fillId="0" borderId="100" xfId="0" applyFont="1" applyBorder="1" applyAlignment="1">
      <alignment horizontal="justify" vertical="top" wrapText="1"/>
    </xf>
    <xf numFmtId="0" fontId="32" fillId="0" borderId="100" xfId="0" applyFont="1" applyBorder="1" applyAlignment="1">
      <alignment vertical="center"/>
    </xf>
    <xf numFmtId="0" fontId="32" fillId="0" borderId="100" xfId="0" applyFont="1" applyBorder="1" applyAlignment="1">
      <alignment horizontal="justify" vertical="center" wrapText="1"/>
    </xf>
    <xf numFmtId="3" fontId="32" fillId="0" borderId="100" xfId="0" applyNumberFormat="1" applyFont="1" applyBorder="1" applyAlignment="1">
      <alignment horizontal="center" vertical="center" wrapText="1"/>
    </xf>
    <xf numFmtId="0" fontId="21" fillId="0" borderId="79" xfId="0" applyFont="1" applyBorder="1" applyAlignment="1">
      <alignment horizontal="justify" vertical="center"/>
    </xf>
    <xf numFmtId="0" fontId="21" fillId="0" borderId="5" xfId="0" applyFont="1" applyBorder="1" applyAlignment="1">
      <alignment vertical="center" wrapText="1"/>
    </xf>
    <xf numFmtId="0" fontId="21" fillId="0" borderId="64" xfId="0" applyFont="1" applyBorder="1" applyAlignment="1">
      <alignment vertical="center" wrapText="1"/>
    </xf>
    <xf numFmtId="0" fontId="21" fillId="0" borderId="6" xfId="0" applyFont="1" applyBorder="1" applyAlignment="1">
      <alignment vertical="center" wrapText="1"/>
    </xf>
    <xf numFmtId="0" fontId="0" fillId="0" borderId="100" xfId="0" applyBorder="1" applyAlignment="1">
      <alignment wrapText="1"/>
    </xf>
    <xf numFmtId="0" fontId="5" fillId="0" borderId="100" xfId="0" applyFont="1" applyBorder="1" applyAlignment="1">
      <alignment horizontal="justify" vertical="center" wrapText="1"/>
    </xf>
    <xf numFmtId="0" fontId="5" fillId="0" borderId="100" xfId="0" applyFont="1" applyBorder="1" applyAlignment="1">
      <alignment wrapText="1"/>
    </xf>
    <xf numFmtId="0" fontId="6" fillId="0" borderId="100" xfId="0" applyFont="1" applyBorder="1" applyAlignment="1">
      <alignment horizontal="center" vertical="center" wrapText="1"/>
    </xf>
    <xf numFmtId="0" fontId="21" fillId="0" borderId="0" xfId="0" quotePrefix="1" applyFont="1" applyAlignment="1">
      <alignment horizontal="left"/>
    </xf>
    <xf numFmtId="0" fontId="58" fillId="0" borderId="0" xfId="0" applyFont="1" applyFill="1"/>
    <xf numFmtId="49" fontId="58" fillId="0" borderId="0" xfId="0" applyNumberFormat="1" applyFont="1" applyFill="1" applyAlignment="1">
      <alignment horizontal="center"/>
    </xf>
    <xf numFmtId="164" fontId="22" fillId="7" borderId="54" xfId="1" applyNumberFormat="1" applyFont="1" applyFill="1" applyBorder="1" applyAlignment="1">
      <alignment vertical="center" wrapText="1"/>
    </xf>
    <xf numFmtId="0" fontId="61" fillId="0" borderId="0" xfId="0" applyFont="1" applyFill="1" applyAlignment="1">
      <alignment vertical="top"/>
    </xf>
    <xf numFmtId="166" fontId="21" fillId="0" borderId="74" xfId="0" applyNumberFormat="1" applyFont="1" applyFill="1" applyBorder="1" applyAlignment="1">
      <alignment vertical="top" wrapText="1"/>
    </xf>
    <xf numFmtId="0" fontId="21" fillId="0" borderId="100" xfId="0" applyFont="1" applyBorder="1" applyAlignment="1">
      <alignment vertical="center" wrapText="1"/>
    </xf>
    <xf numFmtId="0" fontId="41" fillId="0" borderId="9" xfId="0" applyFont="1" applyBorder="1" applyAlignment="1">
      <alignment wrapText="1"/>
    </xf>
    <xf numFmtId="0" fontId="22" fillId="5" borderId="100" xfId="0" applyFont="1" applyFill="1" applyBorder="1" applyAlignment="1">
      <alignment horizontal="center" vertical="center" wrapText="1"/>
    </xf>
    <xf numFmtId="0" fontId="21" fillId="0" borderId="100" xfId="0" applyFont="1" applyBorder="1"/>
    <xf numFmtId="0" fontId="21" fillId="9" borderId="89" xfId="0" applyFont="1" applyFill="1" applyBorder="1" applyAlignment="1">
      <alignment horizontal="justify" wrapText="1"/>
    </xf>
    <xf numFmtId="0" fontId="61" fillId="0" borderId="100" xfId="0" applyFont="1" applyBorder="1" applyAlignment="1">
      <alignment horizontal="center" vertical="top"/>
    </xf>
    <xf numFmtId="0" fontId="22" fillId="0" borderId="100" xfId="0" applyFont="1" applyBorder="1" applyAlignment="1">
      <alignment horizontal="center" vertical="top"/>
    </xf>
    <xf numFmtId="0" fontId="21" fillId="0" borderId="100" xfId="0" applyFont="1" applyBorder="1" applyAlignment="1">
      <alignment horizontal="center" vertical="top"/>
    </xf>
    <xf numFmtId="0" fontId="22" fillId="4" borderId="100" xfId="0" applyFont="1" applyFill="1" applyBorder="1" applyAlignment="1">
      <alignment horizontal="center" vertical="center" wrapText="1"/>
    </xf>
    <xf numFmtId="1" fontId="22" fillId="0" borderId="74" xfId="0" applyNumberFormat="1" applyFont="1" applyFill="1" applyBorder="1" applyAlignment="1">
      <alignment vertical="top" wrapText="1"/>
    </xf>
    <xf numFmtId="166" fontId="22" fillId="0" borderId="100" xfId="0" applyNumberFormat="1" applyFont="1" applyBorder="1" applyAlignment="1">
      <alignment vertical="top" wrapText="1"/>
    </xf>
    <xf numFmtId="0" fontId="21" fillId="0" borderId="74" xfId="0" applyFont="1" applyFill="1" applyBorder="1" applyAlignment="1">
      <alignment vertical="center" wrapText="1"/>
    </xf>
    <xf numFmtId="1" fontId="21" fillId="0" borderId="74" xfId="0" applyNumberFormat="1" applyFont="1" applyFill="1" applyBorder="1" applyAlignment="1">
      <alignment vertical="top" wrapText="1"/>
    </xf>
    <xf numFmtId="166" fontId="21" fillId="0" borderId="100" xfId="0" applyNumberFormat="1" applyFont="1" applyBorder="1" applyAlignment="1">
      <alignment vertical="top" wrapText="1"/>
    </xf>
    <xf numFmtId="1" fontId="21" fillId="7" borderId="74" xfId="0" applyNumberFormat="1" applyFont="1" applyFill="1" applyBorder="1" applyAlignment="1">
      <alignment vertical="top" wrapText="1"/>
    </xf>
    <xf numFmtId="166" fontId="22" fillId="7" borderId="74" xfId="0" applyNumberFormat="1" applyFont="1" applyFill="1" applyBorder="1" applyAlignment="1">
      <alignment horizontal="center" vertical="top" wrapText="1"/>
    </xf>
    <xf numFmtId="0" fontId="22" fillId="7" borderId="74" xfId="0" applyFont="1" applyFill="1" applyBorder="1" applyAlignment="1">
      <alignment horizontal="center" vertical="center" wrapText="1"/>
    </xf>
    <xf numFmtId="0" fontId="21" fillId="7" borderId="60" xfId="0" applyFont="1" applyFill="1" applyBorder="1" applyAlignment="1">
      <alignment horizontal="center" vertical="top" wrapText="1"/>
    </xf>
    <xf numFmtId="0" fontId="21" fillId="7" borderId="60" xfId="0" applyFont="1" applyFill="1" applyBorder="1" applyAlignment="1">
      <alignment vertical="top"/>
    </xf>
    <xf numFmtId="164" fontId="22" fillId="0" borderId="74" xfId="1" applyNumberFormat="1" applyFont="1" applyFill="1" applyBorder="1" applyAlignment="1">
      <alignment vertical="center" wrapText="1"/>
    </xf>
    <xf numFmtId="0" fontId="22" fillId="0" borderId="74" xfId="0" applyFont="1" applyFill="1" applyBorder="1" applyAlignment="1">
      <alignment vertical="top" wrapText="1"/>
    </xf>
    <xf numFmtId="0" fontId="22" fillId="0" borderId="74" xfId="0" applyFont="1" applyFill="1" applyBorder="1" applyAlignment="1">
      <alignment horizontal="left" vertical="top" wrapText="1"/>
    </xf>
    <xf numFmtId="0" fontId="21" fillId="0" borderId="74" xfId="0" applyFont="1" applyFill="1" applyBorder="1" applyAlignment="1">
      <alignment horizontal="left" vertical="top" wrapText="1"/>
    </xf>
    <xf numFmtId="166" fontId="21" fillId="0" borderId="74" xfId="0" applyNumberFormat="1" applyFont="1" applyFill="1" applyBorder="1" applyAlignment="1">
      <alignment horizontal="left" vertical="top" wrapText="1"/>
    </xf>
    <xf numFmtId="1" fontId="22" fillId="0" borderId="74" xfId="0" applyNumberFormat="1" applyFont="1" applyBorder="1" applyAlignment="1">
      <alignment vertical="top" wrapText="1"/>
    </xf>
    <xf numFmtId="166" fontId="22" fillId="0" borderId="74" xfId="0" applyNumberFormat="1" applyFont="1" applyBorder="1" applyAlignment="1">
      <alignment vertical="top" wrapText="1"/>
    </xf>
    <xf numFmtId="166" fontId="21" fillId="0" borderId="74" xfId="0" applyNumberFormat="1" applyFont="1" applyBorder="1" applyAlignment="1">
      <alignment vertical="top" wrapText="1"/>
    </xf>
    <xf numFmtId="166" fontId="21" fillId="7" borderId="74" xfId="0" applyNumberFormat="1" applyFont="1" applyFill="1" applyBorder="1" applyAlignment="1">
      <alignment vertical="top" wrapText="1"/>
    </xf>
    <xf numFmtId="0" fontId="22" fillId="7" borderId="60" xfId="0" applyFont="1" applyFill="1" applyBorder="1" applyAlignment="1">
      <alignment horizontal="center" vertical="top"/>
    </xf>
    <xf numFmtId="1" fontId="21" fillId="4" borderId="74" xfId="0" applyNumberFormat="1" applyFont="1" applyFill="1" applyBorder="1" applyAlignment="1">
      <alignment vertical="top" wrapText="1"/>
    </xf>
    <xf numFmtId="0" fontId="61" fillId="4" borderId="0" xfId="0" applyFont="1" applyFill="1" applyAlignment="1">
      <alignment vertical="top"/>
    </xf>
    <xf numFmtId="0" fontId="21" fillId="4" borderId="60" xfId="0" applyFont="1" applyFill="1" applyBorder="1" applyAlignment="1">
      <alignment vertical="top"/>
    </xf>
    <xf numFmtId="0" fontId="21" fillId="4" borderId="74" xfId="0" applyFont="1" applyFill="1" applyBorder="1" applyAlignment="1">
      <alignment horizontal="center" vertical="top" wrapText="1"/>
    </xf>
    <xf numFmtId="0" fontId="22" fillId="4" borderId="74" xfId="0" applyFont="1" applyFill="1" applyBorder="1" applyAlignment="1">
      <alignment vertical="center"/>
    </xf>
    <xf numFmtId="166" fontId="22" fillId="4" borderId="74" xfId="0" applyNumberFormat="1" applyFont="1" applyFill="1" applyBorder="1" applyAlignment="1">
      <alignment horizontal="center" vertical="top" wrapText="1"/>
    </xf>
    <xf numFmtId="0" fontId="22" fillId="4" borderId="74" xfId="0" applyFont="1" applyFill="1" applyBorder="1" applyAlignment="1">
      <alignment horizontal="center" vertical="top" wrapText="1"/>
    </xf>
    <xf numFmtId="0" fontId="21" fillId="4" borderId="74" xfId="0" applyFont="1" applyFill="1" applyBorder="1" applyAlignment="1">
      <alignment vertical="top"/>
    </xf>
    <xf numFmtId="0" fontId="61" fillId="7" borderId="74" xfId="0" applyFont="1" applyFill="1" applyBorder="1" applyAlignment="1">
      <alignment vertical="top"/>
    </xf>
    <xf numFmtId="164" fontId="22" fillId="4" borderId="74" xfId="1" applyNumberFormat="1" applyFont="1" applyFill="1" applyBorder="1" applyAlignment="1">
      <alignment vertical="center" wrapText="1"/>
    </xf>
    <xf numFmtId="164" fontId="22" fillId="5" borderId="74" xfId="1" applyNumberFormat="1" applyFont="1" applyFill="1" applyBorder="1" applyAlignment="1">
      <alignment vertical="center" wrapText="1"/>
    </xf>
    <xf numFmtId="0" fontId="22" fillId="5" borderId="60" xfId="0" applyFont="1" applyFill="1" applyBorder="1" applyAlignment="1">
      <alignment vertical="center"/>
    </xf>
    <xf numFmtId="166" fontId="22" fillId="5" borderId="60" xfId="0" applyNumberFormat="1" applyFont="1" applyFill="1" applyBorder="1" applyAlignment="1">
      <alignment horizontal="center" vertical="center" wrapText="1"/>
    </xf>
    <xf numFmtId="164" fontId="22" fillId="7" borderId="60" xfId="1" applyNumberFormat="1" applyFont="1" applyFill="1" applyBorder="1" applyAlignment="1">
      <alignment vertical="center" wrapText="1"/>
    </xf>
    <xf numFmtId="164" fontId="22" fillId="0" borderId="60" xfId="0" applyNumberFormat="1" applyFont="1" applyBorder="1" applyAlignment="1">
      <alignment vertical="center" wrapText="1"/>
    </xf>
    <xf numFmtId="0" fontId="22" fillId="0" borderId="60" xfId="0" applyFont="1" applyBorder="1" applyAlignment="1">
      <alignment vertical="top" wrapText="1"/>
    </xf>
    <xf numFmtId="0" fontId="22" fillId="0" borderId="60" xfId="0" applyFont="1" applyBorder="1" applyAlignment="1">
      <alignment horizontal="left" vertical="top" wrapText="1"/>
    </xf>
    <xf numFmtId="0" fontId="21" fillId="0" borderId="74" xfId="0" applyFont="1" applyFill="1" applyBorder="1" applyAlignment="1">
      <alignment horizontal="center" vertical="top" wrapText="1"/>
    </xf>
    <xf numFmtId="0" fontId="21" fillId="0" borderId="74" xfId="0" applyFont="1" applyFill="1" applyBorder="1" applyAlignment="1">
      <alignment horizontal="center" vertical="center"/>
    </xf>
    <xf numFmtId="0" fontId="21" fillId="0" borderId="60" xfId="0" applyFont="1" applyBorder="1" applyAlignment="1">
      <alignment horizontal="center" vertical="center" wrapText="1"/>
    </xf>
    <xf numFmtId="1" fontId="21" fillId="0" borderId="74" xfId="0" applyNumberFormat="1" applyFont="1" applyBorder="1" applyAlignment="1">
      <alignment vertical="top" wrapText="1"/>
    </xf>
    <xf numFmtId="0" fontId="58" fillId="0" borderId="0" xfId="0" applyFont="1" applyFill="1" applyAlignment="1">
      <alignment vertical="top"/>
    </xf>
    <xf numFmtId="0" fontId="21" fillId="0" borderId="74" xfId="0" applyFont="1" applyBorder="1" applyAlignment="1">
      <alignment horizontal="center" wrapText="1"/>
    </xf>
    <xf numFmtId="1" fontId="22" fillId="7" borderId="74" xfId="0" applyNumberFormat="1" applyFont="1" applyFill="1" applyBorder="1" applyAlignment="1">
      <alignment vertical="top" wrapText="1"/>
    </xf>
    <xf numFmtId="164" fontId="22" fillId="7" borderId="74" xfId="1" applyNumberFormat="1" applyFont="1" applyFill="1" applyBorder="1" applyAlignment="1">
      <alignment horizontal="center" vertical="center" wrapText="1"/>
    </xf>
    <xf numFmtId="164" fontId="22" fillId="0" borderId="74" xfId="0" applyNumberFormat="1" applyFont="1" applyBorder="1" applyAlignment="1">
      <alignment vertical="center" wrapText="1"/>
    </xf>
    <xf numFmtId="0" fontId="22" fillId="0" borderId="74" xfId="0" applyFont="1" applyBorder="1" applyAlignment="1">
      <alignment vertical="top" wrapText="1"/>
    </xf>
    <xf numFmtId="0" fontId="22" fillId="0" borderId="74" xfId="0" applyFont="1" applyBorder="1" applyAlignment="1">
      <alignment horizontal="left" vertical="top" wrapText="1"/>
    </xf>
    <xf numFmtId="0" fontId="21" fillId="0" borderId="74" xfId="0" applyFont="1" applyBorder="1" applyAlignment="1">
      <alignment vertical="top" wrapText="1"/>
    </xf>
    <xf numFmtId="0" fontId="61" fillId="0" borderId="60" xfId="0" applyFont="1" applyFill="1" applyBorder="1" applyAlignment="1">
      <alignment vertical="top"/>
    </xf>
    <xf numFmtId="166" fontId="21" fillId="0" borderId="74" xfId="0" applyNumberFormat="1" applyFont="1" applyBorder="1" applyAlignment="1">
      <alignment horizontal="left" vertical="top" wrapText="1"/>
    </xf>
    <xf numFmtId="0" fontId="21" fillId="0" borderId="74" xfId="0" applyFont="1" applyBorder="1" applyAlignment="1">
      <alignment horizontal="center" vertical="top" wrapText="1"/>
    </xf>
    <xf numFmtId="1" fontId="21" fillId="7" borderId="60" xfId="0" applyNumberFormat="1" applyFont="1" applyFill="1" applyBorder="1" applyAlignment="1">
      <alignment vertical="top" wrapText="1"/>
    </xf>
    <xf numFmtId="166" fontId="21" fillId="7" borderId="60" xfId="0" applyNumberFormat="1" applyFont="1" applyFill="1" applyBorder="1" applyAlignment="1">
      <alignment horizontal="center" vertical="top" wrapText="1"/>
    </xf>
    <xf numFmtId="0" fontId="22" fillId="7" borderId="60" xfId="0" applyFont="1" applyFill="1" applyBorder="1" applyAlignment="1">
      <alignment horizontal="center" vertical="center" wrapText="1"/>
    </xf>
    <xf numFmtId="1" fontId="21" fillId="0" borderId="60" xfId="0" applyNumberFormat="1" applyFont="1" applyBorder="1" applyAlignment="1">
      <alignment vertical="top" wrapText="1"/>
    </xf>
    <xf numFmtId="164" fontId="22" fillId="7" borderId="60" xfId="3" applyNumberFormat="1" applyFont="1" applyFill="1" applyBorder="1" applyAlignment="1">
      <alignment vertical="center" wrapText="1"/>
    </xf>
    <xf numFmtId="164" fontId="22" fillId="0" borderId="60" xfId="3" applyNumberFormat="1" applyFont="1" applyFill="1" applyBorder="1" applyAlignment="1">
      <alignment horizontal="center" vertical="center" wrapText="1"/>
    </xf>
    <xf numFmtId="164" fontId="21" fillId="0" borderId="60" xfId="3" applyNumberFormat="1" applyFont="1" applyFill="1" applyBorder="1" applyAlignment="1">
      <alignment horizontal="center" vertical="center" wrapText="1"/>
    </xf>
    <xf numFmtId="0" fontId="21" fillId="0" borderId="60" xfId="0" applyFont="1" applyBorder="1" applyAlignment="1">
      <alignment horizontal="center" vertical="top" wrapText="1"/>
    </xf>
    <xf numFmtId="0" fontId="21" fillId="0" borderId="100" xfId="0" applyFont="1" applyBorder="1" applyAlignment="1">
      <alignment horizontal="right" vertical="center"/>
    </xf>
    <xf numFmtId="0" fontId="21" fillId="0" borderId="100" xfId="0" applyFont="1" applyBorder="1" applyAlignment="1">
      <alignment horizontal="right" vertical="center" wrapText="1"/>
    </xf>
    <xf numFmtId="0" fontId="21" fillId="0" borderId="74" xfId="0" applyFont="1" applyFill="1" applyBorder="1" applyAlignment="1">
      <alignment horizontal="right" vertical="center" wrapText="1"/>
    </xf>
    <xf numFmtId="0" fontId="21" fillId="0" borderId="74" xfId="0" applyFont="1" applyFill="1" applyBorder="1" applyAlignment="1">
      <alignment vertical="top"/>
    </xf>
    <xf numFmtId="164" fontId="22" fillId="0" borderId="74" xfId="3" applyNumberFormat="1" applyFont="1" applyFill="1" applyBorder="1" applyAlignment="1">
      <alignment vertical="center" wrapText="1"/>
    </xf>
    <xf numFmtId="0" fontId="21" fillId="0" borderId="74" xfId="0" applyNumberFormat="1" applyFont="1" applyFill="1" applyBorder="1" applyAlignment="1">
      <alignment horizontal="center" vertical="center" wrapText="1"/>
    </xf>
    <xf numFmtId="0" fontId="21" fillId="0" borderId="74" xfId="0" applyFont="1" applyBorder="1" applyAlignment="1">
      <alignment horizontal="left" vertical="top" wrapText="1"/>
    </xf>
    <xf numFmtId="166" fontId="21" fillId="7" borderId="74" xfId="0" applyNumberFormat="1" applyFont="1" applyFill="1" applyBorder="1" applyAlignment="1">
      <alignment horizontal="center" vertical="top" wrapText="1"/>
    </xf>
    <xf numFmtId="0" fontId="22" fillId="0" borderId="60" xfId="0" applyFont="1" applyBorder="1" applyAlignment="1">
      <alignment horizontal="center" vertical="center" wrapText="1"/>
    </xf>
    <xf numFmtId="1" fontId="21" fillId="5" borderId="74" xfId="0" applyNumberFormat="1" applyFont="1" applyFill="1" applyBorder="1" applyAlignment="1">
      <alignment vertical="top" wrapText="1"/>
    </xf>
    <xf numFmtId="0" fontId="22" fillId="5" borderId="60" xfId="0" applyFont="1" applyFill="1" applyBorder="1" applyAlignment="1">
      <alignment vertical="top"/>
    </xf>
    <xf numFmtId="166" fontId="22" fillId="0" borderId="74" xfId="0" applyNumberFormat="1" applyFont="1" applyFill="1" applyBorder="1" applyAlignment="1">
      <alignment vertical="top" wrapText="1"/>
    </xf>
    <xf numFmtId="0" fontId="21" fillId="4" borderId="74" xfId="0" applyFont="1" applyFill="1" applyBorder="1" applyAlignment="1">
      <alignment horizontal="left" vertical="top" wrapText="1"/>
    </xf>
    <xf numFmtId="0" fontId="21" fillId="4" borderId="60" xfId="0" applyFont="1" applyFill="1" applyBorder="1" applyAlignment="1">
      <alignment horizontal="center" vertical="center"/>
    </xf>
    <xf numFmtId="0" fontId="61" fillId="4" borderId="60" xfId="0" applyFont="1" applyFill="1" applyBorder="1" applyAlignment="1">
      <alignment horizontal="center" vertical="top"/>
    </xf>
    <xf numFmtId="0" fontId="22" fillId="4" borderId="60" xfId="0" applyFont="1" applyFill="1" applyBorder="1" applyAlignment="1">
      <alignment horizontal="center" vertical="top" wrapText="1"/>
    </xf>
    <xf numFmtId="166" fontId="21" fillId="5" borderId="74" xfId="0" applyNumberFormat="1" applyFont="1" applyFill="1" applyBorder="1" applyAlignment="1">
      <alignment horizontal="center" vertical="top" wrapText="1"/>
    </xf>
    <xf numFmtId="166" fontId="21" fillId="0" borderId="60" xfId="0" applyNumberFormat="1" applyFont="1" applyBorder="1" applyAlignment="1">
      <alignment vertical="top" wrapText="1"/>
    </xf>
    <xf numFmtId="0" fontId="21" fillId="0" borderId="74" xfId="0" applyFont="1" applyFill="1" applyBorder="1" applyAlignment="1">
      <alignment vertical="top" wrapText="1"/>
    </xf>
    <xf numFmtId="0" fontId="22" fillId="0" borderId="74" xfId="0" applyFont="1" applyFill="1" applyBorder="1" applyAlignment="1">
      <alignment horizontal="center" vertical="top" wrapText="1"/>
    </xf>
    <xf numFmtId="0" fontId="58" fillId="0" borderId="100" xfId="0" applyFont="1" applyBorder="1" applyAlignment="1">
      <alignment horizontal="center" vertical="center"/>
    </xf>
    <xf numFmtId="0" fontId="58" fillId="0" borderId="100" xfId="0" applyFont="1" applyBorder="1" applyAlignment="1">
      <alignment horizontal="center" vertical="top"/>
    </xf>
    <xf numFmtId="1" fontId="21" fillId="0" borderId="60" xfId="0" applyNumberFormat="1" applyFont="1" applyFill="1" applyBorder="1" applyAlignment="1">
      <alignment vertical="top"/>
    </xf>
    <xf numFmtId="166" fontId="21" fillId="4" borderId="74" xfId="0" applyNumberFormat="1" applyFont="1" applyFill="1" applyBorder="1" applyAlignment="1">
      <alignment vertical="top" wrapText="1"/>
    </xf>
    <xf numFmtId="1" fontId="21" fillId="4" borderId="60" xfId="0" applyNumberFormat="1" applyFont="1" applyFill="1" applyBorder="1" applyAlignment="1">
      <alignment horizontal="center" vertical="center" wrapText="1"/>
    </xf>
    <xf numFmtId="0" fontId="21" fillId="4" borderId="60" xfId="0" applyFont="1" applyFill="1" applyBorder="1" applyAlignment="1">
      <alignment horizontal="center" vertical="top" wrapText="1"/>
    </xf>
    <xf numFmtId="0" fontId="22" fillId="7" borderId="74" xfId="0" applyFont="1" applyFill="1" applyBorder="1" applyAlignment="1">
      <alignment horizontal="center" vertical="top"/>
    </xf>
    <xf numFmtId="0" fontId="21" fillId="7" borderId="74" xfId="0" applyFont="1" applyFill="1" applyBorder="1" applyAlignment="1">
      <alignment horizontal="center" vertical="center"/>
    </xf>
    <xf numFmtId="0" fontId="61" fillId="0" borderId="60" xfId="0" applyFont="1" applyFill="1" applyBorder="1" applyAlignment="1">
      <alignment horizontal="center" vertical="top"/>
    </xf>
    <xf numFmtId="0" fontId="58" fillId="0" borderId="60" xfId="0" applyFont="1" applyFill="1" applyBorder="1" applyAlignment="1">
      <alignment horizontal="center" vertical="top"/>
    </xf>
    <xf numFmtId="0" fontId="21" fillId="0" borderId="74" xfId="0" applyFont="1" applyFill="1" applyBorder="1" applyAlignment="1">
      <alignment horizontal="center"/>
    </xf>
    <xf numFmtId="0" fontId="58" fillId="0" borderId="74" xfId="0" applyFont="1" applyFill="1" applyBorder="1"/>
    <xf numFmtId="0" fontId="58" fillId="0" borderId="74" xfId="0" applyFont="1" applyFill="1" applyBorder="1" applyAlignment="1">
      <alignment horizontal="center" wrapText="1"/>
    </xf>
    <xf numFmtId="1" fontId="21" fillId="0" borderId="100" xfId="0" applyNumberFormat="1" applyFont="1" applyFill="1" applyBorder="1" applyAlignment="1">
      <alignment vertical="top" wrapText="1"/>
    </xf>
    <xf numFmtId="0" fontId="21" fillId="0" borderId="100" xfId="0" applyFont="1" applyFill="1" applyBorder="1" applyAlignment="1">
      <alignment vertical="top"/>
    </xf>
    <xf numFmtId="0" fontId="21" fillId="0" borderId="100" xfId="0" applyFont="1" applyFill="1" applyBorder="1" applyAlignment="1">
      <alignment horizontal="center" vertical="center" wrapText="1"/>
    </xf>
    <xf numFmtId="0" fontId="21" fillId="0" borderId="100" xfId="0" applyFont="1" applyFill="1" applyBorder="1" applyAlignment="1">
      <alignment horizontal="center" vertical="center"/>
    </xf>
    <xf numFmtId="0" fontId="21" fillId="0" borderId="100" xfId="0" applyFont="1" applyFill="1" applyBorder="1" applyAlignment="1">
      <alignment horizontal="center"/>
    </xf>
    <xf numFmtId="0" fontId="21" fillId="0" borderId="100" xfId="0" quotePrefix="1" applyFont="1" applyFill="1" applyBorder="1" applyAlignment="1">
      <alignment horizontal="left"/>
    </xf>
    <xf numFmtId="166" fontId="21" fillId="5" borderId="74" xfId="0" applyNumberFormat="1" applyFont="1" applyFill="1" applyBorder="1" applyAlignment="1">
      <alignment vertical="top" wrapText="1"/>
    </xf>
    <xf numFmtId="0" fontId="21" fillId="0" borderId="74" xfId="0" applyFont="1" applyFill="1" applyBorder="1" applyAlignment="1">
      <alignment horizontal="center" wrapText="1"/>
    </xf>
    <xf numFmtId="166" fontId="21" fillId="6" borderId="74" xfId="0" applyNumberFormat="1" applyFont="1" applyFill="1" applyBorder="1" applyAlignment="1">
      <alignment horizontal="left" vertical="top" wrapText="1"/>
    </xf>
    <xf numFmtId="0" fontId="58" fillId="4" borderId="0" xfId="0" applyFont="1" applyFill="1"/>
    <xf numFmtId="0" fontId="22" fillId="6" borderId="52" xfId="0" applyFont="1" applyFill="1" applyBorder="1" applyAlignment="1">
      <alignment wrapText="1"/>
    </xf>
    <xf numFmtId="0" fontId="22" fillId="6" borderId="77" xfId="0" applyFont="1" applyFill="1" applyBorder="1" applyAlignment="1">
      <alignment wrapText="1"/>
    </xf>
    <xf numFmtId="0" fontId="22" fillId="8" borderId="77" xfId="0" applyFont="1" applyFill="1" applyBorder="1" applyAlignment="1">
      <alignment vertical="center" wrapText="1"/>
    </xf>
    <xf numFmtId="0" fontId="22" fillId="5" borderId="74" xfId="0" applyFont="1" applyFill="1" applyBorder="1" applyAlignment="1">
      <alignment vertical="center" wrapText="1"/>
    </xf>
    <xf numFmtId="1" fontId="21" fillId="4" borderId="9" xfId="0" applyNumberFormat="1" applyFont="1" applyFill="1" applyBorder="1" applyAlignment="1">
      <alignment vertical="top" wrapText="1"/>
    </xf>
    <xf numFmtId="166" fontId="22" fillId="6" borderId="77" xfId="0" applyNumberFormat="1" applyFont="1" applyFill="1" applyBorder="1" applyAlignment="1">
      <alignment horizontal="center" vertical="top" wrapText="1"/>
    </xf>
    <xf numFmtId="0" fontId="22" fillId="6" borderId="77" xfId="0" applyFont="1" applyFill="1" applyBorder="1" applyAlignment="1">
      <alignment horizontal="center" vertical="center" wrapText="1"/>
    </xf>
    <xf numFmtId="0" fontId="21" fillId="6" borderId="77" xfId="0" applyFont="1" applyFill="1" applyBorder="1" applyAlignment="1">
      <alignment horizontal="center" vertical="center" wrapText="1"/>
    </xf>
    <xf numFmtId="0" fontId="22" fillId="6" borderId="77" xfId="0" applyFont="1" applyFill="1" applyBorder="1" applyAlignment="1">
      <alignment horizontal="center"/>
    </xf>
    <xf numFmtId="0" fontId="58" fillId="0" borderId="0" xfId="0" applyFont="1" applyFill="1" applyAlignment="1">
      <alignment horizontal="center"/>
    </xf>
    <xf numFmtId="0" fontId="58" fillId="0" borderId="0" xfId="0" applyFont="1" applyFill="1" applyAlignment="1">
      <alignment wrapText="1"/>
    </xf>
    <xf numFmtId="0" fontId="58" fillId="0" borderId="0" xfId="0" applyFont="1" applyFill="1" applyAlignment="1">
      <alignment horizontal="center" wrapText="1"/>
    </xf>
    <xf numFmtId="3" fontId="12" fillId="0" borderId="100" xfId="0" applyNumberFormat="1" applyFont="1" applyBorder="1" applyAlignment="1">
      <alignment horizontal="right" vertical="center"/>
    </xf>
    <xf numFmtId="41" fontId="12" fillId="0" borderId="100" xfId="2" applyFont="1" applyBorder="1" applyAlignment="1">
      <alignment horizontal="right" vertical="center" wrapText="1"/>
    </xf>
    <xf numFmtId="3" fontId="12" fillId="0" borderId="100" xfId="0" applyNumberFormat="1" applyFont="1" applyBorder="1" applyAlignment="1">
      <alignment horizontal="right" vertical="center"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7" fillId="0" borderId="100" xfId="0" applyFont="1" applyBorder="1" applyAlignment="1">
      <alignment vertical="top" wrapText="1"/>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right" vertical="center"/>
    </xf>
    <xf numFmtId="0" fontId="5" fillId="0" borderId="100" xfId="5" applyFont="1" applyBorder="1" applyAlignment="1">
      <alignment vertical="center"/>
    </xf>
    <xf numFmtId="164" fontId="62" fillId="0" borderId="100" xfId="3" applyNumberFormat="1" applyFont="1" applyBorder="1" applyAlignment="1">
      <alignment horizontal="center" vertical="center" wrapText="1"/>
    </xf>
    <xf numFmtId="3" fontId="1" fillId="0" borderId="100" xfId="5" applyNumberFormat="1" applyFont="1" applyBorder="1" applyAlignment="1">
      <alignment horizontal="center"/>
    </xf>
    <xf numFmtId="3" fontId="5" fillId="0" borderId="100" xfId="0" applyNumberFormat="1" applyFont="1" applyBorder="1" applyAlignment="1">
      <alignment horizontal="center" vertical="center" wrapText="1"/>
    </xf>
    <xf numFmtId="164" fontId="63" fillId="0" borderId="100" xfId="1" applyNumberFormat="1" applyFont="1" applyBorder="1" applyAlignment="1">
      <alignment horizontal="left" vertical="center" wrapText="1"/>
    </xf>
    <xf numFmtId="0" fontId="63" fillId="0" borderId="100" xfId="0" applyFont="1" applyBorder="1" applyAlignment="1">
      <alignment horizontal="justify" vertical="center" wrapText="1"/>
    </xf>
    <xf numFmtId="0" fontId="63" fillId="0" borderId="100" xfId="0" applyFont="1" applyBorder="1" applyAlignment="1">
      <alignment horizontal="center" vertical="center" wrapText="1"/>
    </xf>
    <xf numFmtId="0" fontId="63" fillId="0" borderId="100" xfId="0" applyFont="1" applyBorder="1" applyAlignment="1">
      <alignment vertical="center" wrapText="1"/>
    </xf>
    <xf numFmtId="0" fontId="12" fillId="0" borderId="0" xfId="0" applyFont="1"/>
    <xf numFmtId="0" fontId="65" fillId="0" borderId="0" xfId="0" applyFont="1" applyAlignment="1">
      <alignment horizontal="center"/>
    </xf>
    <xf numFmtId="0" fontId="65" fillId="0" borderId="0" xfId="0" applyFont="1"/>
    <xf numFmtId="3" fontId="65" fillId="0" borderId="0" xfId="0" applyNumberFormat="1" applyFont="1" applyAlignment="1">
      <alignment horizontal="right" vertical="top" wrapText="1"/>
    </xf>
    <xf numFmtId="0" fontId="64" fillId="0" borderId="0" xfId="0" applyFont="1" applyAlignment="1">
      <alignment horizontal="center"/>
    </xf>
    <xf numFmtId="0" fontId="67" fillId="0" borderId="0" xfId="0" applyFont="1" applyAlignment="1">
      <alignment horizontal="center"/>
    </xf>
    <xf numFmtId="0" fontId="65" fillId="0" borderId="0" xfId="0" applyFont="1" applyAlignment="1">
      <alignment vertical="center"/>
    </xf>
    <xf numFmtId="0" fontId="65" fillId="0" borderId="0" xfId="0" applyFont="1" applyAlignment="1">
      <alignment horizontal="center" vertical="center"/>
    </xf>
    <xf numFmtId="3" fontId="65" fillId="0" borderId="0" xfId="0" applyNumberFormat="1" applyFont="1" applyAlignment="1">
      <alignment horizontal="right" vertical="center" wrapText="1"/>
    </xf>
    <xf numFmtId="0" fontId="64" fillId="0" borderId="0" xfId="0" applyFont="1" applyAlignment="1">
      <alignment horizontal="center" vertical="center"/>
    </xf>
    <xf numFmtId="0" fontId="13" fillId="0" borderId="0" xfId="0" applyFont="1" applyAlignment="1">
      <alignment vertical="center"/>
    </xf>
    <xf numFmtId="0" fontId="13" fillId="0" borderId="100" xfId="0" applyFont="1" applyBorder="1" applyAlignment="1">
      <alignment horizontal="center" vertical="top" wrapText="1"/>
    </xf>
    <xf numFmtId="0" fontId="66" fillId="0" borderId="100" xfId="0" applyFont="1" applyBorder="1" applyAlignment="1">
      <alignment horizontal="center" vertical="top" wrapText="1"/>
    </xf>
    <xf numFmtId="3" fontId="66" fillId="0" borderId="100" xfId="0" applyNumberFormat="1" applyFont="1" applyBorder="1" applyAlignment="1">
      <alignment horizontal="center" vertical="top" wrapText="1"/>
    </xf>
    <xf numFmtId="0" fontId="68" fillId="0" borderId="100" xfId="0" applyFont="1" applyBorder="1" applyAlignment="1">
      <alignment horizontal="center" vertical="top" wrapText="1"/>
    </xf>
    <xf numFmtId="0" fontId="69" fillId="0" borderId="100" xfId="0" applyFont="1" applyBorder="1"/>
    <xf numFmtId="0" fontId="12" fillId="0" borderId="100" xfId="0" applyFont="1" applyBorder="1" applyAlignment="1">
      <alignment horizontal="center" vertical="top" wrapText="1"/>
    </xf>
    <xf numFmtId="3" fontId="12" fillId="0" borderId="100" xfId="0" applyNumberFormat="1" applyFont="1" applyBorder="1" applyAlignment="1">
      <alignment horizontal="right" vertical="top" wrapText="1"/>
    </xf>
    <xf numFmtId="3" fontId="14" fillId="0" borderId="100" xfId="0" applyNumberFormat="1" applyFont="1" applyBorder="1" applyAlignment="1">
      <alignment horizontal="right" vertical="top" wrapText="1"/>
    </xf>
    <xf numFmtId="0" fontId="12" fillId="0" borderId="100" xfId="0" applyFont="1" applyBorder="1"/>
    <xf numFmtId="0" fontId="64" fillId="0" borderId="100" xfId="0" applyFont="1" applyBorder="1"/>
    <xf numFmtId="3" fontId="9" fillId="0" borderId="100" xfId="0" applyNumberFormat="1" applyFont="1" applyBorder="1" applyAlignment="1">
      <alignment horizontal="right" vertical="top" wrapText="1"/>
    </xf>
    <xf numFmtId="0" fontId="12" fillId="0" borderId="100" xfId="0" applyFont="1" applyBorder="1" applyAlignment="1">
      <alignment horizontal="right" vertical="center"/>
    </xf>
    <xf numFmtId="0" fontId="0" fillId="0" borderId="100" xfId="0" applyBorder="1" applyAlignment="1">
      <alignment horizontal="center"/>
    </xf>
    <xf numFmtId="0" fontId="69" fillId="0" borderId="100" xfId="0" applyFont="1" applyBorder="1" applyAlignment="1">
      <alignment horizontal="center"/>
    </xf>
    <xf numFmtId="0" fontId="12" fillId="0" borderId="100" xfId="0" applyFont="1" applyBorder="1" applyAlignment="1">
      <alignment vertical="center"/>
    </xf>
    <xf numFmtId="0" fontId="64" fillId="0" borderId="100" xfId="0" applyFont="1" applyBorder="1" applyAlignment="1">
      <alignment horizontal="right"/>
    </xf>
    <xf numFmtId="0" fontId="70" fillId="0" borderId="100" xfId="0" applyFont="1" applyBorder="1"/>
    <xf numFmtId="0" fontId="0" fillId="0" borderId="100" xfId="0" applyBorder="1"/>
    <xf numFmtId="0" fontId="12" fillId="0" borderId="100" xfId="0" applyFont="1" applyBorder="1" applyAlignment="1">
      <alignment horizontal="right"/>
    </xf>
    <xf numFmtId="0" fontId="64" fillId="0" borderId="100" xfId="0" applyFont="1" applyBorder="1" applyAlignment="1">
      <alignment vertical="center"/>
    </xf>
    <xf numFmtId="0" fontId="12" fillId="0" borderId="100" xfId="0" applyFont="1" applyBorder="1" applyAlignment="1">
      <alignment horizontal="center" vertical="center" wrapText="1"/>
    </xf>
    <xf numFmtId="0" fontId="64" fillId="0" borderId="100" xfId="0" applyFont="1" applyBorder="1" applyAlignment="1">
      <alignment horizontal="right" vertical="center"/>
    </xf>
    <xf numFmtId="0" fontId="69" fillId="0" borderId="0" xfId="0" applyFont="1"/>
    <xf numFmtId="0" fontId="63" fillId="0" borderId="100" xfId="0" applyFont="1" applyBorder="1" applyAlignment="1">
      <alignment horizontal="center" vertical="top" wrapText="1"/>
    </xf>
    <xf numFmtId="3" fontId="71" fillId="0" borderId="100" xfId="0" applyNumberFormat="1" applyFont="1" applyBorder="1" applyAlignment="1">
      <alignment horizontal="right" vertical="top" wrapText="1"/>
    </xf>
    <xf numFmtId="0" fontId="69" fillId="0" borderId="100" xfId="0" applyFont="1" applyBorder="1" applyAlignment="1">
      <alignment vertical="top" wrapText="1"/>
    </xf>
    <xf numFmtId="0" fontId="63" fillId="0" borderId="100" xfId="0" applyFont="1" applyBorder="1" applyAlignment="1">
      <alignment horizontal="right"/>
    </xf>
    <xf numFmtId="0" fontId="64" fillId="0" borderId="0" xfId="0" applyFont="1"/>
    <xf numFmtId="0" fontId="63" fillId="0" borderId="100" xfId="0" applyFont="1" applyBorder="1"/>
    <xf numFmtId="3" fontId="0" fillId="0" borderId="100" xfId="0" applyNumberFormat="1" applyBorder="1"/>
    <xf numFmtId="0" fontId="66" fillId="0" borderId="100" xfId="0" applyFont="1" applyBorder="1" applyAlignment="1">
      <alignment horizontal="justify" vertical="top" wrapText="1"/>
    </xf>
    <xf numFmtId="0" fontId="12" fillId="0" borderId="100" xfId="0" applyFont="1" applyBorder="1" applyAlignment="1">
      <alignment horizontal="right" vertical="top" wrapText="1"/>
    </xf>
    <xf numFmtId="0" fontId="72" fillId="0" borderId="0" xfId="0" applyFont="1"/>
    <xf numFmtId="3" fontId="0" fillId="0" borderId="78" xfId="0" applyNumberFormat="1" applyBorder="1"/>
    <xf numFmtId="0" fontId="0" fillId="0" borderId="78" xfId="0" applyBorder="1"/>
    <xf numFmtId="0" fontId="73" fillId="0" borderId="56" xfId="0" applyFont="1" applyBorder="1"/>
    <xf numFmtId="0" fontId="67" fillId="0" borderId="0" xfId="0" applyFont="1"/>
    <xf numFmtId="3" fontId="12" fillId="0" borderId="0" xfId="0" applyNumberFormat="1" applyFont="1" applyAlignment="1">
      <alignment horizontal="right" vertical="top" wrapText="1"/>
    </xf>
    <xf numFmtId="0" fontId="66"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71" fillId="0" borderId="0" xfId="0" applyFont="1" applyAlignment="1">
      <alignment vertical="center" wrapText="1"/>
    </xf>
    <xf numFmtId="0" fontId="11" fillId="0" borderId="100" xfId="0" applyFont="1" applyBorder="1" applyAlignment="1">
      <alignment horizontal="center" vertical="center"/>
    </xf>
    <xf numFmtId="0" fontId="14" fillId="0" borderId="100" xfId="0" applyFont="1" applyBorder="1" applyAlignment="1">
      <alignment horizontal="center" vertical="center" wrapText="1"/>
    </xf>
    <xf numFmtId="167" fontId="14" fillId="0" borderId="100" xfId="1" applyNumberFormat="1" applyFont="1" applyBorder="1" applyAlignment="1">
      <alignment horizontal="center" vertical="center" wrapText="1"/>
    </xf>
    <xf numFmtId="43" fontId="14" fillId="0" borderId="100" xfId="1" applyFont="1" applyBorder="1" applyAlignment="1">
      <alignment horizontal="center" vertical="center" wrapText="1"/>
    </xf>
    <xf numFmtId="0" fontId="10" fillId="0" borderId="0" xfId="0" applyFont="1" applyAlignment="1">
      <alignment vertical="center"/>
    </xf>
    <xf numFmtId="0" fontId="10" fillId="0" borderId="100" xfId="0" applyFont="1" applyBorder="1" applyAlignment="1">
      <alignment horizontal="center" vertical="center"/>
    </xf>
    <xf numFmtId="0" fontId="9" fillId="0" borderId="100" xfId="0" applyFont="1" applyBorder="1" applyAlignment="1">
      <alignment horizontal="center" vertical="center" wrapText="1"/>
    </xf>
    <xf numFmtId="167" fontId="9" fillId="0" borderId="100" xfId="1" quotePrefix="1" applyNumberFormat="1" applyFont="1" applyBorder="1" applyAlignment="1">
      <alignment horizontal="center" vertical="center" wrapText="1"/>
    </xf>
    <xf numFmtId="167" fontId="9" fillId="0" borderId="100" xfId="1" quotePrefix="1" applyNumberFormat="1" applyFont="1" applyBorder="1" applyAlignment="1">
      <alignment wrapText="1"/>
    </xf>
    <xf numFmtId="0" fontId="7" fillId="0" borderId="0" xfId="0" applyFont="1" applyAlignment="1">
      <alignment vertical="center"/>
    </xf>
    <xf numFmtId="0" fontId="11" fillId="0" borderId="100" xfId="0" applyFont="1" applyBorder="1" applyAlignment="1">
      <alignment vertical="center"/>
    </xf>
    <xf numFmtId="167" fontId="11" fillId="0" borderId="100" xfId="1" applyNumberFormat="1" applyFont="1" applyBorder="1" applyAlignment="1">
      <alignment vertical="center"/>
    </xf>
    <xf numFmtId="43" fontId="11" fillId="0" borderId="100" xfId="1" applyFont="1" applyBorder="1" applyAlignment="1">
      <alignment vertical="center"/>
    </xf>
    <xf numFmtId="0" fontId="11" fillId="0" borderId="100" xfId="0" applyFont="1" applyBorder="1" applyAlignment="1">
      <alignment vertical="center" wrapText="1"/>
    </xf>
    <xf numFmtId="167" fontId="11" fillId="0" borderId="100" xfId="0" applyNumberFormat="1" applyFont="1" applyBorder="1" applyAlignment="1">
      <alignment horizontal="center" vertical="center" wrapText="1"/>
    </xf>
    <xf numFmtId="0" fontId="10" fillId="0" borderId="102" xfId="0" applyFont="1" applyBorder="1" applyAlignment="1">
      <alignment horizontal="center" vertical="center"/>
    </xf>
    <xf numFmtId="0" fontId="10" fillId="0" borderId="103" xfId="0" applyFont="1" applyBorder="1" applyAlignment="1">
      <alignment vertical="center" wrapText="1"/>
    </xf>
    <xf numFmtId="0" fontId="10" fillId="0" borderId="103" xfId="0" applyFont="1" applyBorder="1" applyAlignment="1">
      <alignment horizontal="center" vertical="center"/>
    </xf>
    <xf numFmtId="167" fontId="10" fillId="0" borderId="103" xfId="1" applyNumberFormat="1" applyFont="1" applyBorder="1" applyAlignment="1">
      <alignment vertical="center"/>
    </xf>
    <xf numFmtId="43" fontId="10" fillId="0" borderId="103" xfId="1" applyFont="1" applyBorder="1" applyAlignment="1">
      <alignment vertical="center"/>
    </xf>
    <xf numFmtId="0" fontId="11" fillId="0" borderId="104" xfId="0" applyFont="1" applyBorder="1" applyAlignment="1">
      <alignment horizontal="center" vertical="center"/>
    </xf>
    <xf numFmtId="0" fontId="11" fillId="0" borderId="104" xfId="0" applyFont="1" applyBorder="1" applyAlignment="1">
      <alignment vertical="center" wrapText="1"/>
    </xf>
    <xf numFmtId="167" fontId="11" fillId="0" borderId="104" xfId="1" applyNumberFormat="1" applyFont="1" applyBorder="1" applyAlignment="1">
      <alignment vertical="center"/>
    </xf>
    <xf numFmtId="43" fontId="11" fillId="0" borderId="104" xfId="1" applyFont="1" applyBorder="1" applyAlignment="1">
      <alignment vertical="center"/>
    </xf>
    <xf numFmtId="167" fontId="11" fillId="4" borderId="104" xfId="1" applyNumberFormat="1" applyFont="1" applyFill="1" applyBorder="1" applyAlignment="1">
      <alignment vertical="center"/>
    </xf>
    <xf numFmtId="0" fontId="11" fillId="0" borderId="102" xfId="0" applyFont="1" applyBorder="1" applyAlignment="1">
      <alignment horizontal="center" vertical="center"/>
    </xf>
    <xf numFmtId="0" fontId="11" fillId="0" borderId="102" xfId="0" applyFont="1" applyBorder="1" applyAlignment="1">
      <alignment vertical="center" wrapText="1"/>
    </xf>
    <xf numFmtId="167" fontId="11" fillId="0" borderId="102" xfId="1" applyNumberFormat="1" applyFont="1" applyBorder="1" applyAlignment="1">
      <alignment vertical="center"/>
    </xf>
    <xf numFmtId="43" fontId="11" fillId="0" borderId="102" xfId="1" applyFont="1" applyBorder="1" applyAlignment="1">
      <alignment vertical="center"/>
    </xf>
    <xf numFmtId="167" fontId="11" fillId="0" borderId="103" xfId="1" applyNumberFormat="1" applyFont="1" applyBorder="1" applyAlignment="1">
      <alignment vertical="center"/>
    </xf>
    <xf numFmtId="0" fontId="11" fillId="0" borderId="105" xfId="0" applyFont="1" applyBorder="1" applyAlignment="1">
      <alignment vertical="center" wrapText="1"/>
    </xf>
    <xf numFmtId="0" fontId="11" fillId="0" borderId="103" xfId="0" applyFont="1" applyBorder="1" applyAlignment="1">
      <alignment horizontal="center" vertical="center"/>
    </xf>
    <xf numFmtId="0" fontId="11" fillId="0" borderId="103" xfId="0" applyFont="1" applyBorder="1" applyAlignment="1">
      <alignment vertical="center" wrapText="1"/>
    </xf>
    <xf numFmtId="43" fontId="11" fillId="0" borderId="103" xfId="1" applyFont="1" applyBorder="1" applyAlignment="1">
      <alignment vertical="center"/>
    </xf>
    <xf numFmtId="167" fontId="75" fillId="0" borderId="103" xfId="1" applyNumberFormat="1" applyFont="1" applyBorder="1" applyAlignment="1">
      <alignment vertical="center"/>
    </xf>
    <xf numFmtId="0" fontId="76" fillId="0" borderId="104" xfId="0" applyFont="1" applyBorder="1" applyAlignment="1">
      <alignment horizontal="center" vertical="center"/>
    </xf>
    <xf numFmtId="0" fontId="76" fillId="0" borderId="104" xfId="0" applyFont="1" applyBorder="1" applyAlignment="1">
      <alignment vertical="center" wrapText="1"/>
    </xf>
    <xf numFmtId="167" fontId="76" fillId="0" borderId="104" xfId="1" applyNumberFormat="1" applyFont="1" applyBorder="1" applyAlignment="1">
      <alignment vertical="center"/>
    </xf>
    <xf numFmtId="43" fontId="76" fillId="0" borderId="104" xfId="1" applyFont="1" applyBorder="1" applyAlignment="1">
      <alignment vertical="center"/>
    </xf>
    <xf numFmtId="0" fontId="76" fillId="0" borderId="64" xfId="0" applyFont="1" applyBorder="1" applyAlignment="1">
      <alignment vertical="center" wrapText="1"/>
    </xf>
    <xf numFmtId="0" fontId="10" fillId="0" borderId="104" xfId="0" applyFont="1" applyBorder="1" applyAlignment="1">
      <alignment horizontal="center" vertical="center"/>
    </xf>
    <xf numFmtId="0" fontId="10" fillId="0" borderId="104" xfId="0" applyFont="1" applyBorder="1" applyAlignment="1">
      <alignment vertical="center" wrapText="1"/>
    </xf>
    <xf numFmtId="167" fontId="10" fillId="0" borderId="104" xfId="1" applyNumberFormat="1" applyFont="1" applyBorder="1" applyAlignment="1">
      <alignment vertical="center"/>
    </xf>
    <xf numFmtId="43" fontId="10" fillId="0" borderId="104" xfId="1" applyFont="1" applyBorder="1" applyAlignment="1">
      <alignment vertical="center"/>
    </xf>
    <xf numFmtId="167" fontId="10" fillId="0" borderId="104" xfId="1" applyNumberFormat="1" applyFont="1" applyBorder="1" applyAlignment="1">
      <alignment horizontal="right"/>
    </xf>
    <xf numFmtId="0" fontId="76" fillId="0" borderId="103" xfId="0" applyFont="1" applyBorder="1" applyAlignment="1">
      <alignment horizontal="center" vertical="center"/>
    </xf>
    <xf numFmtId="0" fontId="76" fillId="0" borderId="103" xfId="0" applyFont="1" applyBorder="1" applyAlignment="1">
      <alignment vertical="center" wrapText="1"/>
    </xf>
    <xf numFmtId="0" fontId="10" fillId="0" borderId="104" xfId="0" applyFont="1" applyBorder="1" applyAlignment="1">
      <alignment vertical="center"/>
    </xf>
    <xf numFmtId="3" fontId="76" fillId="0" borderId="104" xfId="0" applyNumberFormat="1" applyFont="1" applyBorder="1" applyAlignment="1">
      <alignment horizontal="right" vertical="center"/>
    </xf>
    <xf numFmtId="0" fontId="10" fillId="0" borderId="64" xfId="0" applyFont="1" applyBorder="1" applyAlignment="1">
      <alignment horizontal="center" vertical="center" wrapText="1"/>
    </xf>
    <xf numFmtId="167" fontId="10" fillId="0" borderId="104" xfId="1" applyNumberFormat="1" applyFont="1" applyBorder="1" applyAlignment="1">
      <alignment horizontal="right" vertical="center"/>
    </xf>
    <xf numFmtId="0" fontId="76" fillId="0" borderId="104" xfId="0" applyFont="1" applyBorder="1" applyAlignment="1">
      <alignment vertical="center"/>
    </xf>
    <xf numFmtId="0" fontId="76" fillId="0" borderId="9" xfId="0" applyFont="1" applyBorder="1" applyAlignment="1">
      <alignment horizontal="center" vertical="center"/>
    </xf>
    <xf numFmtId="0" fontId="78" fillId="0" borderId="9" xfId="0" applyFont="1" applyBorder="1" applyAlignment="1">
      <alignment vertical="center"/>
    </xf>
    <xf numFmtId="0" fontId="10" fillId="0" borderId="9" xfId="0" applyFont="1" applyBorder="1" applyAlignment="1">
      <alignment horizontal="center" vertical="center"/>
    </xf>
    <xf numFmtId="167" fontId="10" fillId="0" borderId="9" xfId="1" applyNumberFormat="1" applyFont="1" applyBorder="1" applyAlignment="1">
      <alignment vertical="center"/>
    </xf>
    <xf numFmtId="43" fontId="10" fillId="0" borderId="9" xfId="1" applyFont="1" applyBorder="1" applyAlignment="1">
      <alignment vertical="center"/>
    </xf>
    <xf numFmtId="167" fontId="76" fillId="0" borderId="9" xfId="1" applyNumberFormat="1" applyFont="1" applyBorder="1" applyAlignment="1">
      <alignment horizontal="right" vertical="center"/>
    </xf>
    <xf numFmtId="0" fontId="76" fillId="0" borderId="9" xfId="0" applyFont="1" applyBorder="1" applyAlignment="1">
      <alignment vertical="center"/>
    </xf>
    <xf numFmtId="0" fontId="79" fillId="0" borderId="104" xfId="0" applyFont="1" applyBorder="1" applyAlignment="1">
      <alignment horizontal="center" vertical="center"/>
    </xf>
    <xf numFmtId="0" fontId="79" fillId="0" borderId="104" xfId="0" applyFont="1" applyBorder="1" applyAlignment="1">
      <alignment vertical="center" wrapText="1"/>
    </xf>
    <xf numFmtId="3" fontId="17" fillId="2" borderId="104" xfId="0" applyNumberFormat="1" applyFont="1" applyFill="1" applyBorder="1" applyAlignment="1">
      <alignment horizontal="right" vertical="center"/>
    </xf>
    <xf numFmtId="0" fontId="11" fillId="0" borderId="9" xfId="0" applyFont="1" applyBorder="1" applyAlignment="1">
      <alignment horizontal="center" vertical="center"/>
    </xf>
    <xf numFmtId="0" fontId="11" fillId="0" borderId="9" xfId="0" applyFont="1" applyBorder="1" applyAlignment="1">
      <alignment vertical="center" wrapText="1"/>
    </xf>
    <xf numFmtId="3" fontId="76" fillId="0" borderId="9" xfId="0" applyNumberFormat="1" applyFont="1" applyBorder="1" applyAlignment="1">
      <alignment horizontal="right" vertical="center"/>
    </xf>
    <xf numFmtId="0" fontId="10" fillId="0" borderId="9" xfId="0" applyFont="1" applyBorder="1" applyAlignment="1">
      <alignment vertical="center" wrapText="1"/>
    </xf>
    <xf numFmtId="167" fontId="76" fillId="0" borderId="104" xfId="1" applyNumberFormat="1" applyFont="1" applyBorder="1" applyAlignment="1">
      <alignment horizontal="right" vertical="center"/>
    </xf>
    <xf numFmtId="3" fontId="24" fillId="0" borderId="104" xfId="0" applyNumberFormat="1" applyFont="1" applyBorder="1"/>
    <xf numFmtId="0" fontId="11" fillId="0" borderId="104" xfId="0" applyFont="1" applyBorder="1" applyAlignment="1">
      <alignment horizontal="center" vertical="center" wrapText="1"/>
    </xf>
    <xf numFmtId="0" fontId="10" fillId="0" borderId="6" xfId="0" applyFont="1" applyBorder="1" applyAlignment="1">
      <alignment horizontal="center" vertical="center"/>
    </xf>
    <xf numFmtId="0" fontId="14" fillId="0" borderId="104" xfId="0" applyFont="1" applyBorder="1" applyAlignment="1">
      <alignment horizontal="left" vertical="center"/>
    </xf>
    <xf numFmtId="0" fontId="9" fillId="0" borderId="104" xfId="0" applyFont="1" applyBorder="1" applyAlignment="1">
      <alignment horizontal="center"/>
    </xf>
    <xf numFmtId="3" fontId="0" fillId="0" borderId="104" xfId="0" applyNumberFormat="1" applyBorder="1"/>
    <xf numFmtId="0" fontId="10" fillId="0" borderId="107" xfId="0" applyFont="1" applyBorder="1" applyAlignment="1">
      <alignment vertical="center"/>
    </xf>
    <xf numFmtId="0" fontId="10" fillId="0" borderId="64" xfId="0" applyFont="1" applyBorder="1" applyAlignment="1">
      <alignment horizontal="center" vertical="center"/>
    </xf>
    <xf numFmtId="0" fontId="14" fillId="0" borderId="104" xfId="0" applyFont="1" applyBorder="1"/>
    <xf numFmtId="0" fontId="10" fillId="0" borderId="64" xfId="0" applyFont="1" applyBorder="1" applyAlignment="1">
      <alignment vertical="center" wrapText="1"/>
    </xf>
    <xf numFmtId="0" fontId="10" fillId="0" borderId="108" xfId="0" applyFont="1" applyBorder="1" applyAlignment="1">
      <alignment horizontal="center" vertical="center"/>
    </xf>
    <xf numFmtId="0" fontId="14" fillId="0" borderId="64" xfId="0" applyFont="1" applyBorder="1" applyAlignment="1">
      <alignment horizontal="left" vertical="center"/>
    </xf>
    <xf numFmtId="0" fontId="10" fillId="0" borderId="91" xfId="0" applyFont="1" applyBorder="1" applyAlignment="1">
      <alignment vertical="center" wrapText="1"/>
    </xf>
    <xf numFmtId="0" fontId="14" fillId="0" borderId="103" xfId="0" applyFont="1" applyBorder="1" applyAlignment="1">
      <alignment horizontal="left" vertical="center"/>
    </xf>
    <xf numFmtId="0" fontId="10" fillId="0" borderId="0" xfId="0" applyFont="1" applyAlignment="1">
      <alignment vertical="center" wrapText="1"/>
    </xf>
    <xf numFmtId="0" fontId="14" fillId="0" borderId="103" xfId="0" applyFont="1" applyBorder="1"/>
    <xf numFmtId="0" fontId="11" fillId="0" borderId="104" xfId="0" applyFont="1" applyBorder="1" applyAlignment="1">
      <alignment vertical="center"/>
    </xf>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80" fillId="0" borderId="0" xfId="0" applyFont="1" applyAlignment="1">
      <alignment vertical="center"/>
    </xf>
    <xf numFmtId="0" fontId="71"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81" fillId="0" borderId="103" xfId="0" applyFont="1" applyBorder="1" applyAlignment="1">
      <alignment horizontal="left" vertical="center"/>
    </xf>
    <xf numFmtId="0" fontId="81" fillId="2" borderId="103" xfId="0" applyFont="1" applyFill="1" applyBorder="1" applyAlignment="1">
      <alignment horizontal="center" vertical="center" wrapText="1"/>
    </xf>
    <xf numFmtId="0" fontId="81" fillId="2" borderId="104" xfId="0" applyFont="1" applyFill="1" applyBorder="1" applyAlignment="1">
      <alignment horizontal="center" vertical="center" wrapText="1"/>
    </xf>
    <xf numFmtId="0" fontId="81" fillId="2" borderId="109" xfId="0" applyFont="1" applyFill="1" applyBorder="1" applyAlignment="1">
      <alignment horizontal="center" vertical="center" wrapText="1"/>
    </xf>
    <xf numFmtId="0" fontId="6" fillId="2" borderId="104" xfId="0" applyFont="1" applyFill="1" applyBorder="1" applyAlignment="1">
      <alignment horizontal="left" vertical="center" wrapText="1"/>
    </xf>
    <xf numFmtId="0" fontId="5" fillId="0" borderId="104" xfId="0" applyFont="1" applyBorder="1"/>
    <xf numFmtId="0" fontId="0" fillId="0" borderId="104" xfId="0" applyBorder="1"/>
    <xf numFmtId="0" fontId="5" fillId="2" borderId="103" xfId="0" applyFont="1" applyFill="1" applyBorder="1" applyAlignment="1">
      <alignment horizontal="center"/>
    </xf>
    <xf numFmtId="0" fontId="82" fillId="2" borderId="104" xfId="0" applyFont="1" applyFill="1" applyBorder="1" applyAlignment="1">
      <alignment horizontal="center" vertical="top"/>
    </xf>
    <xf numFmtId="3" fontId="82" fillId="2" borderId="104" xfId="0" applyNumberFormat="1" applyFont="1" applyFill="1" applyBorder="1" applyAlignment="1">
      <alignment horizontal="center" vertical="top"/>
    </xf>
    <xf numFmtId="3" fontId="82" fillId="2" borderId="109" xfId="0" applyNumberFormat="1" applyFont="1" applyFill="1" applyBorder="1" applyAlignment="1">
      <alignment horizontal="center" vertical="top"/>
    </xf>
    <xf numFmtId="3" fontId="5" fillId="2" borderId="104" xfId="0" applyNumberFormat="1" applyFont="1" applyFill="1" applyBorder="1" applyAlignment="1">
      <alignment horizontal="right"/>
    </xf>
    <xf numFmtId="0" fontId="69" fillId="0" borderId="104" xfId="0" applyFont="1" applyBorder="1" applyAlignment="1">
      <alignment horizontal="center" vertical="top" wrapText="1"/>
    </xf>
    <xf numFmtId="0" fontId="63" fillId="0" borderId="104" xfId="0" applyFont="1" applyBorder="1" applyAlignment="1">
      <alignment horizontal="center" vertical="top" wrapText="1"/>
    </xf>
    <xf numFmtId="0" fontId="65" fillId="0" borderId="104" xfId="0" applyFont="1" applyBorder="1" applyAlignment="1">
      <alignment horizontal="center" vertical="top" wrapText="1"/>
    </xf>
    <xf numFmtId="3" fontId="65" fillId="2" borderId="104" xfId="0" applyNumberFormat="1" applyFont="1" applyFill="1" applyBorder="1" applyAlignment="1">
      <alignment horizontal="center"/>
    </xf>
    <xf numFmtId="3" fontId="0" fillId="0" borderId="104" xfId="0" applyNumberFormat="1" applyBorder="1" applyAlignment="1">
      <alignment horizontal="center" vertical="center"/>
    </xf>
    <xf numFmtId="3" fontId="65" fillId="0" borderId="104" xfId="0" applyNumberFormat="1" applyFont="1" applyBorder="1" applyAlignment="1">
      <alignment horizontal="center"/>
    </xf>
    <xf numFmtId="3" fontId="65" fillId="0" borderId="104" xfId="0" applyNumberFormat="1" applyFont="1" applyBorder="1" applyAlignment="1">
      <alignment horizontal="right"/>
    </xf>
    <xf numFmtId="0" fontId="83" fillId="0" borderId="104" xfId="0" applyFont="1" applyBorder="1" applyAlignment="1">
      <alignment horizontal="center"/>
    </xf>
    <xf numFmtId="3" fontId="83" fillId="0" borderId="104" xfId="0" applyNumberFormat="1" applyFont="1" applyBorder="1" applyAlignment="1">
      <alignment horizontal="right"/>
    </xf>
    <xf numFmtId="0" fontId="68" fillId="0" borderId="104" xfId="0" applyFont="1" applyBorder="1" applyAlignment="1">
      <alignment horizontal="left" vertical="center"/>
    </xf>
    <xf numFmtId="3" fontId="65" fillId="2" borderId="104" xfId="0" applyNumberFormat="1" applyFont="1" applyFill="1" applyBorder="1" applyAlignment="1">
      <alignment horizontal="right"/>
    </xf>
    <xf numFmtId="0" fontId="69" fillId="0" borderId="110" xfId="0" applyFont="1" applyBorder="1" applyAlignment="1">
      <alignment horizontal="center" vertical="top" wrapText="1"/>
    </xf>
    <xf numFmtId="0" fontId="65" fillId="0" borderId="104" xfId="0" applyFont="1" applyBorder="1"/>
    <xf numFmtId="3" fontId="0" fillId="0" borderId="0" xfId="0" applyNumberFormat="1" applyAlignment="1">
      <alignment horizontal="center" vertical="center"/>
    </xf>
    <xf numFmtId="0" fontId="0" fillId="0" borderId="104" xfId="0" applyBorder="1" applyAlignment="1">
      <alignment horizontal="left"/>
    </xf>
    <xf numFmtId="0" fontId="24" fillId="0" borderId="104" xfId="0" applyFont="1" applyBorder="1" applyAlignment="1">
      <alignment horizontal="left"/>
    </xf>
    <xf numFmtId="0" fontId="0" fillId="0" borderId="104" xfId="0" applyBorder="1" applyAlignment="1">
      <alignment horizontal="center"/>
    </xf>
    <xf numFmtId="0" fontId="14" fillId="0" borderId="0" xfId="0" applyFont="1"/>
    <xf numFmtId="0" fontId="14" fillId="2" borderId="0" xfId="0" applyFont="1" applyFill="1"/>
    <xf numFmtId="0" fontId="71" fillId="2" borderId="0" xfId="0" applyFont="1" applyFill="1"/>
    <xf numFmtId="0" fontId="84" fillId="2" borderId="0" xfId="0" applyFont="1" applyFill="1"/>
    <xf numFmtId="0" fontId="84" fillId="2" borderId="0" xfId="0" applyFont="1" applyFill="1" applyAlignment="1">
      <alignment horizontal="center"/>
    </xf>
    <xf numFmtId="0" fontId="85"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6" fillId="0" borderId="0" xfId="0" applyFont="1" applyAlignment="1">
      <alignment horizontal="center"/>
    </xf>
    <xf numFmtId="0" fontId="87" fillId="0" borderId="0" xfId="0" applyFont="1" applyAlignment="1">
      <alignment horizontal="center"/>
    </xf>
    <xf numFmtId="0" fontId="88" fillId="0" borderId="0" xfId="0" applyFont="1" applyAlignment="1">
      <alignment horizontal="center"/>
    </xf>
    <xf numFmtId="0" fontId="89" fillId="0" borderId="0" xfId="0" applyFont="1"/>
    <xf numFmtId="0" fontId="89" fillId="0" borderId="0" xfId="0" applyFont="1" applyAlignment="1">
      <alignment horizontal="center"/>
    </xf>
    <xf numFmtId="0" fontId="85" fillId="0" borderId="0" xfId="0" applyFont="1" applyAlignment="1">
      <alignment horizontal="left"/>
    </xf>
    <xf numFmtId="0" fontId="90" fillId="0" borderId="0" xfId="0" applyFont="1" applyAlignment="1">
      <alignment horizontal="left"/>
    </xf>
    <xf numFmtId="0" fontId="91" fillId="0" borderId="0" xfId="0" applyFont="1" applyAlignment="1">
      <alignment horizontal="left"/>
    </xf>
    <xf numFmtId="0" fontId="92" fillId="0" borderId="0" xfId="0" applyFont="1" applyAlignment="1">
      <alignment horizontal="left"/>
    </xf>
    <xf numFmtId="0" fontId="85" fillId="0" borderId="0" xfId="0" applyFont="1"/>
    <xf numFmtId="0" fontId="85" fillId="0" borderId="0" xfId="0" applyFont="1" applyAlignment="1">
      <alignment horizontal="center"/>
    </xf>
    <xf numFmtId="0" fontId="93" fillId="0" borderId="0" xfId="0" applyFont="1" applyAlignment="1">
      <alignment horizontal="center"/>
    </xf>
    <xf numFmtId="0" fontId="92"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8" fillId="0" borderId="0" xfId="0" applyNumberFormat="1" applyFont="1" applyAlignment="1">
      <alignment horizontal="center"/>
    </xf>
    <xf numFmtId="0" fontId="14" fillId="0" borderId="0" xfId="0" applyFont="1" applyAlignment="1">
      <alignment horizontal="center" wrapText="1"/>
    </xf>
    <xf numFmtId="0" fontId="94" fillId="0" borderId="0" xfId="0" applyFont="1" applyAlignment="1">
      <alignment wrapText="1"/>
    </xf>
    <xf numFmtId="0" fontId="14" fillId="0" borderId="0" xfId="0" applyFont="1" applyAlignment="1">
      <alignment wrapText="1"/>
    </xf>
    <xf numFmtId="0" fontId="85" fillId="0" borderId="0" xfId="0" applyFont="1" applyAlignment="1">
      <alignment horizontal="center" wrapText="1"/>
    </xf>
    <xf numFmtId="0" fontId="68" fillId="0" borderId="104" xfId="0" applyFont="1" applyBorder="1" applyAlignment="1">
      <alignment horizontal="center" vertical="center" wrapText="1"/>
    </xf>
    <xf numFmtId="49" fontId="68" fillId="0" borderId="104" xfId="0" applyNumberFormat="1" applyFont="1" applyBorder="1" applyAlignment="1">
      <alignment horizontal="center" vertical="center" wrapText="1"/>
    </xf>
    <xf numFmtId="164" fontId="68" fillId="0" borderId="104" xfId="0" applyNumberFormat="1" applyFont="1" applyBorder="1" applyAlignment="1">
      <alignment horizontal="left" vertical="center" wrapText="1"/>
    </xf>
    <xf numFmtId="0" fontId="68" fillId="0" borderId="104" xfId="0" applyFont="1" applyBorder="1" applyAlignment="1">
      <alignment horizontal="left" vertical="center" wrapText="1"/>
    </xf>
    <xf numFmtId="0" fontId="95" fillId="0" borderId="0" xfId="0" applyFont="1"/>
    <xf numFmtId="0" fontId="73" fillId="0" borderId="104" xfId="0" applyFont="1" applyBorder="1" applyAlignment="1">
      <alignment horizontal="center" vertical="center" wrapText="1"/>
    </xf>
    <xf numFmtId="49" fontId="73" fillId="0" borderId="104" xfId="0" applyNumberFormat="1" applyFont="1" applyBorder="1" applyAlignment="1">
      <alignment vertical="top" wrapText="1"/>
    </xf>
    <xf numFmtId="0" fontId="73" fillId="0" borderId="104" xfId="0" applyFont="1" applyBorder="1" applyAlignment="1">
      <alignment horizontal="center" vertical="top" wrapText="1"/>
    </xf>
    <xf numFmtId="0" fontId="73" fillId="0" borderId="109" xfId="0" applyFont="1" applyBorder="1" applyAlignment="1">
      <alignment horizontal="center" vertical="top" wrapText="1"/>
    </xf>
    <xf numFmtId="164" fontId="73" fillId="0" borderId="104" xfId="1" applyNumberFormat="1" applyFont="1" applyBorder="1" applyAlignment="1">
      <alignment horizontal="center" vertical="top" wrapText="1"/>
    </xf>
    <xf numFmtId="164" fontId="73" fillId="0" borderId="104" xfId="1" applyNumberFormat="1" applyFont="1" applyBorder="1" applyAlignment="1">
      <alignment vertical="top" wrapText="1"/>
    </xf>
    <xf numFmtId="0" fontId="64" fillId="0" borderId="104" xfId="0" applyFont="1" applyBorder="1"/>
    <xf numFmtId="164" fontId="68" fillId="0" borderId="104" xfId="1" applyNumberFormat="1" applyFont="1" applyBorder="1" applyAlignment="1">
      <alignment vertical="top" wrapText="1"/>
    </xf>
    <xf numFmtId="0" fontId="68" fillId="0" borderId="104" xfId="0" applyFont="1" applyBorder="1"/>
    <xf numFmtId="49" fontId="68" fillId="0" borderId="104" xfId="0" applyNumberFormat="1" applyFont="1" applyBorder="1" applyAlignment="1">
      <alignment horizontal="left" vertical="center" wrapText="1"/>
    </xf>
    <xf numFmtId="0" fontId="64" fillId="0" borderId="104" xfId="0" applyFont="1" applyBorder="1" applyAlignment="1">
      <alignment horizontal="center" vertical="top" wrapText="1"/>
    </xf>
    <xf numFmtId="164" fontId="64" fillId="0" borderId="104" xfId="1" applyNumberFormat="1" applyFont="1" applyBorder="1" applyAlignment="1">
      <alignment horizontal="center" vertical="center" wrapText="1"/>
    </xf>
    <xf numFmtId="0" fontId="64" fillId="0" borderId="104" xfId="0" applyFont="1" applyBorder="1" applyAlignment="1">
      <alignment horizontal="center" vertical="center" wrapText="1"/>
    </xf>
    <xf numFmtId="49" fontId="64" fillId="0" borderId="104" xfId="0" applyNumberFormat="1" applyFont="1" applyBorder="1" applyAlignment="1">
      <alignment horizontal="left" vertical="center" wrapText="1"/>
    </xf>
    <xf numFmtId="0" fontId="64" fillId="0" borderId="104" xfId="0" applyFont="1" applyBorder="1" applyAlignment="1">
      <alignment horizontal="center"/>
    </xf>
    <xf numFmtId="0" fontId="64" fillId="0" borderId="109" xfId="0" applyFont="1" applyBorder="1" applyAlignment="1">
      <alignment horizontal="center" vertical="top" wrapText="1"/>
    </xf>
    <xf numFmtId="164" fontId="64" fillId="0" borderId="109" xfId="1" applyNumberFormat="1" applyFont="1" applyBorder="1" applyAlignment="1">
      <alignment horizontal="center" vertical="center" wrapText="1"/>
    </xf>
    <xf numFmtId="164" fontId="64" fillId="0" borderId="104" xfId="1" applyNumberFormat="1" applyFont="1" applyBorder="1" applyAlignment="1">
      <alignment vertical="top" wrapText="1"/>
    </xf>
    <xf numFmtId="49" fontId="14" fillId="0" borderId="104" xfId="0" applyNumberFormat="1" applyFont="1" applyBorder="1" applyAlignment="1">
      <alignment horizontal="left" vertical="center" wrapText="1"/>
    </xf>
    <xf numFmtId="0" fontId="64" fillId="0" borderId="112" xfId="0" applyFont="1" applyBorder="1" applyAlignment="1">
      <alignment vertical="top" wrapText="1"/>
    </xf>
    <xf numFmtId="0" fontId="64" fillId="0" borderId="113" xfId="0" applyFont="1" applyBorder="1" applyAlignment="1">
      <alignment vertical="top" wrapText="1"/>
    </xf>
    <xf numFmtId="0" fontId="64" fillId="0" borderId="109" xfId="0" applyFont="1" applyBorder="1" applyAlignment="1">
      <alignment horizontal="center" vertical="center" wrapText="1"/>
    </xf>
    <xf numFmtId="0" fontId="64" fillId="0" borderId="104" xfId="0" applyFont="1" applyBorder="1" applyAlignment="1">
      <alignment vertical="top" wrapText="1"/>
    </xf>
    <xf numFmtId="0" fontId="64" fillId="0" borderId="110" xfId="0" applyFont="1" applyBorder="1" applyAlignment="1">
      <alignment horizontal="center"/>
    </xf>
    <xf numFmtId="164" fontId="64" fillId="0" borderId="109" xfId="1" applyNumberFormat="1" applyFont="1" applyBorder="1" applyAlignment="1">
      <alignment vertical="top" wrapText="1"/>
    </xf>
    <xf numFmtId="164" fontId="64" fillId="0" borderId="104" xfId="1" applyNumberFormat="1" applyFont="1" applyBorder="1" applyAlignment="1">
      <alignment vertical="center" wrapText="1"/>
    </xf>
    <xf numFmtId="0" fontId="64" fillId="0" borderId="104" xfId="0" applyFont="1" applyBorder="1" applyAlignment="1">
      <alignment vertical="center"/>
    </xf>
    <xf numFmtId="0" fontId="68" fillId="0" borderId="110" xfId="0" applyFont="1" applyBorder="1" applyAlignment="1">
      <alignment vertical="top" wrapText="1"/>
    </xf>
    <xf numFmtId="0" fontId="68" fillId="0" borderId="109" xfId="0" applyFont="1" applyBorder="1" applyAlignment="1">
      <alignment vertical="top" wrapText="1"/>
    </xf>
    <xf numFmtId="0" fontId="94" fillId="0" borderId="0" xfId="0" applyFont="1" applyAlignment="1">
      <alignment horizontal="center" vertical="top" wrapText="1"/>
    </xf>
    <xf numFmtId="0" fontId="96" fillId="0" borderId="0" xfId="0" applyFont="1" applyAlignment="1">
      <alignment vertical="top" wrapText="1"/>
    </xf>
    <xf numFmtId="0" fontId="97" fillId="0" borderId="0" xfId="0" applyFont="1" applyAlignment="1">
      <alignment vertical="top" wrapText="1"/>
    </xf>
    <xf numFmtId="164" fontId="97" fillId="0" borderId="0" xfId="1" applyNumberFormat="1" applyFont="1" applyAlignment="1">
      <alignment vertical="top" wrapText="1"/>
    </xf>
    <xf numFmtId="0" fontId="98" fillId="0" borderId="0" xfId="0" applyFont="1" applyAlignment="1">
      <alignment horizontal="center"/>
    </xf>
    <xf numFmtId="49" fontId="0" fillId="0" borderId="0" xfId="0" applyNumberFormat="1"/>
    <xf numFmtId="0" fontId="98" fillId="0" borderId="0" xfId="0" applyFont="1"/>
    <xf numFmtId="0" fontId="14" fillId="0" borderId="0" xfId="0" applyFont="1" applyAlignment="1">
      <alignment horizontal="right"/>
    </xf>
    <xf numFmtId="0" fontId="99" fillId="0" borderId="0" xfId="0" applyFont="1" applyAlignment="1">
      <alignment horizontal="center"/>
    </xf>
    <xf numFmtId="0" fontId="14" fillId="0" borderId="0" xfId="0" applyFont="1" applyAlignment="1">
      <alignment horizontal="left" vertical="distributed"/>
    </xf>
    <xf numFmtId="0" fontId="13" fillId="0" borderId="104" xfId="0" applyFont="1" applyBorder="1" applyAlignment="1">
      <alignment horizontal="center" vertical="top" wrapText="1"/>
    </xf>
    <xf numFmtId="0" fontId="66" fillId="0" borderId="104" xfId="0" applyFont="1" applyBorder="1" applyAlignment="1">
      <alignment horizontal="center" vertical="top" wrapText="1"/>
    </xf>
    <xf numFmtId="3" fontId="66" fillId="0" borderId="104" xfId="0" applyNumberFormat="1" applyFont="1" applyBorder="1" applyAlignment="1">
      <alignment horizontal="center" vertical="top" wrapText="1"/>
    </xf>
    <xf numFmtId="0" fontId="68" fillId="0" borderId="104" xfId="0" applyFont="1" applyBorder="1" applyAlignment="1">
      <alignment horizontal="center" vertical="top" wrapText="1"/>
    </xf>
    <xf numFmtId="0" fontId="69" fillId="0" borderId="104" xfId="0" applyFont="1" applyBorder="1"/>
    <xf numFmtId="0" fontId="12" fillId="0" borderId="104" xfId="0" applyFont="1" applyBorder="1" applyAlignment="1">
      <alignment horizontal="center" vertical="top" wrapText="1"/>
    </xf>
    <xf numFmtId="3" fontId="12" fillId="0" borderId="104" xfId="0" applyNumberFormat="1" applyFont="1" applyBorder="1" applyAlignment="1">
      <alignment horizontal="right" vertical="top" wrapText="1"/>
    </xf>
    <xf numFmtId="3" fontId="9" fillId="0" borderId="104" xfId="0" applyNumberFormat="1" applyFont="1" applyBorder="1" applyAlignment="1">
      <alignment horizontal="right" vertical="top" wrapText="1"/>
    </xf>
    <xf numFmtId="0" fontId="12" fillId="0" borderId="104" xfId="0" applyFont="1" applyBorder="1"/>
    <xf numFmtId="1" fontId="12" fillId="0" borderId="104" xfId="0" applyNumberFormat="1" applyFont="1" applyBorder="1" applyAlignment="1">
      <alignment horizontal="center" vertical="top" wrapText="1"/>
    </xf>
    <xf numFmtId="0" fontId="12" fillId="0" borderId="104" xfId="0" applyFont="1" applyBorder="1" applyAlignment="1">
      <alignment horizontal="right" vertical="center"/>
    </xf>
    <xf numFmtId="0" fontId="69" fillId="0" borderId="104" xfId="0" applyFont="1" applyBorder="1" applyAlignment="1">
      <alignment horizontal="center"/>
    </xf>
    <xf numFmtId="0" fontId="12" fillId="0" borderId="104" xfId="0" applyFont="1" applyBorder="1" applyAlignment="1">
      <alignment vertical="center"/>
    </xf>
    <xf numFmtId="0" fontId="64" fillId="0" borderId="104" xfId="0" applyFont="1" applyBorder="1" applyAlignment="1">
      <alignment horizontal="right"/>
    </xf>
    <xf numFmtId="0" fontId="70" fillId="0" borderId="104" xfId="0" applyFont="1" applyBorder="1"/>
    <xf numFmtId="0" fontId="12" fillId="0" borderId="104" xfId="0" applyFont="1" applyBorder="1" applyAlignment="1">
      <alignment horizontal="right"/>
    </xf>
    <xf numFmtId="0" fontId="12" fillId="0" borderId="104" xfId="0" applyFont="1" applyBorder="1" applyAlignment="1">
      <alignment horizontal="center" vertical="center" wrapText="1"/>
    </xf>
    <xf numFmtId="3" fontId="12" fillId="0" borderId="104" xfId="0" applyNumberFormat="1" applyFont="1" applyBorder="1" applyAlignment="1">
      <alignment horizontal="right" vertical="center" wrapText="1"/>
    </xf>
    <xf numFmtId="0" fontId="64" fillId="0" borderId="104" xfId="0" applyFont="1" applyBorder="1" applyAlignment="1">
      <alignment horizontal="right" vertical="center"/>
    </xf>
    <xf numFmtId="0" fontId="69" fillId="0" borderId="104" xfId="0" applyFont="1" applyBorder="1" applyAlignment="1">
      <alignment vertical="top" wrapText="1"/>
    </xf>
    <xf numFmtId="0" fontId="63" fillId="0" borderId="104" xfId="0" applyFont="1" applyBorder="1" applyAlignment="1">
      <alignment horizontal="right"/>
    </xf>
    <xf numFmtId="0" fontId="63" fillId="0" borderId="104" xfId="0" applyFont="1" applyBorder="1"/>
    <xf numFmtId="0" fontId="66" fillId="0" borderId="104" xfId="0" applyFont="1" applyBorder="1" applyAlignment="1">
      <alignment horizontal="justify" vertical="top" wrapText="1"/>
    </xf>
    <xf numFmtId="3" fontId="14" fillId="0" borderId="104" xfId="0" applyNumberFormat="1" applyFont="1" applyBorder="1" applyAlignment="1">
      <alignment horizontal="right" vertical="top" wrapText="1"/>
    </xf>
    <xf numFmtId="0" fontId="12" fillId="0" borderId="104" xfId="0" applyFont="1" applyBorder="1" applyAlignment="1">
      <alignment horizontal="right" vertical="top" wrapText="1"/>
    </xf>
    <xf numFmtId="3" fontId="0" fillId="0" borderId="115" xfId="0" applyNumberFormat="1" applyBorder="1"/>
    <xf numFmtId="0" fontId="0" fillId="0" borderId="115" xfId="0" applyBorder="1"/>
    <xf numFmtId="0" fontId="100" fillId="0" borderId="104" xfId="0" applyFont="1" applyBorder="1" applyAlignment="1">
      <alignment horizontal="center" wrapText="1"/>
    </xf>
    <xf numFmtId="0" fontId="24" fillId="0" borderId="104" xfId="0" applyFont="1" applyBorder="1" applyAlignment="1">
      <alignment horizontal="center"/>
    </xf>
    <xf numFmtId="0" fontId="24" fillId="0" borderId="104" xfId="0" applyFont="1" applyBorder="1" applyAlignment="1">
      <alignment horizontal="center" vertical="center" wrapText="1"/>
    </xf>
    <xf numFmtId="0" fontId="24" fillId="0" borderId="104" xfId="0" applyFont="1" applyBorder="1" applyAlignment="1">
      <alignment horizontal="center" vertical="center"/>
    </xf>
    <xf numFmtId="0" fontId="0" fillId="0" borderId="103" xfId="0" applyBorder="1" applyAlignment="1">
      <alignment horizontal="center"/>
    </xf>
    <xf numFmtId="0" fontId="0" fillId="0" borderId="109" xfId="0" applyBorder="1" applyAlignment="1">
      <alignment horizontal="center"/>
    </xf>
    <xf numFmtId="49" fontId="24" fillId="0" borderId="103" xfId="0" applyNumberFormat="1" applyFont="1" applyBorder="1" applyAlignment="1">
      <alignment vertical="top" wrapText="1"/>
    </xf>
    <xf numFmtId="0" fontId="0" fillId="0" borderId="107" xfId="0" applyBorder="1"/>
    <xf numFmtId="0" fontId="0" fillId="0" borderId="103" xfId="0" applyBorder="1"/>
    <xf numFmtId="3" fontId="24" fillId="0" borderId="104" xfId="0" applyNumberFormat="1" applyFont="1" applyBorder="1" applyAlignment="1">
      <alignment horizontal="right"/>
    </xf>
    <xf numFmtId="49" fontId="101" fillId="0" borderId="104" xfId="0" applyNumberFormat="1" applyFont="1" applyBorder="1" applyAlignment="1">
      <alignment horizontal="center" wrapText="1"/>
    </xf>
    <xf numFmtId="0" fontId="101" fillId="0" borderId="9" xfId="0" applyFont="1" applyBorder="1" applyAlignment="1">
      <alignment horizontal="center"/>
    </xf>
    <xf numFmtId="0" fontId="101" fillId="0" borderId="104" xfId="0" applyFont="1" applyBorder="1"/>
    <xf numFmtId="0" fontId="101" fillId="0" borderId="9" xfId="0" applyFont="1" applyBorder="1"/>
    <xf numFmtId="3" fontId="101" fillId="0" borderId="104" xfId="0" applyNumberFormat="1" applyFont="1" applyBorder="1"/>
    <xf numFmtId="0" fontId="101" fillId="0" borderId="104" xfId="0" applyFont="1" applyBorder="1" applyAlignment="1">
      <alignment horizontal="right"/>
    </xf>
    <xf numFmtId="3" fontId="14" fillId="5" borderId="104" xfId="0" applyNumberFormat="1" applyFont="1" applyFill="1" applyBorder="1"/>
    <xf numFmtId="0" fontId="101" fillId="0" borderId="116" xfId="0" applyFont="1" applyBorder="1"/>
    <xf numFmtId="49" fontId="102" fillId="0" borderId="104" xfId="0" applyNumberFormat="1" applyFont="1" applyBorder="1"/>
    <xf numFmtId="0" fontId="101" fillId="0" borderId="109" xfId="0" applyFont="1" applyBorder="1"/>
    <xf numFmtId="3" fontId="102" fillId="0" borderId="117" xfId="0" applyNumberFormat="1" applyFont="1" applyBorder="1"/>
    <xf numFmtId="0" fontId="101" fillId="0" borderId="110" xfId="0" applyFont="1" applyBorder="1"/>
    <xf numFmtId="0" fontId="101" fillId="0" borderId="116" xfId="0" applyFont="1" applyBorder="1" applyAlignment="1">
      <alignment wrapText="1"/>
    </xf>
    <xf numFmtId="0" fontId="103" fillId="0" borderId="104" xfId="0" applyFont="1" applyBorder="1" applyAlignment="1">
      <alignment horizontal="center"/>
    </xf>
    <xf numFmtId="0" fontId="102" fillId="0" borderId="104" xfId="0" applyFont="1" applyBorder="1"/>
    <xf numFmtId="3" fontId="14" fillId="0" borderId="104" xfId="0" applyNumberFormat="1" applyFont="1" applyBorder="1"/>
    <xf numFmtId="0" fontId="104" fillId="0" borderId="116" xfId="0" applyFont="1" applyBorder="1" applyAlignment="1">
      <alignment wrapText="1"/>
    </xf>
    <xf numFmtId="0" fontId="100" fillId="0" borderId="0" xfId="0" applyFont="1" applyAlignment="1">
      <alignment wrapText="1"/>
    </xf>
    <xf numFmtId="0" fontId="100" fillId="0" borderId="0" xfId="0" applyFont="1"/>
    <xf numFmtId="0" fontId="100" fillId="0" borderId="104" xfId="0" applyFont="1" applyBorder="1" applyAlignment="1">
      <alignment horizontal="center"/>
    </xf>
    <xf numFmtId="0" fontId="105" fillId="0" borderId="104" xfId="0" applyFont="1" applyBorder="1"/>
    <xf numFmtId="3" fontId="102" fillId="5" borderId="104" xfId="0" applyNumberFormat="1" applyFont="1" applyFill="1" applyBorder="1"/>
    <xf numFmtId="0" fontId="101" fillId="0" borderId="103" xfId="0" applyFont="1" applyBorder="1"/>
    <xf numFmtId="0" fontId="101" fillId="0" borderId="108" xfId="0" applyFont="1" applyBorder="1"/>
    <xf numFmtId="0" fontId="14" fillId="0" borderId="104" xfId="0" applyFont="1" applyBorder="1" applyAlignment="1">
      <alignment horizontal="left" wrapText="1"/>
    </xf>
    <xf numFmtId="0" fontId="101" fillId="0" borderId="104" xfId="0" applyFont="1" applyBorder="1" applyAlignment="1">
      <alignment horizontal="center" wrapText="1"/>
    </xf>
    <xf numFmtId="3" fontId="102" fillId="0" borderId="104" xfId="0" applyNumberFormat="1" applyFont="1" applyBorder="1"/>
    <xf numFmtId="0" fontId="101" fillId="0" borderId="104" xfId="0" applyFont="1" applyBorder="1" applyAlignment="1">
      <alignment horizontal="left" wrapText="1"/>
    </xf>
    <xf numFmtId="0" fontId="101" fillId="0" borderId="102" xfId="0" applyFont="1" applyBorder="1" applyAlignment="1">
      <alignment wrapText="1"/>
    </xf>
    <xf numFmtId="0" fontId="100" fillId="0" borderId="103" xfId="0" applyFont="1" applyBorder="1" applyAlignment="1">
      <alignment horizontal="center" wrapText="1"/>
    </xf>
    <xf numFmtId="0" fontId="101" fillId="0" borderId="104" xfId="0" applyFont="1" applyBorder="1" applyAlignment="1">
      <alignment wrapText="1"/>
    </xf>
    <xf numFmtId="0" fontId="103" fillId="0" borderId="118" xfId="0" applyFont="1" applyBorder="1" applyAlignment="1">
      <alignment horizontal="center" wrapText="1"/>
    </xf>
    <xf numFmtId="0" fontId="9" fillId="0" borderId="104" xfId="0" applyFont="1" applyBorder="1" applyAlignment="1">
      <alignment horizontal="left" wrapText="1"/>
    </xf>
    <xf numFmtId="0" fontId="9" fillId="0" borderId="104" xfId="0" applyFont="1" applyBorder="1" applyAlignment="1">
      <alignment wrapText="1"/>
    </xf>
    <xf numFmtId="0" fontId="9" fillId="0" borderId="104" xfId="0" applyFont="1" applyBorder="1"/>
    <xf numFmtId="3" fontId="9" fillId="0" borderId="104" xfId="0" applyNumberFormat="1" applyFont="1" applyBorder="1"/>
    <xf numFmtId="0" fontId="14" fillId="0" borderId="118" xfId="0" applyFont="1" applyBorder="1"/>
    <xf numFmtId="0" fontId="14" fillId="0" borderId="118" xfId="0" applyFont="1" applyBorder="1" applyAlignment="1">
      <alignment wrapText="1"/>
    </xf>
    <xf numFmtId="0" fontId="103" fillId="0" borderId="0" xfId="0" applyFont="1" applyAlignment="1">
      <alignment wrapText="1"/>
    </xf>
    <xf numFmtId="0" fontId="103" fillId="0" borderId="0" xfId="0" applyFont="1"/>
    <xf numFmtId="0" fontId="100" fillId="0" borderId="106" xfId="0" applyFont="1" applyBorder="1" applyAlignment="1">
      <alignment horizontal="center" wrapText="1"/>
    </xf>
    <xf numFmtId="0" fontId="101" fillId="0" borderId="118" xfId="0" applyFont="1" applyBorder="1"/>
    <xf numFmtId="0" fontId="103" fillId="0" borderId="106" xfId="0" applyFont="1" applyBorder="1" applyAlignment="1">
      <alignment horizontal="center" wrapText="1"/>
    </xf>
    <xf numFmtId="0" fontId="14" fillId="0" borderId="106" xfId="0" applyFont="1" applyBorder="1"/>
    <xf numFmtId="0" fontId="100" fillId="0" borderId="106" xfId="0" applyFont="1" applyBorder="1" applyAlignment="1">
      <alignment horizontal="center"/>
    </xf>
    <xf numFmtId="0" fontId="101" fillId="0" borderId="104" xfId="0" applyFont="1" applyBorder="1" applyAlignment="1">
      <alignment horizontal="center"/>
    </xf>
    <xf numFmtId="0" fontId="101" fillId="0" borderId="106" xfId="0" applyFont="1" applyBorder="1"/>
    <xf numFmtId="0" fontId="103" fillId="0" borderId="106" xfId="0" applyFont="1" applyBorder="1" applyAlignment="1">
      <alignment horizontal="center"/>
    </xf>
    <xf numFmtId="0" fontId="14" fillId="0" borderId="104" xfId="0" applyFont="1" applyBorder="1" applyAlignment="1">
      <alignment horizontal="center"/>
    </xf>
    <xf numFmtId="0" fontId="14" fillId="0" borderId="9" xfId="0" applyFont="1" applyBorder="1"/>
    <xf numFmtId="0" fontId="100" fillId="0" borderId="108" xfId="0" applyFont="1" applyBorder="1" applyAlignment="1">
      <alignment horizontal="center"/>
    </xf>
    <xf numFmtId="0" fontId="100" fillId="0" borderId="119" xfId="0" applyFont="1" applyBorder="1"/>
    <xf numFmtId="0" fontId="103" fillId="0" borderId="9" xfId="0" applyFont="1" applyBorder="1" applyAlignment="1">
      <alignment horizontal="center"/>
    </xf>
    <xf numFmtId="0" fontId="100" fillId="0" borderId="9" xfId="0" applyFont="1" applyBorder="1" applyAlignment="1">
      <alignment horizontal="center"/>
    </xf>
    <xf numFmtId="0" fontId="101" fillId="0" borderId="0" xfId="0" applyFont="1"/>
    <xf numFmtId="3" fontId="9" fillId="4" borderId="104" xfId="0" applyNumberFormat="1" applyFont="1" applyFill="1" applyBorder="1"/>
    <xf numFmtId="0" fontId="14" fillId="0" borderId="104" xfId="0" applyFont="1" applyBorder="1" applyAlignment="1">
      <alignment horizontal="center" vertical="center"/>
    </xf>
    <xf numFmtId="0" fontId="14" fillId="0" borderId="104" xfId="0" applyFont="1" applyBorder="1" applyAlignment="1">
      <alignment vertical="center"/>
    </xf>
    <xf numFmtId="0" fontId="106" fillId="0" borderId="102" xfId="0" applyFont="1" applyBorder="1" applyAlignment="1">
      <alignment horizontal="center"/>
    </xf>
    <xf numFmtId="0" fontId="102" fillId="0" borderId="102" xfId="0" applyFont="1" applyBorder="1"/>
    <xf numFmtId="0" fontId="101" fillId="0" borderId="102" xfId="0" applyFont="1" applyBorder="1"/>
    <xf numFmtId="3" fontId="14" fillId="0" borderId="103" xfId="0" applyNumberFormat="1" applyFont="1" applyBorder="1"/>
    <xf numFmtId="0" fontId="100" fillId="0" borderId="118" xfId="0" applyFont="1" applyBorder="1" applyAlignment="1">
      <alignment horizontal="center"/>
    </xf>
    <xf numFmtId="3" fontId="101" fillId="0" borderId="108" xfId="0" applyNumberFormat="1" applyFont="1" applyBorder="1"/>
    <xf numFmtId="0" fontId="100" fillId="0" borderId="120" xfId="0" applyFont="1" applyBorder="1" applyAlignment="1">
      <alignment horizontal="center"/>
    </xf>
    <xf numFmtId="0" fontId="100" fillId="0" borderId="116" xfId="0" applyFont="1" applyBorder="1" applyAlignment="1">
      <alignment horizontal="center"/>
    </xf>
    <xf numFmtId="0" fontId="100" fillId="0" borderId="102" xfId="0" applyFont="1" applyBorder="1" applyAlignment="1">
      <alignment horizontal="center"/>
    </xf>
    <xf numFmtId="0" fontId="100" fillId="0" borderId="103" xfId="0" applyFont="1" applyBorder="1" applyAlignment="1">
      <alignment horizontal="center"/>
    </xf>
    <xf numFmtId="0" fontId="101" fillId="0" borderId="6" xfId="0" applyFont="1" applyBorder="1"/>
    <xf numFmtId="0" fontId="100" fillId="0" borderId="104" xfId="0" applyFont="1" applyBorder="1"/>
    <xf numFmtId="3" fontId="103" fillId="0" borderId="104" xfId="0" applyNumberFormat="1" applyFont="1" applyBorder="1"/>
    <xf numFmtId="0" fontId="100" fillId="0" borderId="103" xfId="0" applyFont="1" applyBorder="1"/>
    <xf numFmtId="0" fontId="100" fillId="0" borderId="121" xfId="0" applyFont="1" applyBorder="1" applyAlignment="1">
      <alignment horizontal="center"/>
    </xf>
    <xf numFmtId="3" fontId="101" fillId="0" borderId="103" xfId="0" applyNumberFormat="1" applyFont="1" applyBorder="1"/>
    <xf numFmtId="3" fontId="101" fillId="0" borderId="0" xfId="0" applyNumberFormat="1" applyFont="1"/>
    <xf numFmtId="3" fontId="9" fillId="0" borderId="0" xfId="0" applyNumberFormat="1" applyFont="1"/>
    <xf numFmtId="0" fontId="100" fillId="0" borderId="0" xfId="0" applyFont="1" applyAlignment="1">
      <alignment horizontal="center"/>
    </xf>
    <xf numFmtId="0" fontId="24" fillId="0" borderId="0" xfId="0" applyFont="1" applyAlignment="1">
      <alignment horizontal="left"/>
    </xf>
    <xf numFmtId="0" fontId="24" fillId="0" borderId="0" xfId="0" applyFont="1"/>
    <xf numFmtId="3" fontId="14" fillId="0" borderId="0" xfId="0" applyNumberFormat="1" applyFont="1"/>
    <xf numFmtId="0" fontId="0" fillId="0" borderId="122" xfId="0" applyBorder="1"/>
    <xf numFmtId="3" fontId="102" fillId="0" borderId="109" xfId="0" applyNumberFormat="1" applyFont="1" applyBorder="1"/>
    <xf numFmtId="0" fontId="101" fillId="0" borderId="123" xfId="0" applyFont="1" applyBorder="1" applyAlignment="1">
      <alignment horizontal="left" wrapText="1"/>
    </xf>
    <xf numFmtId="0" fontId="101" fillId="0" borderId="104" xfId="0" applyFont="1" applyBorder="1" applyAlignment="1">
      <alignment horizontal="right" wrapText="1"/>
    </xf>
    <xf numFmtId="0" fontId="100" fillId="0" borderId="118" xfId="0" applyFont="1" applyBorder="1" applyAlignment="1">
      <alignment horizontal="center" wrapText="1"/>
    </xf>
    <xf numFmtId="0" fontId="101" fillId="0" borderId="118" xfId="0" applyFont="1" applyBorder="1" applyAlignment="1">
      <alignment wrapText="1"/>
    </xf>
    <xf numFmtId="0" fontId="101" fillId="0" borderId="104" xfId="0" applyFont="1" applyBorder="1" applyAlignment="1">
      <alignment horizontal="left" vertical="top" wrapText="1"/>
    </xf>
    <xf numFmtId="0" fontId="101" fillId="0" borderId="104" xfId="0" applyFont="1" applyBorder="1" applyAlignment="1">
      <alignment horizontal="left" vertical="center" wrapText="1"/>
    </xf>
    <xf numFmtId="0" fontId="101" fillId="0" borderId="102" xfId="0" applyFont="1" applyBorder="1" applyAlignment="1">
      <alignment vertical="center" wrapText="1"/>
    </xf>
    <xf numFmtId="0" fontId="101" fillId="0" borderId="104" xfId="0" applyFont="1" applyBorder="1" applyAlignment="1">
      <alignment horizontal="center" vertical="center" wrapText="1"/>
    </xf>
    <xf numFmtId="0" fontId="101" fillId="0" borderId="104" xfId="0" applyFont="1" applyBorder="1" applyAlignment="1">
      <alignment vertical="center"/>
    </xf>
    <xf numFmtId="3" fontId="101" fillId="0" borderId="104" xfId="0" applyNumberFormat="1" applyFont="1" applyBorder="1" applyAlignment="1">
      <alignment vertical="center"/>
    </xf>
    <xf numFmtId="0" fontId="101" fillId="0" borderId="107" xfId="0" applyFont="1" applyBorder="1" applyAlignment="1">
      <alignment horizontal="left" vertical="center" wrapText="1"/>
    </xf>
    <xf numFmtId="0" fontId="101" fillId="0" borderId="6" xfId="0" applyFont="1" applyBorder="1" applyAlignment="1">
      <alignment vertical="center"/>
    </xf>
    <xf numFmtId="0" fontId="101" fillId="0" borderId="124" xfId="0" applyFont="1" applyBorder="1" applyAlignment="1">
      <alignment vertical="top"/>
    </xf>
    <xf numFmtId="0" fontId="101" fillId="0" borderId="106" xfId="0" applyFont="1" applyBorder="1" applyAlignment="1">
      <alignment vertical="top"/>
    </xf>
    <xf numFmtId="0" fontId="101" fillId="0" borderId="103" xfId="0" applyFont="1" applyBorder="1" applyAlignment="1">
      <alignment horizontal="center"/>
    </xf>
    <xf numFmtId="0" fontId="101" fillId="0" borderId="116" xfId="0" applyFont="1" applyBorder="1" applyAlignment="1">
      <alignment vertical="top"/>
    </xf>
    <xf numFmtId="0" fontId="103" fillId="0" borderId="104" xfId="0" applyFont="1" applyBorder="1" applyAlignment="1">
      <alignment horizontal="center" vertical="center"/>
    </xf>
    <xf numFmtId="0" fontId="102" fillId="0" borderId="104" xfId="0" applyFont="1" applyBorder="1" applyAlignment="1">
      <alignment vertical="center"/>
    </xf>
    <xf numFmtId="0" fontId="100" fillId="0" borderId="118" xfId="0" applyFont="1" applyBorder="1"/>
    <xf numFmtId="3" fontId="102" fillId="0" borderId="102" xfId="0" applyNumberFormat="1" applyFont="1" applyBorder="1"/>
    <xf numFmtId="3" fontId="101" fillId="0" borderId="9" xfId="0" applyNumberFormat="1" applyFont="1" applyBorder="1"/>
    <xf numFmtId="0" fontId="103" fillId="0" borderId="9" xfId="0" applyFont="1" applyBorder="1"/>
    <xf numFmtId="0" fontId="103" fillId="0" borderId="108" xfId="0" applyFont="1" applyBorder="1"/>
    <xf numFmtId="3" fontId="103" fillId="0" borderId="108" xfId="0" applyNumberFormat="1" applyFont="1" applyBorder="1"/>
    <xf numFmtId="3" fontId="103" fillId="0" borderId="9" xfId="0" applyNumberFormat="1" applyFont="1" applyBorder="1"/>
    <xf numFmtId="0" fontId="103" fillId="0" borderId="104" xfId="0" applyFont="1" applyBorder="1"/>
    <xf numFmtId="3" fontId="100" fillId="0" borderId="104" xfId="0" applyNumberFormat="1" applyFont="1" applyBorder="1"/>
    <xf numFmtId="0" fontId="102" fillId="0" borderId="125" xfId="0" applyFont="1" applyBorder="1"/>
    <xf numFmtId="0" fontId="102" fillId="0" borderId="126" xfId="0" applyFont="1" applyBorder="1"/>
    <xf numFmtId="0" fontId="102"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5" fillId="0" borderId="5" xfId="0" applyFont="1" applyBorder="1" applyAlignment="1">
      <alignment horizontal="center" vertical="center"/>
    </xf>
    <xf numFmtId="0" fontId="14" fillId="0" borderId="0" xfId="0" applyFont="1" applyAlignment="1">
      <alignment horizontal="right" vertical="center"/>
    </xf>
    <xf numFmtId="0" fontId="1" fillId="0" borderId="0" xfId="0" applyFont="1" applyAlignment="1">
      <alignment vertical="top"/>
    </xf>
    <xf numFmtId="3" fontId="12" fillId="0" borderId="100" xfId="2" applyNumberFormat="1" applyFont="1" applyBorder="1" applyAlignment="1">
      <alignment horizontal="right" vertical="center" wrapText="1"/>
    </xf>
    <xf numFmtId="3" fontId="1" fillId="0" borderId="0" xfId="0" applyNumberFormat="1" applyFont="1" applyAlignment="1">
      <alignment vertical="top"/>
    </xf>
    <xf numFmtId="0" fontId="21" fillId="0" borderId="100" xfId="0" applyFont="1" applyBorder="1" applyAlignment="1">
      <alignment horizontal="justify" vertical="center" wrapText="1" shrinkToFit="1"/>
    </xf>
    <xf numFmtId="0" fontId="21" fillId="0" borderId="100" xfId="0" applyFont="1" applyBorder="1" applyAlignment="1">
      <alignment horizontal="center" vertical="center" wrapText="1" shrinkToFit="1"/>
    </xf>
    <xf numFmtId="41" fontId="27" fillId="0" borderId="100" xfId="2" applyFont="1" applyBorder="1" applyAlignment="1">
      <alignment horizontal="right" vertical="center" wrapText="1" shrinkToFit="1"/>
    </xf>
    <xf numFmtId="0" fontId="21" fillId="0" borderId="104" xfId="0" applyFont="1" applyBorder="1" applyAlignment="1">
      <alignment horizontal="center" vertical="center" wrapText="1" shrinkToFit="1"/>
    </xf>
    <xf numFmtId="41" fontId="27" fillId="0" borderId="104" xfId="2" applyFont="1" applyBorder="1" applyAlignment="1">
      <alignment horizontal="right" vertical="center" wrapText="1" shrinkToFit="1"/>
    </xf>
    <xf numFmtId="0" fontId="21" fillId="0" borderId="104" xfId="0" applyFont="1" applyBorder="1" applyAlignment="1">
      <alignment horizontal="center" vertical="center"/>
    </xf>
    <xf numFmtId="3" fontId="27" fillId="0" borderId="100" xfId="0" applyNumberFormat="1" applyFont="1" applyBorder="1" applyAlignment="1">
      <alignment horizontal="right"/>
    </xf>
    <xf numFmtId="0" fontId="25" fillId="0" borderId="0" xfId="5" applyFont="1" applyAlignment="1">
      <alignment horizontal="center" vertical="center" wrapText="1"/>
    </xf>
    <xf numFmtId="0" fontId="25" fillId="0" borderId="0" xfId="5" applyFont="1" applyAlignment="1">
      <alignment vertical="center" wrapText="1"/>
    </xf>
    <xf numFmtId="0" fontId="25" fillId="0" borderId="0" xfId="5" applyFont="1" applyAlignment="1">
      <alignment horizontal="left" vertical="center" wrapText="1"/>
    </xf>
    <xf numFmtId="0" fontId="4" fillId="0" borderId="0" xfId="5"/>
    <xf numFmtId="0" fontId="14" fillId="0" borderId="0" xfId="5" applyFont="1" applyAlignment="1">
      <alignment horizontal="right" vertical="center"/>
    </xf>
    <xf numFmtId="0" fontId="18" fillId="0" borderId="0" xfId="5" applyFont="1" applyAlignment="1">
      <alignment vertical="center"/>
    </xf>
    <xf numFmtId="0" fontId="14" fillId="0" borderId="127" xfId="5" applyFont="1" applyBorder="1" applyAlignment="1">
      <alignment horizontal="center" vertical="center"/>
    </xf>
    <xf numFmtId="0" fontId="14" fillId="0" borderId="128" xfId="5" applyFont="1" applyBorder="1" applyAlignment="1">
      <alignment horizontal="center" vertical="center" wrapText="1"/>
    </xf>
    <xf numFmtId="0" fontId="14" fillId="0" borderId="129" xfId="5" applyFont="1" applyBorder="1" applyAlignment="1">
      <alignment horizontal="center" vertical="center" wrapText="1"/>
    </xf>
    <xf numFmtId="0" fontId="14" fillId="0" borderId="130" xfId="5" applyFont="1" applyBorder="1" applyAlignment="1">
      <alignment horizontal="center" vertical="center" wrapText="1"/>
    </xf>
    <xf numFmtId="0" fontId="9" fillId="0" borderId="131" xfId="5" applyFont="1" applyBorder="1" applyAlignment="1">
      <alignment horizontal="center" vertical="center" wrapText="1"/>
    </xf>
    <xf numFmtId="0" fontId="9" fillId="0" borderId="104" xfId="5" applyFont="1" applyBorder="1" applyAlignment="1">
      <alignment vertical="center" wrapText="1"/>
    </xf>
    <xf numFmtId="0" fontId="9" fillId="0" borderId="122" xfId="5" applyFont="1" applyBorder="1" applyAlignment="1">
      <alignment horizontal="center" vertical="center" wrapText="1"/>
    </xf>
    <xf numFmtId="0" fontId="9" fillId="0" borderId="104" xfId="5" applyFont="1" applyBorder="1" applyAlignment="1">
      <alignment horizontal="center" vertical="center" wrapText="1"/>
    </xf>
    <xf numFmtId="0" fontId="9" fillId="0" borderId="122" xfId="5" applyFont="1" applyBorder="1" applyAlignment="1">
      <alignment vertical="center" wrapText="1"/>
    </xf>
    <xf numFmtId="0" fontId="9" fillId="0" borderId="132" xfId="5" applyFont="1" applyBorder="1" applyAlignment="1">
      <alignment horizontal="center" vertical="center" wrapText="1"/>
    </xf>
    <xf numFmtId="0" fontId="4" fillId="0" borderId="0" xfId="5" applyAlignment="1">
      <alignment wrapText="1"/>
    </xf>
    <xf numFmtId="0" fontId="9" fillId="0" borderId="133"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34" xfId="5" quotePrefix="1" applyFont="1" applyBorder="1" applyAlignment="1">
      <alignment horizontal="center" vertical="center" wrapText="1"/>
    </xf>
    <xf numFmtId="0" fontId="9" fillId="0" borderId="135" xfId="5" applyFont="1" applyBorder="1" applyAlignment="1">
      <alignment horizontal="center" vertical="center"/>
    </xf>
    <xf numFmtId="0" fontId="14" fillId="0" borderId="136" xfId="5" applyFont="1" applyBorder="1" applyAlignment="1">
      <alignment horizontal="center" vertical="center" wrapText="1"/>
    </xf>
    <xf numFmtId="0" fontId="17" fillId="0" borderId="0" xfId="5" applyFont="1" applyAlignment="1">
      <alignment wrapText="1"/>
    </xf>
    <xf numFmtId="0" fontId="6" fillId="0" borderId="0" xfId="5" applyFont="1" applyAlignment="1">
      <alignment wrapText="1"/>
    </xf>
    <xf numFmtId="0" fontId="35" fillId="0" borderId="0" xfId="0" applyFont="1"/>
    <xf numFmtId="0" fontId="35" fillId="0" borderId="0" xfId="0" applyFont="1" applyAlignment="1">
      <alignment horizontal="center"/>
    </xf>
    <xf numFmtId="3" fontId="13" fillId="0" borderId="83" xfId="0" applyNumberFormat="1" applyFont="1" applyBorder="1" applyAlignment="1">
      <alignment horizontal="right" vertical="top" wrapText="1"/>
    </xf>
    <xf numFmtId="0" fontId="12" fillId="0" borderId="140" xfId="0" applyFont="1" applyBorder="1" applyAlignment="1">
      <alignment horizontal="center" vertical="top" wrapText="1"/>
    </xf>
    <xf numFmtId="0" fontId="12" fillId="0" borderId="140" xfId="0" applyFont="1" applyBorder="1" applyAlignment="1">
      <alignment horizontal="justify" vertical="top" wrapText="1"/>
    </xf>
    <xf numFmtId="3" fontId="12" fillId="0" borderId="140" xfId="0" applyNumberFormat="1" applyFont="1" applyBorder="1" applyAlignment="1">
      <alignment vertical="top" wrapText="1"/>
    </xf>
    <xf numFmtId="9" fontId="13" fillId="0" borderId="140" xfId="0" applyNumberFormat="1" applyFont="1" applyBorder="1" applyAlignment="1">
      <alignment vertical="top"/>
    </xf>
    <xf numFmtId="0" fontId="48" fillId="0" borderId="141" xfId="0" applyFont="1" applyBorder="1" applyAlignment="1">
      <alignment horizontal="center" vertical="top" wrapText="1"/>
    </xf>
    <xf numFmtId="0" fontId="48" fillId="0" borderId="142" xfId="0" applyFont="1" applyBorder="1" applyAlignment="1">
      <alignment horizontal="justify" vertical="top" wrapText="1"/>
    </xf>
    <xf numFmtId="41" fontId="13" fillId="0" borderId="142" xfId="0" applyNumberFormat="1" applyFont="1" applyBorder="1" applyAlignment="1">
      <alignment vertical="top" wrapText="1"/>
    </xf>
    <xf numFmtId="0" fontId="47" fillId="0" borderId="143" xfId="0" applyFont="1" applyBorder="1" applyAlignment="1">
      <alignment vertical="top"/>
    </xf>
    <xf numFmtId="0" fontId="12" fillId="0" borderId="140" xfId="0" applyFont="1" applyBorder="1" applyAlignment="1">
      <alignment vertical="top"/>
    </xf>
    <xf numFmtId="0" fontId="12" fillId="0" borderId="118" xfId="0" applyFont="1" applyBorder="1" applyAlignment="1">
      <alignment horizontal="justify" vertical="top" wrapText="1"/>
    </xf>
    <xf numFmtId="3" fontId="12" fillId="0" borderId="118" xfId="0" applyNumberFormat="1" applyFont="1" applyBorder="1" applyAlignment="1">
      <alignment vertical="top" wrapText="1"/>
    </xf>
    <xf numFmtId="0" fontId="12" fillId="0" borderId="118" xfId="0" applyFont="1" applyBorder="1" applyAlignment="1">
      <alignment vertical="top"/>
    </xf>
    <xf numFmtId="3" fontId="13" fillId="0" borderId="31" xfId="0" applyNumberFormat="1" applyFont="1" applyBorder="1" applyAlignment="1">
      <alignment vertical="top" wrapText="1"/>
    </xf>
    <xf numFmtId="0" fontId="27" fillId="0" borderId="0" xfId="0" applyFont="1" applyAlignment="1">
      <alignment horizontal="center"/>
    </xf>
    <xf numFmtId="0" fontId="22" fillId="0" borderId="0" xfId="0" applyFont="1" applyAlignment="1">
      <alignment horizontal="center"/>
    </xf>
    <xf numFmtId="0" fontId="23" fillId="0" borderId="0" xfId="0" applyFont="1" applyBorder="1" applyAlignment="1">
      <alignment horizontal="center"/>
    </xf>
    <xf numFmtId="0" fontId="23" fillId="0" borderId="0" xfId="0" applyFont="1" applyBorder="1" applyAlignment="1">
      <alignment horizontal="right"/>
    </xf>
    <xf numFmtId="0" fontId="22" fillId="0" borderId="0" xfId="0" applyFont="1" applyFill="1" applyAlignment="1">
      <alignment horizontal="center" vertical="center" wrapText="1"/>
    </xf>
    <xf numFmtId="0" fontId="22" fillId="0" borderId="0" xfId="0" applyFont="1" applyFill="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164" fontId="22" fillId="0" borderId="37" xfId="1" applyNumberFormat="1" applyFont="1" applyFill="1" applyBorder="1" applyAlignment="1">
      <alignment horizontal="center" vertical="center" wrapText="1"/>
    </xf>
    <xf numFmtId="164" fontId="22" fillId="0" borderId="13"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4" fillId="0" borderId="0" xfId="0" applyFont="1" applyFill="1" applyAlignment="1">
      <alignment horizontal="center" vertical="center"/>
    </xf>
    <xf numFmtId="164" fontId="22" fillId="0" borderId="39" xfId="1" applyNumberFormat="1" applyFont="1" applyFill="1" applyBorder="1" applyAlignment="1">
      <alignment horizontal="center" vertical="center" wrapText="1"/>
    </xf>
    <xf numFmtId="164" fontId="22" fillId="0" borderId="14" xfId="1" applyNumberFormat="1" applyFont="1" applyFill="1" applyBorder="1" applyAlignment="1">
      <alignment horizontal="center" vertical="center" wrapText="1"/>
    </xf>
    <xf numFmtId="0" fontId="21" fillId="0" borderId="60" xfId="0" applyFont="1" applyFill="1" applyBorder="1" applyAlignment="1">
      <alignment horizontal="center" vertical="center" wrapText="1"/>
    </xf>
    <xf numFmtId="165" fontId="21" fillId="0" borderId="0" xfId="0" applyNumberFormat="1" applyFont="1" applyAlignment="1">
      <alignment horizontal="left" wrapText="1"/>
    </xf>
    <xf numFmtId="165" fontId="21" fillId="0" borderId="60" xfId="0" applyNumberFormat="1" applyFont="1" applyFill="1" applyBorder="1" applyAlignment="1">
      <alignment horizontal="left" wrapText="1"/>
    </xf>
    <xf numFmtId="0" fontId="21" fillId="0" borderId="56" xfId="0" applyFont="1" applyFill="1" applyBorder="1" applyAlignment="1">
      <alignment horizontal="center"/>
    </xf>
    <xf numFmtId="0" fontId="23" fillId="0" borderId="0" xfId="0" applyFont="1" applyFill="1" applyBorder="1" applyAlignment="1">
      <alignment horizontal="right" wrapText="1"/>
    </xf>
    <xf numFmtId="0" fontId="22" fillId="0" borderId="0" xfId="0" applyFont="1" applyAlignment="1">
      <alignment horizontal="left" wrapText="1"/>
    </xf>
    <xf numFmtId="0" fontId="21" fillId="0" borderId="0" xfId="0" applyFont="1" applyAlignment="1">
      <alignment horizontal="left" wrapText="1"/>
    </xf>
    <xf numFmtId="164" fontId="51" fillId="0" borderId="38" xfId="1" applyNumberFormat="1" applyFont="1" applyFill="1" applyBorder="1" applyAlignment="1">
      <alignment horizontal="center" vertical="center" wrapText="1"/>
    </xf>
    <xf numFmtId="164" fontId="51" fillId="0" borderId="9" xfId="1" applyNumberFormat="1" applyFont="1" applyFill="1" applyBorder="1" applyAlignment="1">
      <alignment horizontal="center" vertical="center" wrapText="1"/>
    </xf>
    <xf numFmtId="164" fontId="22" fillId="0" borderId="80" xfId="1" applyNumberFormat="1" applyFont="1" applyFill="1" applyBorder="1" applyAlignment="1">
      <alignment horizontal="center" vertical="center" wrapText="1"/>
    </xf>
    <xf numFmtId="164" fontId="22" fillId="0" borderId="50" xfId="1" applyNumberFormat="1" applyFont="1" applyFill="1" applyBorder="1" applyAlignment="1">
      <alignment horizontal="center" vertical="center" wrapText="1"/>
    </xf>
    <xf numFmtId="164" fontId="22" fillId="0" borderId="81" xfId="1" applyNumberFormat="1" applyFont="1" applyFill="1" applyBorder="1" applyAlignment="1">
      <alignment horizontal="center" vertical="center" wrapText="1"/>
    </xf>
    <xf numFmtId="164" fontId="22" fillId="0" borderId="55"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164" fontId="22" fillId="0" borderId="55"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0" fontId="22" fillId="0" borderId="0" xfId="0" applyFont="1" applyFill="1" applyAlignment="1">
      <alignment horizontal="center" vertical="center"/>
    </xf>
    <xf numFmtId="164" fontId="22" fillId="0" borderId="58" xfId="1" applyNumberFormat="1" applyFont="1" applyFill="1" applyBorder="1" applyAlignment="1">
      <alignment horizontal="center" vertical="top" wrapText="1"/>
    </xf>
    <xf numFmtId="164" fontId="22" fillId="0" borderId="56" xfId="1" applyNumberFormat="1" applyFont="1" applyFill="1" applyBorder="1" applyAlignment="1">
      <alignment horizontal="center" vertical="top" wrapText="1"/>
    </xf>
    <xf numFmtId="164" fontId="22" fillId="0" borderId="57" xfId="1" applyNumberFormat="1" applyFont="1" applyFill="1" applyBorder="1" applyAlignment="1">
      <alignment horizontal="center" vertical="top" wrapText="1"/>
    </xf>
    <xf numFmtId="165" fontId="21" fillId="0" borderId="0" xfId="0" applyNumberFormat="1" applyFont="1" applyFill="1" applyAlignment="1">
      <alignment horizontal="left" wrapText="1"/>
    </xf>
    <xf numFmtId="0" fontId="22" fillId="0" borderId="0" xfId="0" applyFont="1" applyFill="1" applyAlignment="1">
      <alignment horizontal="left" wrapText="1"/>
    </xf>
    <xf numFmtId="0" fontId="7" fillId="0" borderId="0" xfId="0" applyFont="1" applyFill="1" applyAlignment="1">
      <alignment horizontal="left" wrapText="1"/>
    </xf>
    <xf numFmtId="164" fontId="6" fillId="0" borderId="55"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164" fontId="6" fillId="0" borderId="55"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5" fillId="0" borderId="0" xfId="0" applyFont="1" applyFill="1" applyAlignment="1">
      <alignment horizontal="center"/>
    </xf>
    <xf numFmtId="0" fontId="6" fillId="0" borderId="0" xfId="0" applyFont="1" applyFill="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vertical="center"/>
    </xf>
    <xf numFmtId="0" fontId="5" fillId="0" borderId="0" xfId="0" applyFont="1" applyFill="1" applyAlignment="1">
      <alignment horizontal="left" wrapText="1"/>
    </xf>
    <xf numFmtId="165" fontId="5" fillId="0" borderId="0" xfId="0" applyNumberFormat="1" applyFont="1" applyFill="1" applyAlignment="1">
      <alignment horizontal="left" wrapText="1"/>
    </xf>
    <xf numFmtId="0" fontId="5" fillId="0" borderId="6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wrapText="1"/>
    </xf>
    <xf numFmtId="164" fontId="6" fillId="0" borderId="58" xfId="1" applyNumberFormat="1" applyFont="1" applyFill="1" applyBorder="1" applyAlignment="1">
      <alignment horizontal="center" vertical="top" wrapText="1"/>
    </xf>
    <xf numFmtId="164" fontId="6" fillId="0" borderId="56" xfId="1" applyNumberFormat="1" applyFont="1" applyFill="1" applyBorder="1" applyAlignment="1">
      <alignment horizontal="center" vertical="top" wrapText="1"/>
    </xf>
    <xf numFmtId="164" fontId="6" fillId="0" borderId="57" xfId="1" applyNumberFormat="1" applyFont="1" applyFill="1" applyBorder="1" applyAlignment="1">
      <alignment horizontal="center" vertical="top" wrapText="1"/>
    </xf>
    <xf numFmtId="0" fontId="5" fillId="0" borderId="56" xfId="0" applyFont="1" applyFill="1" applyBorder="1" applyAlignment="1">
      <alignment horizontal="center"/>
    </xf>
    <xf numFmtId="0" fontId="35" fillId="0" borderId="0" xfId="0" applyFont="1" applyFill="1" applyBorder="1" applyAlignment="1">
      <alignment horizontal="right" wrapText="1"/>
    </xf>
    <xf numFmtId="165" fontId="5" fillId="0" borderId="60" xfId="0" applyNumberFormat="1" applyFont="1" applyFill="1" applyBorder="1" applyAlignment="1">
      <alignment horizontal="left" wrapText="1"/>
    </xf>
    <xf numFmtId="0" fontId="54" fillId="0" borderId="72" xfId="0" applyFont="1" applyBorder="1" applyAlignment="1">
      <alignment horizontal="center" vertical="center" wrapText="1"/>
    </xf>
    <xf numFmtId="0" fontId="54" fillId="0" borderId="71" xfId="0" applyFont="1" applyBorder="1" applyAlignment="1">
      <alignment horizontal="center" vertical="center" wrapText="1"/>
    </xf>
    <xf numFmtId="0" fontId="24" fillId="0" borderId="0" xfId="0" applyFont="1" applyAlignment="1">
      <alignment horizontal="center"/>
    </xf>
    <xf numFmtId="0" fontId="30" fillId="0" borderId="0" xfId="0" applyFont="1" applyBorder="1" applyAlignment="1">
      <alignment horizontal="right"/>
    </xf>
    <xf numFmtId="0" fontId="10" fillId="0" borderId="0" xfId="0" applyFont="1" applyAlignment="1">
      <alignment horizontal="left"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vertical="center"/>
    </xf>
    <xf numFmtId="164" fontId="24" fillId="0" borderId="62" xfId="1" applyNumberFormat="1" applyFont="1" applyBorder="1" applyAlignment="1">
      <alignment horizontal="center" vertical="center" wrapText="1"/>
    </xf>
    <xf numFmtId="164" fontId="24" fillId="0" borderId="64" xfId="1" applyNumberFormat="1" applyFont="1" applyBorder="1" applyAlignment="1">
      <alignment horizontal="center" vertical="center" wrapText="1"/>
    </xf>
    <xf numFmtId="164" fontId="24" fillId="0" borderId="63" xfId="1" applyNumberFormat="1" applyFont="1" applyBorder="1" applyAlignment="1">
      <alignment horizontal="center" vertical="center" wrapText="1"/>
    </xf>
    <xf numFmtId="164" fontId="24" fillId="0" borderId="9" xfId="1" applyNumberFormat="1" applyFont="1" applyBorder="1" applyAlignment="1">
      <alignment horizontal="center" vertical="center" wrapText="1"/>
    </xf>
    <xf numFmtId="0" fontId="12" fillId="0" borderId="0" xfId="0" applyFont="1" applyAlignment="1">
      <alignment horizontal="center"/>
    </xf>
    <xf numFmtId="0" fontId="22" fillId="0" borderId="0" xfId="0" applyFont="1" applyAlignment="1">
      <alignment horizontal="center" wrapText="1"/>
    </xf>
    <xf numFmtId="0" fontId="21" fillId="0" borderId="0" xfId="0" applyFont="1" applyAlignment="1">
      <alignment horizontal="center"/>
    </xf>
    <xf numFmtId="164" fontId="22" fillId="0" borderId="39"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33" xfId="0" applyFont="1" applyBorder="1" applyAlignment="1">
      <alignment horizontal="center" vertical="center" wrapText="1"/>
    </xf>
    <xf numFmtId="0" fontId="23" fillId="0" borderId="50" xfId="0" applyFont="1" applyBorder="1" applyAlignment="1">
      <alignment horizontal="right"/>
    </xf>
    <xf numFmtId="0" fontId="7" fillId="0" borderId="0" xfId="0" applyFont="1" applyAlignment="1">
      <alignment horizontal="left" wrapText="1"/>
    </xf>
    <xf numFmtId="164" fontId="22" fillId="0" borderId="37" xfId="1" applyNumberFormat="1" applyFont="1" applyBorder="1" applyAlignment="1">
      <alignment horizontal="center" vertical="center" wrapText="1"/>
    </xf>
    <xf numFmtId="164" fontId="22" fillId="0" borderId="44" xfId="1" applyNumberFormat="1"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6" fillId="0" borderId="76" xfId="0" applyFont="1" applyBorder="1" applyAlignment="1">
      <alignment horizontal="left" vertical="top" wrapText="1"/>
    </xf>
    <xf numFmtId="0" fontId="6" fillId="0" borderId="78" xfId="0" applyFont="1" applyBorder="1" applyAlignment="1">
      <alignment horizontal="left" vertical="top" wrapText="1"/>
    </xf>
    <xf numFmtId="0" fontId="6" fillId="0" borderId="77"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22" fillId="0" borderId="0" xfId="0" applyFont="1" applyAlignment="1">
      <alignment horizontal="left" vertical="center" wrapText="1"/>
    </xf>
    <xf numFmtId="0" fontId="6" fillId="0" borderId="0" xfId="0" applyFont="1" applyBorder="1" applyAlignment="1">
      <alignment horizontal="left" vertical="center" wrapText="1"/>
    </xf>
    <xf numFmtId="0" fontId="35" fillId="0" borderId="0" xfId="0" applyFont="1" applyBorder="1" applyAlignment="1">
      <alignment horizontal="righ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42" fillId="0" borderId="74"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7" xfId="0" applyFont="1" applyBorder="1" applyAlignment="1">
      <alignment horizontal="left" vertical="center" wrapText="1"/>
    </xf>
    <xf numFmtId="0" fontId="14" fillId="0" borderId="0" xfId="0" applyFont="1" applyAlignment="1">
      <alignment horizontal="center"/>
    </xf>
    <xf numFmtId="0" fontId="6" fillId="0" borderId="0" xfId="0" applyFont="1" applyAlignment="1">
      <alignment horizontal="center" wrapText="1"/>
    </xf>
    <xf numFmtId="0" fontId="48" fillId="0" borderId="0" xfId="0" applyFont="1" applyAlignment="1">
      <alignment horizontal="right"/>
    </xf>
    <xf numFmtId="0" fontId="13" fillId="0" borderId="0" xfId="0" applyFont="1" applyAlignment="1">
      <alignment horizontal="center"/>
    </xf>
    <xf numFmtId="0" fontId="9" fillId="0" borderId="0" xfId="0" applyFont="1" applyAlignment="1">
      <alignment horizontal="left" wrapText="1"/>
    </xf>
    <xf numFmtId="0" fontId="25" fillId="0" borderId="0" xfId="5" applyFont="1" applyAlignment="1">
      <alignment horizontal="center" vertical="center" wrapText="1"/>
    </xf>
    <xf numFmtId="0" fontId="9" fillId="0" borderId="0" xfId="5" applyFont="1" applyAlignment="1">
      <alignment horizontal="center" vertical="center"/>
    </xf>
    <xf numFmtId="0" fontId="103" fillId="0" borderId="0" xfId="5" applyFont="1" applyAlignment="1">
      <alignment horizontal="center" vertical="center" wrapText="1"/>
    </xf>
    <xf numFmtId="0" fontId="14" fillId="0" borderId="0" xfId="5" applyFont="1" applyAlignment="1">
      <alignment horizontal="center" vertical="center"/>
    </xf>
    <xf numFmtId="0" fontId="9" fillId="0" borderId="137" xfId="5" applyFont="1" applyBorder="1" applyAlignment="1">
      <alignment horizontal="center" vertical="center"/>
    </xf>
    <xf numFmtId="0" fontId="9" fillId="0" borderId="138" xfId="5" applyFont="1" applyBorder="1" applyAlignment="1">
      <alignment horizontal="center" vertical="center"/>
    </xf>
    <xf numFmtId="0" fontId="9" fillId="0" borderId="139" xfId="5" applyFont="1" applyBorder="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25" fillId="0" borderId="0" xfId="0" applyFont="1" applyAlignment="1">
      <alignment horizontal="center" vertical="center"/>
    </xf>
    <xf numFmtId="0" fontId="30" fillId="0" borderId="0" xfId="0" applyFont="1" applyBorder="1" applyAlignment="1">
      <alignment horizontal="center" vertical="center"/>
    </xf>
    <xf numFmtId="0" fontId="30" fillId="0" borderId="0" xfId="0" applyFont="1" applyBorder="1" applyAlignment="1">
      <alignment horizontal="right" vertical="center" wrapText="1"/>
    </xf>
    <xf numFmtId="0" fontId="22" fillId="0" borderId="0" xfId="0" applyFont="1" applyAlignment="1">
      <alignment horizontal="center" vertical="center" wrapText="1"/>
    </xf>
    <xf numFmtId="0" fontId="30" fillId="0" borderId="0" xfId="0" applyFont="1" applyBorder="1" applyAlignment="1">
      <alignment horizontal="center" vertical="center" wrapText="1"/>
    </xf>
    <xf numFmtId="0" fontId="26"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right" vertical="center"/>
    </xf>
    <xf numFmtId="0" fontId="17" fillId="0" borderId="0" xfId="0" applyFont="1" applyBorder="1" applyAlignment="1">
      <alignment horizontal="right" wrapText="1"/>
    </xf>
    <xf numFmtId="0" fontId="65" fillId="0" borderId="0" xfId="0" applyFont="1" applyAlignment="1">
      <alignment horizontal="center" vertical="top" wrapText="1"/>
    </xf>
    <xf numFmtId="0" fontId="12" fillId="0" borderId="0" xfId="0" applyFont="1" applyAlignment="1">
      <alignment horizontal="center" vertical="top" wrapText="1"/>
    </xf>
    <xf numFmtId="0" fontId="65" fillId="0" borderId="0" xfId="0" applyFont="1" applyAlignment="1">
      <alignment horizontal="left"/>
    </xf>
    <xf numFmtId="0" fontId="66" fillId="0" borderId="0" xfId="0" applyFont="1" applyAlignment="1">
      <alignment horizontal="center"/>
    </xf>
    <xf numFmtId="0" fontId="66" fillId="0" borderId="0" xfId="0" applyFont="1" applyAlignment="1">
      <alignment horizontal="left"/>
    </xf>
    <xf numFmtId="0" fontId="71"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center" vertical="center" wrapText="1"/>
    </xf>
    <xf numFmtId="0" fontId="74" fillId="0" borderId="0" xfId="0" applyFont="1" applyAlignment="1">
      <alignment horizontal="center" vertical="center" wrapText="1"/>
    </xf>
    <xf numFmtId="0" fontId="10" fillId="0" borderId="104" xfId="0" applyFont="1" applyBorder="1" applyAlignment="1">
      <alignment horizontal="center" vertical="center" wrapText="1"/>
    </xf>
    <xf numFmtId="0" fontId="10" fillId="0" borderId="106" xfId="0" applyFont="1" applyBorder="1" applyAlignment="1">
      <alignment wrapText="1"/>
    </xf>
    <xf numFmtId="0" fontId="10" fillId="0" borderId="64" xfId="0" applyFont="1" applyBorder="1" applyAlignment="1">
      <alignment wrapText="1"/>
    </xf>
    <xf numFmtId="0" fontId="10" fillId="0" borderId="9" xfId="0" applyFont="1" applyBorder="1" applyAlignment="1">
      <alignment horizontal="center" vertical="center" wrapText="1"/>
    </xf>
    <xf numFmtId="0" fontId="10" fillId="0" borderId="103" xfId="0" applyFont="1" applyBorder="1" applyAlignment="1">
      <alignment horizontal="center" vertical="center" wrapText="1"/>
    </xf>
    <xf numFmtId="164" fontId="71" fillId="0" borderId="0" xfId="1" applyNumberFormat="1" applyFont="1" applyAlignment="1">
      <alignment horizontal="center" vertical="center"/>
    </xf>
    <xf numFmtId="164" fontId="17" fillId="0" borderId="0" xfId="1" applyNumberFormat="1" applyFont="1" applyAlignment="1">
      <alignment horizontal="center" vertical="center"/>
    </xf>
    <xf numFmtId="0" fontId="24" fillId="0" borderId="104" xfId="0" applyFont="1" applyBorder="1" applyAlignment="1">
      <alignment horizontal="left"/>
    </xf>
    <xf numFmtId="0" fontId="14" fillId="0" borderId="104" xfId="0" applyFont="1" applyBorder="1" applyAlignment="1">
      <alignment horizontal="left" vertical="center"/>
    </xf>
    <xf numFmtId="0" fontId="17" fillId="0" borderId="0" xfId="0" applyFont="1" applyAlignment="1">
      <alignment horizontal="center"/>
    </xf>
    <xf numFmtId="0" fontId="11" fillId="0" borderId="0" xfId="0" applyFont="1" applyAlignment="1">
      <alignment horizontal="center"/>
    </xf>
    <xf numFmtId="0" fontId="85" fillId="0" borderId="0" xfId="0" applyFont="1" applyAlignment="1">
      <alignment horizontal="center" vertical="top" wrapText="1"/>
    </xf>
    <xf numFmtId="49" fontId="68" fillId="0" borderId="109" xfId="0" applyNumberFormat="1" applyFont="1" applyBorder="1" applyAlignment="1">
      <alignment horizontal="left" vertical="center" wrapText="1"/>
    </xf>
    <xf numFmtId="49" fontId="68" fillId="0" borderId="111" xfId="0" applyNumberFormat="1" applyFont="1" applyBorder="1" applyAlignment="1">
      <alignment horizontal="left" vertical="center" wrapText="1"/>
    </xf>
    <xf numFmtId="0" fontId="73" fillId="0" borderId="0" xfId="0" applyFont="1" applyAlignment="1">
      <alignment horizontal="center"/>
    </xf>
    <xf numFmtId="0" fontId="13" fillId="0" borderId="0" xfId="0" applyFont="1" applyAlignment="1">
      <alignment horizontal="center" wrapText="1"/>
    </xf>
    <xf numFmtId="0" fontId="65" fillId="0" borderId="114" xfId="0" applyFont="1" applyBorder="1" applyAlignment="1">
      <alignment horizontal="center" vertical="center" wrapText="1"/>
    </xf>
    <xf numFmtId="0" fontId="100" fillId="0" borderId="0" xfId="0" applyFont="1" applyAlignment="1">
      <alignment horizontal="center" wrapText="1"/>
    </xf>
    <xf numFmtId="0" fontId="101" fillId="0" borderId="0" xfId="0" applyFont="1" applyAlignment="1">
      <alignment horizontal="center"/>
    </xf>
    <xf numFmtId="0" fontId="0" fillId="0" borderId="0" xfId="0" applyAlignment="1">
      <alignment horizontal="center"/>
    </xf>
    <xf numFmtId="0" fontId="39" fillId="0" borderId="0" xfId="0" applyFont="1" applyAlignment="1">
      <alignment horizontal="center"/>
    </xf>
    <xf numFmtId="0" fontId="30" fillId="0" borderId="0" xfId="0" applyFont="1" applyAlignment="1">
      <alignment horizontal="center" vertical="center"/>
    </xf>
    <xf numFmtId="0" fontId="24" fillId="0" borderId="140" xfId="0" applyFont="1" applyBorder="1" applyAlignment="1">
      <alignment horizontal="center" vertical="center"/>
    </xf>
    <xf numFmtId="0" fontId="24" fillId="0" borderId="140" xfId="0" applyFont="1" applyBorder="1" applyAlignment="1">
      <alignment horizontal="center" vertical="center" wrapText="1"/>
    </xf>
    <xf numFmtId="0" fontId="2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vertical="center" wrapText="1"/>
    </xf>
    <xf numFmtId="0" fontId="25" fillId="0" borderId="79" xfId="0" applyFont="1" applyBorder="1" applyAlignment="1">
      <alignment horizontal="center" vertical="center" wrapText="1"/>
    </xf>
    <xf numFmtId="0" fontId="25" fillId="0" borderId="79" xfId="0" applyFont="1" applyBorder="1" applyAlignment="1">
      <alignment vertical="center"/>
    </xf>
    <xf numFmtId="164" fontId="9" fillId="0" borderId="0" xfId="1" applyNumberFormat="1" applyFont="1" applyAlignment="1">
      <alignment vertical="top"/>
    </xf>
    <xf numFmtId="0" fontId="25" fillId="0" borderId="144" xfId="0" applyFont="1" applyBorder="1" applyAlignment="1">
      <alignment horizontal="center" vertical="center" wrapText="1"/>
    </xf>
    <xf numFmtId="164" fontId="25" fillId="0" borderId="79" xfId="1" applyNumberFormat="1" applyFont="1" applyBorder="1" applyAlignment="1">
      <alignment horizontal="center" vertical="center"/>
    </xf>
    <xf numFmtId="164" fontId="25" fillId="0" borderId="5" xfId="1" applyNumberFormat="1" applyFont="1" applyBorder="1" applyAlignment="1">
      <alignment horizontal="center" vertical="center"/>
    </xf>
    <xf numFmtId="164" fontId="24" fillId="0" borderId="7" xfId="0" applyNumberFormat="1" applyFont="1" applyBorder="1" applyAlignment="1">
      <alignment vertical="center"/>
    </xf>
    <xf numFmtId="0" fontId="30" fillId="0" borderId="0" xfId="0" applyFont="1" applyAlignment="1">
      <alignment horizontal="right" vertical="center" wrapText="1"/>
    </xf>
    <xf numFmtId="0" fontId="24" fillId="0" borderId="0" xfId="0" applyFont="1" applyAlignment="1">
      <alignment horizontal="left" vertical="center" wrapText="1"/>
    </xf>
    <xf numFmtId="0" fontId="24" fillId="0" borderId="0" xfId="0" applyFont="1" applyBorder="1" applyAlignment="1">
      <alignment horizontal="center" vertical="center" wrapText="1"/>
    </xf>
    <xf numFmtId="0" fontId="25" fillId="0" borderId="0" xfId="4" applyFont="1" applyAlignment="1">
      <alignment horizontal="center"/>
    </xf>
    <xf numFmtId="3" fontId="25" fillId="0" borderId="0" xfId="4" applyNumberFormat="1" applyFont="1"/>
    <xf numFmtId="0" fontId="25" fillId="0" borderId="0" xfId="4" applyFont="1"/>
    <xf numFmtId="0" fontId="24" fillId="0" borderId="0" xfId="4" applyFont="1" applyAlignment="1">
      <alignment horizontal="center"/>
    </xf>
    <xf numFmtId="0" fontId="24" fillId="0" borderId="0" xfId="4" applyFont="1" applyAlignment="1">
      <alignment horizontal="right"/>
    </xf>
    <xf numFmtId="0" fontId="24" fillId="0" borderId="114" xfId="4" applyFont="1" applyBorder="1" applyAlignment="1">
      <alignment horizontal="center" vertical="center" wrapText="1"/>
    </xf>
    <xf numFmtId="0" fontId="24" fillId="0" borderId="140" xfId="4" applyFont="1" applyBorder="1" applyAlignment="1">
      <alignment horizontal="center" vertical="center" wrapText="1"/>
    </xf>
    <xf numFmtId="3" fontId="24" fillId="0" borderId="140" xfId="4" applyNumberFormat="1" applyFont="1" applyBorder="1" applyAlignment="1">
      <alignment horizontal="center" vertical="center" wrapText="1"/>
    </xf>
    <xf numFmtId="0" fontId="24" fillId="0" borderId="0" xfId="4" applyFont="1"/>
    <xf numFmtId="0" fontId="19" fillId="0" borderId="140" xfId="4" applyBorder="1" applyAlignment="1">
      <alignment horizontal="center"/>
    </xf>
    <xf numFmtId="3" fontId="25" fillId="0" borderId="140" xfId="4" applyNumberFormat="1" applyFont="1" applyBorder="1"/>
    <xf numFmtId="3" fontId="21" fillId="0" borderId="140" xfId="4" applyNumberFormat="1" applyFont="1" applyBorder="1"/>
    <xf numFmtId="0" fontId="19" fillId="0" borderId="0" xfId="4"/>
    <xf numFmtId="0" fontId="20" fillId="0" borderId="145" xfId="4" applyFont="1" applyBorder="1" applyAlignment="1">
      <alignment horizontal="center"/>
    </xf>
    <xf numFmtId="0" fontId="20" fillId="0" borderId="146" xfId="4" applyFont="1" applyBorder="1" applyAlignment="1">
      <alignment horizontal="center"/>
    </xf>
    <xf numFmtId="3" fontId="24" fillId="0" borderId="140" xfId="4" applyNumberFormat="1" applyFont="1" applyBorder="1"/>
    <xf numFmtId="0" fontId="20" fillId="0" borderId="0" xfId="4" applyFont="1"/>
    <xf numFmtId="0" fontId="19" fillId="0" borderId="0" xfId="4" applyAlignment="1">
      <alignment horizontal="center"/>
    </xf>
    <xf numFmtId="3" fontId="19" fillId="0" borderId="0" xfId="4" applyNumberFormat="1"/>
    <xf numFmtId="0" fontId="19" fillId="5" borderId="140" xfId="4" applyFill="1" applyBorder="1" applyAlignment="1">
      <alignment horizontal="center"/>
    </xf>
    <xf numFmtId="3" fontId="25" fillId="5" borderId="140" xfId="4" applyNumberFormat="1" applyFont="1" applyFill="1" applyBorder="1"/>
    <xf numFmtId="0" fontId="25" fillId="0" borderId="147" xfId="0" applyFont="1" applyBorder="1" applyAlignment="1">
      <alignment vertical="center" wrapText="1"/>
    </xf>
    <xf numFmtId="0" fontId="6" fillId="0" borderId="74" xfId="0" applyFont="1" applyBorder="1" applyAlignment="1">
      <alignment vertical="center" wrapText="1"/>
    </xf>
    <xf numFmtId="0" fontId="9" fillId="0" borderId="148" xfId="5" applyFont="1" applyBorder="1" applyAlignment="1">
      <alignment horizontal="center" vertical="center" wrapText="1"/>
    </xf>
    <xf numFmtId="0" fontId="9" fillId="0" borderId="149" xfId="5" applyFont="1" applyBorder="1" applyAlignment="1">
      <alignment vertical="center" wrapText="1"/>
    </xf>
    <xf numFmtId="0" fontId="9" fillId="0" borderId="150" xfId="5" applyFont="1" applyBorder="1" applyAlignment="1">
      <alignment horizontal="left" vertical="center" wrapText="1"/>
    </xf>
    <xf numFmtId="0" fontId="9" fillId="0" borderId="151" xfId="5" applyFont="1" applyBorder="1" applyAlignment="1">
      <alignment horizontal="center" vertical="center" wrapText="1"/>
    </xf>
    <xf numFmtId="0" fontId="9" fillId="0" borderId="151" xfId="5" applyFont="1" applyBorder="1" applyAlignment="1">
      <alignment vertical="center" wrapText="1"/>
    </xf>
    <xf numFmtId="0" fontId="9" fillId="0" borderId="0" xfId="5" applyFont="1" applyBorder="1" applyAlignment="1">
      <alignment vertical="center" wrapText="1"/>
    </xf>
    <xf numFmtId="0" fontId="9" fillId="0" borderId="152" xfId="5" quotePrefix="1" applyFont="1" applyBorder="1" applyAlignment="1">
      <alignment horizontal="center" vertical="center" wrapText="1"/>
    </xf>
    <xf numFmtId="164" fontId="6" fillId="0" borderId="74" xfId="0" applyNumberFormat="1" applyFont="1" applyBorder="1" applyAlignment="1">
      <alignment horizontal="center" vertical="center" wrapText="1"/>
    </xf>
    <xf numFmtId="0" fontId="39" fillId="0" borderId="0" xfId="0" applyFont="1" applyAlignment="1">
      <alignment vertical="center"/>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207963</xdr:colOff>
      <xdr:row>3</xdr:row>
      <xdr:rowOff>0</xdr:rowOff>
    </xdr:from>
    <xdr:to>
      <xdr:col>1</xdr:col>
      <xdr:colOff>1124986</xdr:colOff>
      <xdr:row>3</xdr:row>
      <xdr:rowOff>0</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677863" y="635000"/>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317500" y="355600"/>
          <a:ext cx="138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595810</xdr:colOff>
      <xdr:row>2</xdr:row>
      <xdr:rowOff>9597</xdr:rowOff>
    </xdr:from>
    <xdr:to>
      <xdr:col>1</xdr:col>
      <xdr:colOff>1610087</xdr:colOff>
      <xdr:row>2</xdr:row>
      <xdr:rowOff>11185</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091110" y="415997"/>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330200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30200" y="355600"/>
          <a:ext cx="137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zoomScale="120" zoomScaleNormal="120" workbookViewId="0">
      <selection activeCell="D16" sqref="D16:F16"/>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757</v>
      </c>
      <c r="B3" s="1561"/>
      <c r="C3" s="1561"/>
      <c r="D3" s="1561"/>
      <c r="E3" s="1561"/>
      <c r="F3" s="1561"/>
      <c r="G3" s="1561"/>
      <c r="H3" s="1561"/>
      <c r="I3" s="694"/>
      <c r="J3" s="6"/>
      <c r="K3" s="6"/>
      <c r="L3" s="6"/>
      <c r="M3" s="6"/>
    </row>
    <row r="4" spans="1:13">
      <c r="A4" s="1561" t="s">
        <v>887</v>
      </c>
      <c r="B4" s="1561"/>
      <c r="C4" s="1561"/>
      <c r="D4" s="1561"/>
      <c r="E4" s="1561"/>
      <c r="F4" s="1561"/>
      <c r="G4" s="1561"/>
      <c r="H4" s="1561"/>
      <c r="I4" s="690"/>
      <c r="J4" s="6"/>
      <c r="K4" s="6"/>
      <c r="L4" s="6"/>
      <c r="M4" s="6"/>
    </row>
    <row r="5" spans="1:13" ht="14" thickBot="1">
      <c r="A5" s="56"/>
      <c r="B5" s="56"/>
      <c r="C5" s="56"/>
      <c r="D5" s="56"/>
      <c r="E5" s="56"/>
      <c r="F5" s="1556" t="s">
        <v>758</v>
      </c>
      <c r="G5" s="1556"/>
      <c r="H5" s="1556"/>
      <c r="J5" s="6"/>
      <c r="K5" s="6"/>
      <c r="L5" s="6"/>
      <c r="M5" s="6"/>
    </row>
    <row r="6" spans="1:13" ht="37.5" customHeight="1" thickTop="1">
      <c r="A6" s="57" t="s">
        <v>0</v>
      </c>
      <c r="B6" s="693" t="s">
        <v>41</v>
      </c>
      <c r="C6" s="693" t="s">
        <v>1</v>
      </c>
      <c r="D6" s="165" t="s">
        <v>246</v>
      </c>
      <c r="E6" s="165" t="s">
        <v>247</v>
      </c>
      <c r="F6" s="165" t="s">
        <v>248</v>
      </c>
      <c r="G6" s="693" t="s">
        <v>68</v>
      </c>
      <c r="H6" s="59" t="s">
        <v>2</v>
      </c>
      <c r="I6" s="11"/>
      <c r="J6" s="6"/>
      <c r="K6" s="6"/>
      <c r="L6" s="6"/>
      <c r="M6" s="6"/>
    </row>
    <row r="7" spans="1:13" s="1" customFormat="1" ht="28" customHeight="1">
      <c r="A7" s="60" t="s">
        <v>115</v>
      </c>
      <c r="B7" s="55" t="s">
        <v>116</v>
      </c>
      <c r="C7" s="55" t="s">
        <v>117</v>
      </c>
      <c r="D7" s="55" t="s">
        <v>118</v>
      </c>
      <c r="E7" s="55" t="s">
        <v>119</v>
      </c>
      <c r="F7" s="55" t="s">
        <v>120</v>
      </c>
      <c r="G7" s="55" t="s">
        <v>121</v>
      </c>
      <c r="H7" s="61" t="s">
        <v>122</v>
      </c>
      <c r="I7" s="692"/>
      <c r="J7" s="5"/>
      <c r="K7" s="5"/>
      <c r="L7" s="5"/>
      <c r="M7" s="5"/>
    </row>
    <row r="8" spans="1:13" s="1" customFormat="1" ht="28" customHeight="1">
      <c r="A8" s="802" t="s">
        <v>6</v>
      </c>
      <c r="B8" s="803" t="s">
        <v>213</v>
      </c>
      <c r="C8" s="804"/>
      <c r="D8" s="805">
        <f>D9+D17</f>
        <v>778</v>
      </c>
      <c r="E8" s="805">
        <f>E9+E17</f>
        <v>829</v>
      </c>
      <c r="F8" s="805">
        <f>F9+F17</f>
        <v>141</v>
      </c>
      <c r="G8" s="804">
        <f>G9+G15</f>
        <v>1698</v>
      </c>
      <c r="H8" s="804"/>
      <c r="I8" s="692"/>
      <c r="J8" s="5"/>
      <c r="K8" s="5"/>
      <c r="L8" s="5"/>
      <c r="M8" s="5"/>
    </row>
    <row r="9" spans="1:13" s="3" customFormat="1" ht="28" customHeight="1">
      <c r="A9" s="806" t="s">
        <v>7</v>
      </c>
      <c r="B9" s="807" t="s">
        <v>4</v>
      </c>
      <c r="C9" s="807"/>
      <c r="D9" s="780">
        <f>SUM(D10:D14)</f>
        <v>598</v>
      </c>
      <c r="E9" s="780">
        <f>SUM(E10:E14)</f>
        <v>629</v>
      </c>
      <c r="F9" s="780">
        <f>SUM(F10:F14)</f>
        <v>91</v>
      </c>
      <c r="G9" s="780">
        <f>SUM(G10:G14)</f>
        <v>1318</v>
      </c>
      <c r="H9" s="808"/>
      <c r="I9" s="12"/>
      <c r="J9" s="8"/>
      <c r="K9" s="8"/>
      <c r="L9" s="8"/>
      <c r="M9" s="8"/>
    </row>
    <row r="10" spans="1:13" s="39" customFormat="1" ht="28" customHeight="1">
      <c r="A10" s="809"/>
      <c r="B10" s="810" t="s">
        <v>888</v>
      </c>
      <c r="C10" s="811" t="s">
        <v>67</v>
      </c>
      <c r="D10" s="546">
        <v>77</v>
      </c>
      <c r="E10" s="546">
        <v>82</v>
      </c>
      <c r="F10" s="546">
        <v>17</v>
      </c>
      <c r="G10" s="811">
        <v>176</v>
      </c>
      <c r="H10" s="812"/>
      <c r="I10" s="13"/>
      <c r="J10" s="9"/>
      <c r="K10" s="9"/>
      <c r="L10" s="9"/>
      <c r="M10" s="9"/>
    </row>
    <row r="11" spans="1:13" s="39" customFormat="1" ht="28" customHeight="1">
      <c r="A11" s="809"/>
      <c r="B11" s="810" t="s">
        <v>760</v>
      </c>
      <c r="C11" s="811" t="s">
        <v>67</v>
      </c>
      <c r="D11" s="779">
        <v>0</v>
      </c>
      <c r="E11" s="779">
        <v>0</v>
      </c>
      <c r="F11" s="779">
        <v>0</v>
      </c>
      <c r="G11" s="811">
        <f>SUM(D11:F11)</f>
        <v>0</v>
      </c>
      <c r="H11" s="812"/>
      <c r="I11" s="13"/>
      <c r="J11" s="9"/>
      <c r="K11" s="9"/>
      <c r="L11" s="9"/>
      <c r="M11" s="9"/>
    </row>
    <row r="12" spans="1:13" s="39" customFormat="1" ht="28" customHeight="1">
      <c r="A12" s="809"/>
      <c r="B12" s="810" t="s">
        <v>575</v>
      </c>
      <c r="C12" s="811" t="s">
        <v>67</v>
      </c>
      <c r="D12" s="779">
        <v>168</v>
      </c>
      <c r="E12" s="779">
        <v>122</v>
      </c>
      <c r="F12" s="779">
        <v>30</v>
      </c>
      <c r="G12" s="811">
        <v>320</v>
      </c>
      <c r="H12" s="812"/>
      <c r="I12" s="13"/>
      <c r="J12" s="9"/>
      <c r="K12" s="9"/>
      <c r="L12" s="9"/>
      <c r="M12" s="9"/>
    </row>
    <row r="13" spans="1:13" s="39" customFormat="1" ht="28" customHeight="1">
      <c r="A13" s="809"/>
      <c r="B13" s="810" t="s">
        <v>759</v>
      </c>
      <c r="C13" s="811" t="s">
        <v>67</v>
      </c>
      <c r="D13" s="811">
        <v>192</v>
      </c>
      <c r="E13" s="811">
        <v>175</v>
      </c>
      <c r="F13" s="352">
        <v>19</v>
      </c>
      <c r="G13" s="811">
        <f>SUM(D13:F13)</f>
        <v>386</v>
      </c>
      <c r="H13" s="812"/>
      <c r="I13" s="13"/>
      <c r="J13" s="9"/>
      <c r="K13" s="9"/>
      <c r="L13" s="9"/>
      <c r="M13" s="9"/>
    </row>
    <row r="14" spans="1:13" s="39" customFormat="1" ht="28" customHeight="1">
      <c r="A14" s="809"/>
      <c r="B14" s="810" t="s">
        <v>889</v>
      </c>
      <c r="C14" s="811" t="s">
        <v>67</v>
      </c>
      <c r="D14" s="561">
        <v>161</v>
      </c>
      <c r="E14" s="561">
        <v>250</v>
      </c>
      <c r="F14" s="561">
        <v>25</v>
      </c>
      <c r="G14" s="811">
        <f>SUM(D14:F14)</f>
        <v>436</v>
      </c>
      <c r="H14" s="812"/>
      <c r="I14" s="13"/>
      <c r="J14" s="9"/>
      <c r="K14" s="9"/>
      <c r="L14" s="9"/>
      <c r="M14" s="9"/>
    </row>
    <row r="15" spans="1:13" s="39" customFormat="1" ht="28" customHeight="1">
      <c r="A15" s="80" t="s">
        <v>8</v>
      </c>
      <c r="B15" s="697" t="s">
        <v>217</v>
      </c>
      <c r="C15" s="76" t="s">
        <v>65</v>
      </c>
      <c r="D15" s="703">
        <v>43</v>
      </c>
      <c r="E15" s="703">
        <f>E16+E20</f>
        <v>35</v>
      </c>
      <c r="F15" s="703">
        <v>302</v>
      </c>
      <c r="G15" s="105">
        <f>SUM(D15:F15)</f>
        <v>380</v>
      </c>
      <c r="H15" s="812"/>
      <c r="I15" s="13"/>
      <c r="J15" s="9"/>
      <c r="K15" s="9"/>
      <c r="L15" s="9"/>
      <c r="M15" s="9"/>
    </row>
    <row r="16" spans="1:13" s="39" customFormat="1" ht="28" customHeight="1">
      <c r="A16" s="809"/>
      <c r="B16" s="894" t="s">
        <v>891</v>
      </c>
      <c r="D16" s="896">
        <v>43</v>
      </c>
      <c r="E16" s="561">
        <v>35</v>
      </c>
      <c r="F16" s="896">
        <v>302</v>
      </c>
      <c r="G16" s="895">
        <v>402</v>
      </c>
      <c r="H16" s="812"/>
      <c r="I16" s="13"/>
      <c r="J16" s="9"/>
      <c r="K16" s="9"/>
      <c r="L16" s="9"/>
      <c r="M16" s="9"/>
    </row>
    <row r="17" spans="1:13" s="4" customFormat="1" ht="46.5" customHeight="1">
      <c r="A17" s="809"/>
      <c r="B17" s="814" t="s">
        <v>890</v>
      </c>
      <c r="C17" s="811"/>
      <c r="D17" s="813">
        <f>Bieu1!D15</f>
        <v>180</v>
      </c>
      <c r="E17" s="813">
        <f>Bieu1!E15</f>
        <v>200</v>
      </c>
      <c r="F17" s="813">
        <f>Bieu1!F15</f>
        <v>50</v>
      </c>
      <c r="G17" s="815">
        <f>SUM(D17:F17)</f>
        <v>430</v>
      </c>
      <c r="H17" s="812"/>
      <c r="I17" s="13"/>
      <c r="J17" s="9"/>
      <c r="K17" s="9"/>
      <c r="L17" s="9"/>
      <c r="M17" s="9"/>
    </row>
    <row r="18" spans="1:13">
      <c r="A18" s="692"/>
      <c r="B18" s="10"/>
      <c r="C18" s="10"/>
      <c r="D18" s="10"/>
      <c r="E18" s="1557" t="s">
        <v>867</v>
      </c>
      <c r="F18" s="1557"/>
      <c r="G18" s="1557"/>
      <c r="H18" s="1557"/>
      <c r="I18" s="11"/>
      <c r="J18" s="6"/>
      <c r="K18" s="6"/>
      <c r="L18" s="6"/>
      <c r="M18" s="6"/>
    </row>
    <row r="19" spans="1:13" ht="12.75" customHeight="1">
      <c r="A19" s="211"/>
      <c r="B19" s="212"/>
      <c r="C19" s="211"/>
      <c r="D19" s="211"/>
      <c r="E19" s="1558" t="s">
        <v>548</v>
      </c>
      <c r="F19" s="1558"/>
      <c r="G19" s="1558"/>
      <c r="H19" s="1558"/>
      <c r="J19" s="6"/>
      <c r="K19" s="6"/>
      <c r="L19" s="6"/>
      <c r="M19" s="6"/>
    </row>
    <row r="20" spans="1:13" ht="20.25" customHeight="1">
      <c r="A20" s="211"/>
      <c r="B20" s="211"/>
      <c r="C20" s="211"/>
      <c r="D20" s="211"/>
      <c r="E20" s="63"/>
      <c r="F20" s="63"/>
      <c r="G20" s="63"/>
      <c r="H20" s="691"/>
      <c r="J20" s="6"/>
      <c r="K20" s="6"/>
      <c r="L20" s="6"/>
      <c r="M20" s="6"/>
    </row>
    <row r="21" spans="1:13" ht="12.75" customHeight="1">
      <c r="A21" s="211"/>
      <c r="B21" s="211"/>
      <c r="C21" s="211"/>
      <c r="D21" s="211"/>
      <c r="E21" s="63"/>
      <c r="F21" s="63"/>
      <c r="G21" s="63"/>
      <c r="H21" s="691"/>
      <c r="J21" s="6"/>
      <c r="K21" s="6"/>
      <c r="L21" s="6"/>
      <c r="M21" s="6"/>
    </row>
    <row r="22" spans="1:13" ht="12.75" customHeight="1">
      <c r="A22" s="211"/>
      <c r="B22" s="211"/>
      <c r="C22" s="211"/>
      <c r="D22" s="211"/>
      <c r="E22" s="1559" t="s">
        <v>766</v>
      </c>
      <c r="F22" s="1559"/>
      <c r="G22" s="1559"/>
      <c r="H22" s="1559"/>
      <c r="J22" s="6"/>
      <c r="K22" s="6"/>
      <c r="L22" s="6"/>
      <c r="M22" s="6"/>
    </row>
    <row r="23" spans="1:13" ht="12.75" customHeight="1">
      <c r="A23" s="211"/>
      <c r="B23" s="211"/>
      <c r="C23" s="211"/>
      <c r="D23" s="211"/>
      <c r="E23" s="211"/>
      <c r="F23" s="211"/>
      <c r="G23" s="211"/>
      <c r="H23" s="211"/>
      <c r="I23" s="11"/>
      <c r="J23" s="6"/>
      <c r="K23" s="6"/>
      <c r="L23" s="6"/>
      <c r="M23" s="6"/>
    </row>
    <row r="24" spans="1:13" ht="12.75" customHeight="1">
      <c r="A24" s="211"/>
      <c r="B24" s="211"/>
      <c r="C24" s="211"/>
      <c r="D24" s="211"/>
      <c r="E24" s="211"/>
      <c r="F24" s="211"/>
      <c r="G24" s="211"/>
      <c r="H24" s="211"/>
      <c r="I24" s="11"/>
      <c r="J24" s="6"/>
      <c r="K24" s="6"/>
      <c r="L24" s="6"/>
      <c r="M24" s="6"/>
    </row>
    <row r="25" spans="1:13" ht="49.5" customHeight="1">
      <c r="A25" s="211"/>
      <c r="B25" s="211"/>
      <c r="C25" s="211"/>
      <c r="D25" s="211"/>
      <c r="E25" s="211"/>
      <c r="F25" s="211"/>
      <c r="G25" s="211"/>
      <c r="H25" s="211"/>
      <c r="I25" s="11"/>
      <c r="J25" s="6"/>
      <c r="K25" s="6"/>
      <c r="L25" s="6"/>
      <c r="M25" s="6"/>
    </row>
    <row r="26" spans="1:13" ht="34.5" customHeight="1">
      <c r="A26" s="1560"/>
      <c r="B26" s="1560"/>
      <c r="C26" s="1560"/>
      <c r="D26" s="1560"/>
      <c r="E26" s="1560"/>
      <c r="F26" s="1560"/>
      <c r="G26" s="1560"/>
      <c r="H26" s="1560"/>
      <c r="I26" s="11"/>
      <c r="J26" s="6"/>
      <c r="K26" s="6"/>
      <c r="L26" s="6"/>
      <c r="M26" s="6"/>
    </row>
    <row r="27" spans="1:13" ht="33.75" customHeight="1">
      <c r="A27" s="1560"/>
      <c r="B27" s="1560"/>
      <c r="C27" s="1560"/>
      <c r="D27" s="1560"/>
      <c r="E27" s="1560"/>
      <c r="F27" s="1560"/>
      <c r="G27" s="1560"/>
      <c r="H27" s="1560"/>
      <c r="I27" s="11"/>
      <c r="J27" s="6"/>
      <c r="K27" s="6"/>
      <c r="L27" s="6"/>
      <c r="M27" s="6"/>
    </row>
    <row r="28" spans="1:13">
      <c r="A28" s="156"/>
      <c r="B28" s="157"/>
      <c r="C28" s="157"/>
      <c r="D28" s="157"/>
      <c r="E28" s="157"/>
      <c r="F28" s="157"/>
      <c r="G28" s="158"/>
      <c r="H28" s="158"/>
      <c r="I28" s="11"/>
      <c r="J28" s="6"/>
      <c r="K28" s="6"/>
      <c r="L28" s="6"/>
      <c r="M28" s="6"/>
    </row>
    <row r="29" spans="1:13">
      <c r="A29" s="692"/>
      <c r="B29" s="10"/>
      <c r="C29" s="10"/>
      <c r="D29" s="10"/>
      <c r="E29" s="10"/>
      <c r="F29" s="10"/>
      <c r="G29" s="11"/>
      <c r="H29" s="11"/>
      <c r="I29" s="11"/>
      <c r="J29" s="6"/>
      <c r="K29" s="6"/>
      <c r="L29" s="6"/>
      <c r="M29" s="6"/>
    </row>
    <row r="30" spans="1:13">
      <c r="A30" s="692"/>
      <c r="B30" s="10"/>
      <c r="C30" s="10"/>
      <c r="D30" s="10"/>
      <c r="E30" s="10"/>
      <c r="F30" s="10"/>
      <c r="G30" s="11"/>
      <c r="H30" s="11"/>
      <c r="I30" s="11"/>
      <c r="J30" s="6"/>
      <c r="K30" s="6"/>
      <c r="L30" s="6"/>
      <c r="M30" s="6"/>
    </row>
    <row r="31" spans="1:13">
      <c r="A31" s="692"/>
      <c r="B31" s="10"/>
      <c r="C31" s="10"/>
      <c r="D31" s="10"/>
      <c r="E31" s="10"/>
      <c r="F31" s="10"/>
      <c r="G31" s="11"/>
      <c r="H31" s="11"/>
      <c r="I31" s="11"/>
      <c r="J31" s="6"/>
      <c r="K31" s="6"/>
      <c r="L31" s="6"/>
      <c r="M31" s="6"/>
    </row>
    <row r="32" spans="1:13">
      <c r="A32" s="692"/>
      <c r="B32" s="10"/>
      <c r="C32" s="10"/>
      <c r="D32" s="10"/>
      <c r="E32" s="10"/>
      <c r="F32" s="10"/>
      <c r="G32" s="11"/>
      <c r="H32" s="11"/>
      <c r="I32" s="11"/>
      <c r="J32" s="6"/>
      <c r="K32" s="6"/>
      <c r="L32" s="6"/>
      <c r="M32" s="6"/>
    </row>
    <row r="33" spans="1:13">
      <c r="A33" s="692"/>
      <c r="B33" s="10"/>
      <c r="C33" s="10"/>
      <c r="D33" s="10"/>
      <c r="E33" s="10"/>
      <c r="F33" s="10"/>
      <c r="G33" s="11"/>
      <c r="H33" s="11"/>
      <c r="I33" s="11"/>
      <c r="J33" s="6"/>
      <c r="K33" s="6"/>
      <c r="L33" s="6"/>
      <c r="M33" s="6"/>
    </row>
    <row r="34" spans="1:13">
      <c r="A34" s="692"/>
      <c r="B34" s="10"/>
      <c r="C34" s="10"/>
      <c r="D34" s="10"/>
      <c r="E34" s="10"/>
      <c r="F34" s="10"/>
      <c r="G34" s="11"/>
      <c r="H34" s="11"/>
      <c r="I34" s="11"/>
      <c r="J34" s="6"/>
      <c r="K34" s="6"/>
      <c r="L34" s="6"/>
      <c r="M34" s="6"/>
    </row>
    <row r="35" spans="1:13">
      <c r="A35" s="692"/>
      <c r="B35" s="10"/>
      <c r="C35" s="10"/>
      <c r="D35" s="10"/>
      <c r="E35" s="10"/>
      <c r="F35" s="10"/>
      <c r="G35" s="11"/>
      <c r="H35" s="11"/>
      <c r="I35" s="11"/>
      <c r="J35" s="6"/>
      <c r="K35" s="6"/>
      <c r="L35" s="6"/>
      <c r="M35" s="6"/>
    </row>
    <row r="36" spans="1:13">
      <c r="A36" s="692"/>
      <c r="B36" s="10"/>
      <c r="C36" s="10"/>
      <c r="D36" s="10"/>
      <c r="E36" s="10"/>
      <c r="F36" s="10"/>
      <c r="G36" s="11"/>
      <c r="H36" s="11"/>
      <c r="I36" s="11"/>
      <c r="J36" s="6"/>
      <c r="K36" s="6"/>
      <c r="L36" s="6"/>
      <c r="M36" s="6"/>
    </row>
    <row r="37" spans="1:13">
      <c r="A37" s="692"/>
      <c r="B37" s="10"/>
      <c r="C37" s="10"/>
      <c r="D37" s="10"/>
      <c r="E37" s="10"/>
      <c r="F37" s="10"/>
      <c r="G37" s="11"/>
      <c r="H37" s="11"/>
      <c r="I37" s="11"/>
      <c r="J37" s="6"/>
      <c r="K37" s="6"/>
      <c r="L37" s="6"/>
      <c r="M37" s="6"/>
    </row>
    <row r="38" spans="1:13">
      <c r="A38" s="692"/>
      <c r="B38" s="10"/>
      <c r="C38" s="10"/>
      <c r="D38" s="10"/>
      <c r="E38" s="10"/>
      <c r="F38" s="10"/>
      <c r="G38" s="11"/>
      <c r="H38" s="11"/>
      <c r="I38" s="11"/>
      <c r="J38" s="6"/>
      <c r="K38" s="6"/>
      <c r="L38" s="6"/>
      <c r="M38" s="6"/>
    </row>
    <row r="39" spans="1:13">
      <c r="A39" s="692"/>
      <c r="B39" s="10"/>
      <c r="C39" s="10"/>
      <c r="D39" s="10"/>
      <c r="E39" s="10"/>
      <c r="F39" s="10"/>
      <c r="G39" s="11"/>
      <c r="H39" s="11"/>
      <c r="I39" s="11"/>
      <c r="J39" s="6"/>
      <c r="K39" s="6"/>
      <c r="L39" s="6"/>
      <c r="M39" s="6"/>
    </row>
    <row r="40" spans="1:13">
      <c r="A40" s="692"/>
      <c r="B40" s="10"/>
      <c r="C40" s="10"/>
      <c r="D40" s="10"/>
      <c r="E40" s="10"/>
      <c r="F40" s="10"/>
      <c r="G40" s="11"/>
      <c r="H40" s="11"/>
      <c r="I40" s="11"/>
      <c r="J40" s="6"/>
      <c r="K40" s="6"/>
      <c r="L40" s="6"/>
      <c r="M40" s="6"/>
    </row>
    <row r="41" spans="1:13">
      <c r="A41" s="692"/>
      <c r="B41" s="10"/>
      <c r="C41" s="10"/>
      <c r="D41" s="10"/>
      <c r="E41" s="10"/>
      <c r="F41" s="10"/>
      <c r="G41" s="11"/>
      <c r="H41" s="11"/>
      <c r="I41" s="11"/>
      <c r="J41" s="6"/>
      <c r="K41" s="6"/>
      <c r="L41" s="6"/>
      <c r="M41" s="6"/>
    </row>
    <row r="42" spans="1:13">
      <c r="A42" s="692"/>
      <c r="B42" s="10"/>
      <c r="C42" s="10"/>
      <c r="D42" s="10"/>
      <c r="E42" s="10"/>
      <c r="F42" s="10"/>
      <c r="G42" s="11"/>
      <c r="H42" s="11"/>
      <c r="I42" s="11"/>
      <c r="J42" s="6"/>
      <c r="K42" s="6"/>
      <c r="L42" s="6"/>
      <c r="M42" s="6"/>
    </row>
    <row r="43" spans="1:13">
      <c r="A43" s="692"/>
      <c r="B43" s="10"/>
      <c r="C43" s="10"/>
      <c r="D43" s="10"/>
      <c r="E43" s="10"/>
      <c r="F43" s="10"/>
      <c r="G43" s="11"/>
      <c r="H43" s="11"/>
      <c r="I43" s="11"/>
      <c r="J43" s="6"/>
      <c r="K43" s="6"/>
      <c r="L43" s="6"/>
      <c r="M43" s="6"/>
    </row>
    <row r="44" spans="1:13">
      <c r="A44" s="692"/>
      <c r="B44" s="10"/>
      <c r="C44" s="10"/>
      <c r="D44" s="10"/>
      <c r="E44" s="10"/>
      <c r="F44" s="10"/>
      <c r="G44" s="11"/>
      <c r="H44" s="11"/>
      <c r="I44" s="11"/>
      <c r="J44" s="6"/>
      <c r="K44" s="6"/>
      <c r="L44" s="6"/>
      <c r="M44" s="6"/>
    </row>
    <row r="45" spans="1:13">
      <c r="A45" s="692"/>
      <c r="B45" s="10"/>
      <c r="C45" s="10"/>
      <c r="D45" s="10"/>
      <c r="E45" s="10"/>
      <c r="F45" s="10"/>
      <c r="G45" s="11"/>
      <c r="H45" s="11"/>
      <c r="I45" s="11"/>
      <c r="J45" s="6"/>
      <c r="K45" s="6"/>
      <c r="L45" s="6"/>
      <c r="M45" s="6"/>
    </row>
    <row r="46" spans="1:13">
      <c r="A46" s="692"/>
      <c r="B46" s="10"/>
      <c r="C46" s="10"/>
      <c r="D46" s="10"/>
      <c r="E46" s="10"/>
      <c r="F46" s="10"/>
      <c r="G46" s="11"/>
      <c r="H46" s="11"/>
      <c r="I46" s="11"/>
      <c r="J46" s="6"/>
      <c r="K46" s="6"/>
      <c r="L46" s="6"/>
      <c r="M46" s="6"/>
    </row>
    <row r="47" spans="1:13">
      <c r="A47" s="692"/>
      <c r="B47" s="10"/>
      <c r="C47" s="10"/>
      <c r="D47" s="10"/>
      <c r="E47" s="10"/>
      <c r="F47" s="10"/>
      <c r="G47" s="11"/>
      <c r="H47" s="11"/>
      <c r="I47" s="11"/>
      <c r="J47" s="6"/>
      <c r="K47" s="6"/>
      <c r="L47" s="6"/>
      <c r="M47" s="6"/>
    </row>
    <row r="48" spans="1:13">
      <c r="A48" s="5"/>
      <c r="B48" s="7"/>
      <c r="C48" s="7"/>
      <c r="D48" s="7"/>
      <c r="E48" s="7"/>
      <c r="F48" s="7"/>
      <c r="G48" s="6"/>
      <c r="H48" s="6"/>
      <c r="I48" s="6"/>
      <c r="J48" s="6"/>
      <c r="K48" s="6"/>
      <c r="L48" s="6"/>
      <c r="M48" s="6"/>
    </row>
  </sheetData>
  <mergeCells count="10">
    <mergeCell ref="E22:H22"/>
    <mergeCell ref="A26:H26"/>
    <mergeCell ref="A27:H27"/>
    <mergeCell ref="A3:H3"/>
    <mergeCell ref="A4:H4"/>
    <mergeCell ref="A1:B1"/>
    <mergeCell ref="A2:B2"/>
    <mergeCell ref="F5:H5"/>
    <mergeCell ref="E18:H18"/>
    <mergeCell ref="E19:H19"/>
  </mergeCells>
  <pageMargins left="0.64" right="0.27" top="0.42" bottom="0.53" header="0.42"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0"/>
  <sheetViews>
    <sheetView zoomScale="90" zoomScaleNormal="90" zoomScalePageLayoutView="90" workbookViewId="0">
      <pane xSplit="2" ySplit="7" topLeftCell="C8" activePane="bottomRight" state="frozen"/>
      <selection pane="topRight" activeCell="C1" sqref="C1"/>
      <selection pane="bottomLeft" activeCell="A8" sqref="A8"/>
      <selection pane="bottomRight" activeCell="A4" sqref="A4"/>
    </sheetView>
  </sheetViews>
  <sheetFormatPr baseColWidth="10" defaultColWidth="8.83203125" defaultRowHeight="16"/>
  <cols>
    <col min="1" max="1" width="5.5" style="862" customWidth="1"/>
    <col min="2" max="2" width="35.5" style="863" customWidth="1"/>
    <col min="3" max="3" width="8.6640625" style="863" customWidth="1"/>
    <col min="4" max="4" width="7.1640625" style="817" customWidth="1"/>
    <col min="5" max="5" width="7.5" style="817" customWidth="1"/>
    <col min="6" max="6" width="6.5" style="817" customWidth="1"/>
    <col min="7" max="7" width="6.6640625" style="817" customWidth="1"/>
    <col min="8" max="9" width="5.6640625" style="817" customWidth="1"/>
    <col min="10" max="10" width="6.1640625" style="817" customWidth="1"/>
    <col min="11" max="11" width="8.1640625" style="817" customWidth="1"/>
    <col min="12" max="12" width="7.1640625" style="817" customWidth="1"/>
    <col min="13" max="13" width="5.6640625" style="817" customWidth="1"/>
    <col min="14" max="14" width="6.5" style="817" customWidth="1"/>
    <col min="15" max="15" width="7.1640625" style="817" customWidth="1"/>
    <col min="16" max="16" width="18.6640625" style="817" customWidth="1"/>
    <col min="17" max="16384" width="8.83203125" style="817"/>
  </cols>
  <sheetData>
    <row r="1" spans="1:16" ht="14.25" customHeight="1">
      <c r="A1" s="1618" t="s">
        <v>3</v>
      </c>
      <c r="B1" s="1618"/>
      <c r="C1" s="816"/>
      <c r="D1" s="1619"/>
      <c r="E1" s="1619"/>
      <c r="F1" s="1619"/>
      <c r="G1" s="1619"/>
      <c r="H1" s="1619"/>
      <c r="I1" s="1619"/>
      <c r="J1" s="1619"/>
      <c r="K1" s="1619"/>
      <c r="L1" s="1619"/>
      <c r="M1" s="1619"/>
      <c r="N1" s="1619"/>
      <c r="O1" s="1619"/>
      <c r="P1" s="164" t="s">
        <v>32</v>
      </c>
    </row>
    <row r="2" spans="1:16" ht="16.5" customHeight="1">
      <c r="A2" s="1615" t="s">
        <v>296</v>
      </c>
      <c r="B2" s="1615"/>
      <c r="C2" s="816"/>
      <c r="D2" s="1619"/>
      <c r="E2" s="1619"/>
      <c r="F2" s="1619"/>
      <c r="G2" s="1619"/>
      <c r="H2" s="1619"/>
      <c r="I2" s="1619"/>
      <c r="J2" s="1619"/>
      <c r="K2" s="1619"/>
      <c r="L2" s="1619"/>
      <c r="M2" s="1619"/>
      <c r="N2" s="1619"/>
      <c r="O2" s="1619"/>
      <c r="P2" s="818"/>
    </row>
    <row r="3" spans="1:16" ht="21.75" customHeight="1">
      <c r="A3" s="1620" t="s">
        <v>980</v>
      </c>
      <c r="B3" s="1620"/>
      <c r="C3" s="1620"/>
      <c r="D3" s="1620"/>
      <c r="E3" s="1620"/>
      <c r="F3" s="1620"/>
      <c r="G3" s="1620"/>
      <c r="H3" s="1620"/>
      <c r="I3" s="1620"/>
      <c r="J3" s="1620"/>
      <c r="K3" s="1620"/>
      <c r="L3" s="1620"/>
      <c r="M3" s="1620"/>
      <c r="N3" s="1620"/>
      <c r="O3" s="1620"/>
      <c r="P3" s="1620"/>
    </row>
    <row r="4" spans="1:16">
      <c r="A4" s="819"/>
      <c r="B4" s="819"/>
      <c r="C4" s="819"/>
      <c r="D4" s="819"/>
      <c r="E4" s="819"/>
      <c r="F4" s="819"/>
      <c r="G4" s="1616" t="s">
        <v>75</v>
      </c>
      <c r="H4" s="1616"/>
      <c r="I4" s="1616"/>
      <c r="J4" s="1616"/>
      <c r="K4" s="1616"/>
      <c r="L4" s="1616"/>
      <c r="M4" s="1616"/>
      <c r="N4" s="1616"/>
      <c r="O4" s="1616"/>
      <c r="P4" s="1616"/>
    </row>
    <row r="5" spans="1:16" ht="27.75" customHeight="1">
      <c r="A5" s="1621" t="s">
        <v>0</v>
      </c>
      <c r="B5" s="1621" t="s">
        <v>9</v>
      </c>
      <c r="C5" s="1621" t="s">
        <v>10</v>
      </c>
      <c r="D5" s="1623" t="s">
        <v>15</v>
      </c>
      <c r="E5" s="1623"/>
      <c r="F5" s="1623"/>
      <c r="G5" s="1623"/>
      <c r="H5" s="1623" t="s">
        <v>212</v>
      </c>
      <c r="I5" s="1623"/>
      <c r="J5" s="1623"/>
      <c r="K5" s="1623"/>
      <c r="L5" s="1623" t="s">
        <v>16</v>
      </c>
      <c r="M5" s="1623"/>
      <c r="N5" s="1623"/>
      <c r="O5" s="1623"/>
      <c r="P5" s="1621" t="s">
        <v>2</v>
      </c>
    </row>
    <row r="6" spans="1:16" ht="68">
      <c r="A6" s="1622"/>
      <c r="B6" s="1622"/>
      <c r="C6" s="1622"/>
      <c r="D6" s="820" t="s">
        <v>14</v>
      </c>
      <c r="E6" s="820" t="s">
        <v>11</v>
      </c>
      <c r="F6" s="820" t="s">
        <v>12</v>
      </c>
      <c r="G6" s="820" t="s">
        <v>13</v>
      </c>
      <c r="H6" s="820" t="s">
        <v>14</v>
      </c>
      <c r="I6" s="820" t="s">
        <v>11</v>
      </c>
      <c r="J6" s="820" t="s">
        <v>12</v>
      </c>
      <c r="K6" s="820" t="s">
        <v>13</v>
      </c>
      <c r="L6" s="820" t="s">
        <v>14</v>
      </c>
      <c r="M6" s="820" t="s">
        <v>11</v>
      </c>
      <c r="N6" s="820" t="s">
        <v>12</v>
      </c>
      <c r="O6" s="820" t="s">
        <v>13</v>
      </c>
      <c r="P6" s="1624"/>
    </row>
    <row r="7" spans="1:16" s="884" customFormat="1" ht="34">
      <c r="A7" s="882" t="s">
        <v>115</v>
      </c>
      <c r="B7" s="882" t="s">
        <v>116</v>
      </c>
      <c r="C7" s="883" t="s">
        <v>117</v>
      </c>
      <c r="D7" s="883" t="s">
        <v>118</v>
      </c>
      <c r="E7" s="883" t="s">
        <v>119</v>
      </c>
      <c r="F7" s="883" t="s">
        <v>120</v>
      </c>
      <c r="G7" s="883" t="s">
        <v>121</v>
      </c>
      <c r="H7" s="883" t="s">
        <v>122</v>
      </c>
      <c r="I7" s="883" t="s">
        <v>123</v>
      </c>
      <c r="J7" s="883" t="s">
        <v>125</v>
      </c>
      <c r="K7" s="882" t="s">
        <v>88</v>
      </c>
      <c r="L7" s="883" t="s">
        <v>126</v>
      </c>
      <c r="M7" s="883" t="s">
        <v>127</v>
      </c>
      <c r="N7" s="883" t="s">
        <v>128</v>
      </c>
      <c r="O7" s="883" t="s">
        <v>129</v>
      </c>
      <c r="P7" s="883" t="s">
        <v>130</v>
      </c>
    </row>
    <row r="8" spans="1:16" s="823" customFormat="1" ht="18.75" customHeight="1">
      <c r="A8" s="821"/>
      <c r="B8" s="822" t="s">
        <v>752</v>
      </c>
      <c r="C8" s="821"/>
      <c r="D8" s="821"/>
      <c r="E8" s="821"/>
      <c r="F8" s="821"/>
      <c r="G8" s="821"/>
      <c r="H8" s="821"/>
      <c r="I8" s="821"/>
      <c r="J8" s="821"/>
      <c r="K8" s="821"/>
      <c r="L8" s="821"/>
      <c r="M8" s="821"/>
      <c r="N8" s="821"/>
      <c r="O8" s="821"/>
      <c r="P8" s="821"/>
    </row>
    <row r="9" spans="1:16" s="825" customFormat="1" ht="18.75" customHeight="1">
      <c r="A9" s="824"/>
      <c r="B9" s="822" t="s">
        <v>343</v>
      </c>
      <c r="C9" s="824"/>
      <c r="D9" s="824"/>
      <c r="E9" s="824"/>
      <c r="F9" s="824"/>
      <c r="G9" s="824"/>
      <c r="H9" s="824"/>
      <c r="I9" s="824"/>
      <c r="J9" s="824"/>
      <c r="K9" s="824"/>
      <c r="L9" s="824"/>
      <c r="M9" s="824"/>
      <c r="N9" s="824"/>
      <c r="O9" s="824"/>
      <c r="P9" s="824"/>
    </row>
    <row r="10" spans="1:16" s="825" customFormat="1" ht="18.75" customHeight="1">
      <c r="A10" s="824"/>
      <c r="B10" s="822" t="s">
        <v>753</v>
      </c>
      <c r="C10" s="824"/>
      <c r="D10" s="824"/>
      <c r="E10" s="824"/>
      <c r="F10" s="824"/>
      <c r="G10" s="824"/>
      <c r="H10" s="824"/>
      <c r="I10" s="824"/>
      <c r="J10" s="824"/>
      <c r="K10" s="824"/>
      <c r="L10" s="824"/>
      <c r="M10" s="824"/>
      <c r="N10" s="824"/>
      <c r="O10" s="824"/>
      <c r="P10" s="824"/>
    </row>
    <row r="11" spans="1:16" s="825" customFormat="1" ht="34">
      <c r="A11" s="824"/>
      <c r="B11" s="822" t="s">
        <v>868</v>
      </c>
      <c r="C11" s="824"/>
      <c r="D11" s="824"/>
      <c r="E11" s="824"/>
      <c r="F11" s="824"/>
      <c r="G11" s="824"/>
      <c r="H11" s="824"/>
      <c r="I11" s="824"/>
      <c r="J11" s="824"/>
      <c r="K11" s="824"/>
      <c r="L11" s="824"/>
      <c r="M11" s="824"/>
      <c r="N11" s="824"/>
      <c r="O11" s="824"/>
      <c r="P11" s="824"/>
    </row>
    <row r="12" spans="1:16" s="825" customFormat="1" ht="34">
      <c r="A12" s="824"/>
      <c r="B12" s="822" t="s">
        <v>869</v>
      </c>
      <c r="C12" s="824"/>
      <c r="D12" s="824"/>
      <c r="E12" s="824"/>
      <c r="F12" s="824"/>
      <c r="G12" s="824"/>
      <c r="H12" s="824"/>
      <c r="I12" s="824"/>
      <c r="J12" s="824"/>
      <c r="K12" s="824"/>
      <c r="L12" s="824"/>
      <c r="M12" s="824"/>
      <c r="N12" s="824"/>
      <c r="O12" s="824"/>
      <c r="P12" s="824"/>
    </row>
    <row r="13" spans="1:16" s="825" customFormat="1" ht="18.75" customHeight="1">
      <c r="A13" s="824"/>
      <c r="B13" s="822" t="s">
        <v>584</v>
      </c>
      <c r="C13" s="824"/>
      <c r="D13" s="826"/>
      <c r="E13" s="826"/>
      <c r="F13" s="826"/>
      <c r="G13" s="826"/>
      <c r="H13" s="826"/>
      <c r="I13" s="826"/>
      <c r="J13" s="826"/>
      <c r="K13" s="826"/>
      <c r="L13" s="826"/>
      <c r="M13" s="826"/>
      <c r="N13" s="826"/>
      <c r="O13" s="826"/>
      <c r="P13" s="824"/>
    </row>
    <row r="14" spans="1:16" s="835" customFormat="1" ht="15.75" customHeight="1">
      <c r="A14" s="827" t="s">
        <v>7</v>
      </c>
      <c r="B14" s="828" t="s">
        <v>555</v>
      </c>
      <c r="C14" s="829"/>
      <c r="D14" s="830">
        <f>'Bieu3 GDTH'!E24</f>
        <v>5037</v>
      </c>
      <c r="E14" s="831">
        <f>'Bieu3 GDTH'!F24</f>
        <v>2632</v>
      </c>
      <c r="F14" s="831">
        <f>'Bieu3 GDTH'!G24</f>
        <v>1625</v>
      </c>
      <c r="G14" s="831">
        <f>'Bieu3 GDTH'!H24</f>
        <v>780</v>
      </c>
      <c r="H14" s="831">
        <f>'Bieu3 GDTH'!I24</f>
        <v>432.25</v>
      </c>
      <c r="I14" s="831">
        <f>'Bieu3 GDTH'!J24</f>
        <v>229.5</v>
      </c>
      <c r="J14" s="831">
        <f>'Bieu3 GDTH'!K24</f>
        <v>202.75</v>
      </c>
      <c r="K14" s="832">
        <f>'Bieu3 GDTH'!L24</f>
        <v>0</v>
      </c>
      <c r="L14" s="831">
        <f>'Bieu3 GDTH'!M24</f>
        <v>4604.75</v>
      </c>
      <c r="M14" s="831">
        <f>'Bieu3 GDTH'!N24</f>
        <v>2402.5</v>
      </c>
      <c r="N14" s="831">
        <f>'Bieu3 GDTH'!O24</f>
        <v>1422.25</v>
      </c>
      <c r="O14" s="833">
        <f>'Bieu3 GDTH'!P24</f>
        <v>780</v>
      </c>
      <c r="P14" s="834"/>
    </row>
    <row r="15" spans="1:16" s="835" customFormat="1" ht="15.75" customHeight="1">
      <c r="A15" s="836"/>
      <c r="B15" s="837"/>
      <c r="C15" s="838"/>
      <c r="D15" s="839"/>
      <c r="E15" s="839"/>
      <c r="F15" s="839"/>
      <c r="G15" s="839"/>
      <c r="H15" s="839"/>
      <c r="I15" s="839"/>
      <c r="J15" s="839"/>
      <c r="K15" s="840"/>
      <c r="L15" s="839"/>
      <c r="M15" s="839"/>
      <c r="N15" s="839"/>
      <c r="O15" s="840"/>
      <c r="P15" s="841"/>
    </row>
    <row r="16" spans="1:16" s="835" customFormat="1" ht="19.5" customHeight="1">
      <c r="A16" s="842" t="s">
        <v>8</v>
      </c>
      <c r="B16" s="843" t="s">
        <v>553</v>
      </c>
      <c r="C16" s="844"/>
      <c r="D16" s="845">
        <f>'Bieu3 GDMN'!E25</f>
        <v>5580</v>
      </c>
      <c r="E16" s="845">
        <f>'Bieu3 GDMN'!F25</f>
        <v>2700</v>
      </c>
      <c r="F16" s="845">
        <f>'Bieu3 GDMN'!G25</f>
        <v>1890</v>
      </c>
      <c r="G16" s="845">
        <f>'Bieu3 GDMN'!H25</f>
        <v>960</v>
      </c>
      <c r="H16" s="845">
        <f>'Bieu3 GDMN'!I25</f>
        <v>504.25</v>
      </c>
      <c r="I16" s="845">
        <f>'Bieu3 GDMN'!J25</f>
        <v>324</v>
      </c>
      <c r="J16" s="845">
        <f>'Bieu3 GDMN'!K25</f>
        <v>180.25</v>
      </c>
      <c r="K16" s="846">
        <f>'Bieu3 GDMN'!L25</f>
        <v>0</v>
      </c>
      <c r="L16" s="845">
        <f>'Bieu3 GDMN'!M25</f>
        <v>5045.75</v>
      </c>
      <c r="M16" s="845">
        <f>'Bieu3 GDMN'!N25</f>
        <v>2376</v>
      </c>
      <c r="N16" s="845">
        <f>'Bieu3 GDMN'!O25</f>
        <v>1709.75</v>
      </c>
      <c r="O16" s="846">
        <f>'Bieu3 GDMN'!P25</f>
        <v>960</v>
      </c>
      <c r="P16" s="847"/>
    </row>
    <row r="17" spans="1:17" s="835" customFormat="1" ht="15.75" customHeight="1">
      <c r="A17" s="836"/>
      <c r="B17" s="837"/>
      <c r="C17" s="838"/>
      <c r="D17" s="839"/>
      <c r="E17" s="839"/>
      <c r="F17" s="839"/>
      <c r="G17" s="839"/>
      <c r="H17" s="839"/>
      <c r="I17" s="839"/>
      <c r="J17" s="839"/>
      <c r="K17" s="840"/>
      <c r="L17" s="839"/>
      <c r="M17" s="839"/>
      <c r="N17" s="839"/>
      <c r="O17" s="840"/>
      <c r="P17" s="841"/>
    </row>
    <row r="18" spans="1:17" s="835" customFormat="1" ht="15.75" customHeight="1">
      <c r="A18" s="827" t="s">
        <v>25</v>
      </c>
      <c r="B18" s="828" t="s">
        <v>554</v>
      </c>
      <c r="C18" s="838"/>
      <c r="D18" s="848">
        <f>'Bieu3 QLGD'!E25</f>
        <v>4025</v>
      </c>
      <c r="E18" s="848">
        <f>'Bieu3 QLGD'!F25</f>
        <v>1890</v>
      </c>
      <c r="F18" s="848">
        <f>'Bieu3 QLGD'!G25</f>
        <v>1485</v>
      </c>
      <c r="G18" s="848">
        <f>'Bieu3 QLGD'!H25</f>
        <v>650</v>
      </c>
      <c r="H18" s="848">
        <f>'Bieu3 QLGD'!I25</f>
        <v>501.75</v>
      </c>
      <c r="I18" s="848">
        <f>'Bieu3 QLGD'!J25</f>
        <v>283.5</v>
      </c>
      <c r="J18" s="848">
        <f>'Bieu3 QLGD'!K25</f>
        <v>218.25</v>
      </c>
      <c r="K18" s="849">
        <f>'Bieu3 QLGD'!L25</f>
        <v>0</v>
      </c>
      <c r="L18" s="848">
        <f>'Bieu3 QLGD'!M25</f>
        <v>3523.25</v>
      </c>
      <c r="M18" s="848">
        <f>'Bieu3 QLGD'!N25</f>
        <v>1606.5</v>
      </c>
      <c r="N18" s="848">
        <f>'Bieu3 QLGD'!O25</f>
        <v>1266.75</v>
      </c>
      <c r="O18" s="849">
        <f>'Bieu3 QLGD'!P25</f>
        <v>650</v>
      </c>
      <c r="P18" s="841"/>
    </row>
    <row r="19" spans="1:17" s="835" customFormat="1" ht="15.75" customHeight="1">
      <c r="A19" s="827"/>
      <c r="B19" s="828"/>
      <c r="C19" s="838"/>
      <c r="D19" s="850"/>
      <c r="E19" s="850"/>
      <c r="F19" s="850"/>
      <c r="G19" s="850"/>
      <c r="H19" s="850"/>
      <c r="I19" s="850"/>
      <c r="J19" s="850"/>
      <c r="K19" s="851"/>
      <c r="L19" s="850"/>
      <c r="M19" s="850"/>
      <c r="N19" s="850"/>
      <c r="O19" s="851"/>
      <c r="P19" s="841"/>
    </row>
    <row r="20" spans="1:17" s="835" customFormat="1" ht="15.75" customHeight="1">
      <c r="A20" s="827" t="s">
        <v>36</v>
      </c>
      <c r="B20" s="828" t="s">
        <v>551</v>
      </c>
      <c r="C20" s="838"/>
      <c r="D20" s="848">
        <f>'Bieu3 TLH'!E22</f>
        <v>3460</v>
      </c>
      <c r="E20" s="848">
        <f>'Bieu3 TLH'!F22</f>
        <v>1620</v>
      </c>
      <c r="F20" s="848">
        <f>'Bieu3 TLH'!G22</f>
        <v>1250</v>
      </c>
      <c r="G20" s="848">
        <f>'Bieu3 TLH'!H22</f>
        <v>590</v>
      </c>
      <c r="H20" s="848">
        <f>'Bieu3 TLH'!I22</f>
        <v>208.25</v>
      </c>
      <c r="I20" s="848">
        <f>'Bieu3 TLH'!J22</f>
        <v>121.5</v>
      </c>
      <c r="J20" s="848">
        <f>'Bieu3 TLH'!K22</f>
        <v>86.75</v>
      </c>
      <c r="K20" s="849">
        <f>'Bieu3 TLH'!L22</f>
        <v>0</v>
      </c>
      <c r="L20" s="848">
        <f>'Bieu3 TLH'!M22</f>
        <v>3251.75</v>
      </c>
      <c r="M20" s="848">
        <f>'Bieu3 TLH'!N22</f>
        <v>1498.5</v>
      </c>
      <c r="N20" s="848">
        <f>'Bieu3 TLH'!O22</f>
        <v>1163.25</v>
      </c>
      <c r="O20" s="849">
        <f>'Bieu3 TLH'!P22</f>
        <v>590</v>
      </c>
      <c r="P20" s="841"/>
    </row>
    <row r="21" spans="1:17" s="835" customFormat="1" ht="15.75" customHeight="1">
      <c r="A21" s="827"/>
      <c r="B21" s="828"/>
      <c r="C21" s="838"/>
      <c r="D21" s="850"/>
      <c r="E21" s="850"/>
      <c r="F21" s="850"/>
      <c r="G21" s="850"/>
      <c r="H21" s="850"/>
      <c r="I21" s="850"/>
      <c r="J21" s="850"/>
      <c r="K21" s="851"/>
      <c r="L21" s="850"/>
      <c r="M21" s="850"/>
      <c r="N21" s="850"/>
      <c r="O21" s="851"/>
      <c r="P21" s="841"/>
    </row>
    <row r="22" spans="1:17" s="835" customFormat="1" ht="15.75" customHeight="1">
      <c r="A22" s="827" t="s">
        <v>40</v>
      </c>
      <c r="B22" s="828" t="s">
        <v>552</v>
      </c>
      <c r="C22" s="838"/>
      <c r="D22" s="848">
        <f>'Bieu3 GDH'!E20</f>
        <v>2280</v>
      </c>
      <c r="E22" s="848">
        <f>'Bieu3 GDH'!F20</f>
        <v>1080</v>
      </c>
      <c r="F22" s="848">
        <f>'Bieu3 GDH'!G20</f>
        <v>830</v>
      </c>
      <c r="G22" s="848">
        <f>'Bieu3 GDH'!H20</f>
        <v>370</v>
      </c>
      <c r="H22" s="848">
        <f>'Bieu3 GDH'!I20</f>
        <v>65.25</v>
      </c>
      <c r="I22" s="848">
        <f>'Bieu3 GDH'!J20</f>
        <v>40.5</v>
      </c>
      <c r="J22" s="848">
        <f>'Bieu3 GDH'!K20</f>
        <v>24.75</v>
      </c>
      <c r="K22" s="849">
        <f>'Bieu3 GDH'!L20</f>
        <v>0</v>
      </c>
      <c r="L22" s="848">
        <f>'Bieu3 GDH'!M20</f>
        <v>2214.75</v>
      </c>
      <c r="M22" s="848">
        <f>'Bieu3 GDH'!N20</f>
        <v>1039.5</v>
      </c>
      <c r="N22" s="848">
        <f>'Bieu3 GDH'!O20</f>
        <v>805.25</v>
      </c>
      <c r="O22" s="849">
        <f>'Bieu3 GDH'!P20</f>
        <v>370</v>
      </c>
      <c r="P22" s="841"/>
    </row>
    <row r="23" spans="1:17" s="835" customFormat="1" ht="15.75" customHeight="1">
      <c r="A23" s="836"/>
      <c r="B23" s="837"/>
      <c r="C23" s="838"/>
      <c r="D23" s="839"/>
      <c r="E23" s="839"/>
      <c r="F23" s="839"/>
      <c r="G23" s="839"/>
      <c r="H23" s="839"/>
      <c r="I23" s="839"/>
      <c r="J23" s="839"/>
      <c r="K23" s="840"/>
      <c r="L23" s="839"/>
      <c r="M23" s="839"/>
      <c r="N23" s="839"/>
      <c r="O23" s="840"/>
      <c r="P23" s="841"/>
    </row>
    <row r="24" spans="1:17" s="835" customFormat="1" ht="15.75" customHeight="1">
      <c r="A24" s="1613" t="s">
        <v>22</v>
      </c>
      <c r="B24" s="1614"/>
      <c r="C24" s="852"/>
      <c r="D24" s="853">
        <f>SUM(D14:D22)</f>
        <v>20382</v>
      </c>
      <c r="E24" s="853">
        <f>SUM(E14:E22)</f>
        <v>9922</v>
      </c>
      <c r="F24" s="853">
        <f t="shared" ref="F24:O24" si="0">SUM(F14:F22)</f>
        <v>7080</v>
      </c>
      <c r="G24" s="853">
        <f t="shared" si="0"/>
        <v>3350</v>
      </c>
      <c r="H24" s="853">
        <f t="shared" si="0"/>
        <v>1711.75</v>
      </c>
      <c r="I24" s="853">
        <f t="shared" si="0"/>
        <v>999</v>
      </c>
      <c r="J24" s="853">
        <f t="shared" si="0"/>
        <v>712.75</v>
      </c>
      <c r="K24" s="854">
        <f t="shared" si="0"/>
        <v>0</v>
      </c>
      <c r="L24" s="853">
        <f t="shared" si="0"/>
        <v>18640.25</v>
      </c>
      <c r="M24" s="853">
        <f t="shared" si="0"/>
        <v>8923</v>
      </c>
      <c r="N24" s="853">
        <f t="shared" si="0"/>
        <v>6367.25</v>
      </c>
      <c r="O24" s="854">
        <f t="shared" si="0"/>
        <v>3350</v>
      </c>
      <c r="P24" s="855"/>
    </row>
    <row r="25" spans="1:17">
      <c r="A25" s="856"/>
      <c r="B25" s="816"/>
      <c r="C25" s="816"/>
      <c r="D25" s="1616" t="s">
        <v>919</v>
      </c>
      <c r="E25" s="1616"/>
      <c r="F25" s="1616"/>
      <c r="G25" s="1616"/>
      <c r="H25" s="1616"/>
      <c r="I25" s="1616"/>
      <c r="J25" s="1616"/>
      <c r="K25" s="1616"/>
      <c r="L25" s="1616"/>
      <c r="M25" s="1616"/>
      <c r="N25" s="1616"/>
      <c r="O25" s="1616"/>
      <c r="P25" s="1616"/>
    </row>
    <row r="26" spans="1:17">
      <c r="A26" s="856"/>
      <c r="B26" s="857"/>
      <c r="C26" s="816"/>
      <c r="E26" s="858"/>
      <c r="F26" s="858"/>
      <c r="G26" s="858"/>
      <c r="H26" s="858"/>
      <c r="I26" s="858"/>
      <c r="J26" s="858"/>
      <c r="K26" s="858"/>
      <c r="L26" s="858"/>
      <c r="M26" s="1615" t="s">
        <v>550</v>
      </c>
      <c r="N26" s="1615"/>
      <c r="O26" s="1615"/>
      <c r="P26" s="1615"/>
    </row>
    <row r="27" spans="1:17">
      <c r="A27" s="1617" t="s">
        <v>870</v>
      </c>
      <c r="B27" s="1617"/>
      <c r="C27" s="1617"/>
      <c r="D27" s="1617"/>
      <c r="E27" s="1617"/>
      <c r="F27" s="1617"/>
      <c r="G27" s="1617"/>
      <c r="H27" s="1617"/>
      <c r="I27" s="1617"/>
      <c r="J27" s="1617"/>
      <c r="K27" s="1617"/>
      <c r="L27" s="1617"/>
      <c r="M27" s="859"/>
      <c r="N27" s="859"/>
      <c r="O27" s="859"/>
      <c r="P27" s="859"/>
    </row>
    <row r="28" spans="1:17">
      <c r="A28" s="856"/>
      <c r="B28" s="860"/>
      <c r="C28" s="816"/>
      <c r="H28" s="861"/>
      <c r="I28" s="861"/>
      <c r="J28" s="861"/>
      <c r="K28" s="861"/>
      <c r="L28" s="861"/>
      <c r="M28" s="861"/>
      <c r="Q28" s="858"/>
    </row>
    <row r="29" spans="1:17">
      <c r="A29" s="856"/>
      <c r="B29" s="816"/>
      <c r="C29" s="816"/>
      <c r="D29" s="859"/>
      <c r="E29" s="859"/>
      <c r="F29" s="859"/>
      <c r="G29" s="859"/>
      <c r="H29" s="859"/>
      <c r="I29" s="859"/>
      <c r="J29" s="859"/>
      <c r="K29" s="859"/>
      <c r="L29" s="859"/>
    </row>
    <row r="30" spans="1:17">
      <c r="N30" s="1615" t="s">
        <v>766</v>
      </c>
      <c r="O30" s="1615"/>
      <c r="P30" s="1615"/>
    </row>
  </sheetData>
  <mergeCells count="18">
    <mergeCell ref="G4:P4"/>
    <mergeCell ref="A5:A6"/>
    <mergeCell ref="B5:B6"/>
    <mergeCell ref="C5:C6"/>
    <mergeCell ref="D5:G5"/>
    <mergeCell ref="H5:K5"/>
    <mergeCell ref="L5:O5"/>
    <mergeCell ref="P5:P6"/>
    <mergeCell ref="A1:B1"/>
    <mergeCell ref="D1:O1"/>
    <mergeCell ref="A2:B2"/>
    <mergeCell ref="D2:O2"/>
    <mergeCell ref="A3:P3"/>
    <mergeCell ref="A24:B24"/>
    <mergeCell ref="N30:P30"/>
    <mergeCell ref="D25:P25"/>
    <mergeCell ref="M26:P26"/>
    <mergeCell ref="A27:L27"/>
  </mergeCells>
  <pageMargins left="0.34" right="0.2" top="0.35" bottom="0.17" header="0.45" footer="0.17"/>
  <pageSetup paperSize="9" orientation="landscape"/>
  <ignoredErrors>
    <ignoredError sqref="D24 L24:M24"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26"/>
  <sheetViews>
    <sheetView zoomScale="115" zoomScaleNormal="115" zoomScalePageLayoutView="115" workbookViewId="0">
      <pane xSplit="2" ySplit="7" topLeftCell="C8" activePane="bottomRight" state="frozen"/>
      <selection pane="topRight" activeCell="C1" sqref="C1"/>
      <selection pane="bottomLeft" activeCell="A8" sqref="A8"/>
      <selection pane="bottomRight" activeCell="E21" sqref="E21:Q21"/>
    </sheetView>
  </sheetViews>
  <sheetFormatPr baseColWidth="10" defaultColWidth="8.83203125" defaultRowHeight="13"/>
  <cols>
    <col min="1" max="1" width="5.5" style="1" customWidth="1"/>
    <col min="2" max="2" width="32.5" style="2" customWidth="1"/>
    <col min="3" max="3" width="7"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5" customWidth="1"/>
    <col min="13" max="13" width="5.6640625" customWidth="1"/>
    <col min="14" max="14" width="7.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927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928</v>
      </c>
      <c r="C8" s="19"/>
      <c r="D8" s="22"/>
      <c r="E8" s="22"/>
      <c r="F8" s="22"/>
      <c r="G8" s="22"/>
      <c r="H8" s="22"/>
      <c r="I8" s="22"/>
      <c r="J8" s="22"/>
      <c r="K8" s="22"/>
      <c r="L8" s="22"/>
      <c r="M8" s="22"/>
      <c r="N8" s="22"/>
      <c r="O8" s="22"/>
      <c r="P8" s="22"/>
      <c r="Q8" s="87"/>
    </row>
    <row r="9" spans="1:17" s="18" customFormat="1" ht="18.75" customHeight="1">
      <c r="A9" s="88"/>
      <c r="B9" s="221" t="s">
        <v>557</v>
      </c>
      <c r="C9" s="21"/>
      <c r="D9" s="20"/>
      <c r="E9" s="20"/>
      <c r="F9" s="20"/>
      <c r="G9" s="20"/>
      <c r="H9" s="20"/>
      <c r="I9" s="20"/>
      <c r="J9" s="20"/>
      <c r="K9" s="20"/>
      <c r="L9" s="20"/>
      <c r="M9" s="20"/>
      <c r="N9" s="20"/>
      <c r="O9" s="20"/>
      <c r="P9" s="20"/>
      <c r="Q9" s="89"/>
    </row>
    <row r="10" spans="1:17" s="18" customFormat="1" ht="18.75" customHeight="1">
      <c r="A10" s="88"/>
      <c r="B10" s="221" t="s">
        <v>929</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930</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339</v>
      </c>
      <c r="C15" s="175">
        <v>6.2</v>
      </c>
      <c r="D15" s="183"/>
      <c r="E15" s="176">
        <f>F15+G15+H15</f>
        <v>705</v>
      </c>
      <c r="F15" s="176">
        <v>270</v>
      </c>
      <c r="G15" s="176">
        <f>IF(C15&lt;3.33,165,IF(C15&lt;4.32,175,IF(C15&lt;4.4,200,IF(C15&lt;5.76,220,IF(C15&lt;6.2,260,315)))))</f>
        <v>315</v>
      </c>
      <c r="H15" s="176">
        <f>IF(C15&lt;3.33,70,IF(C15&lt;4.32,90,IF(C15&lt;4.4,100,120)))</f>
        <v>120</v>
      </c>
      <c r="I15" s="176">
        <f>J15+K15+L15</f>
        <v>0</v>
      </c>
      <c r="J15" s="176">
        <f>IF(D15="TK",F15*0.3,IF(D15="PK",F15*0.25,IF(OR(D15="TBM",D15="BTLCD"),F15*0.2,IF(OR(D15="PCTCD",D15="CTCD"),F15*0.1,IF(OR(D15="TLĐT",D15="CVHT"),F15*0.15,IF(D15="NCS",F15*0.7,0))))))</f>
        <v>0</v>
      </c>
      <c r="K15" s="176">
        <f>IF(D15="TK",G15*0.3,IF(D15="PK",G15*0.25,IF(OR(D15="TBM",D15="BTLCD"),G15*0.2,IF(OR(D15="PCTCD",D15="CTCD"),F15*0.1,IF(OR(D15="TLĐT",D15="NCS,TLĐT",D15="NCS,CVHT",D15="CVHT"),G15*0.15,0)))))</f>
        <v>0</v>
      </c>
      <c r="L15" s="176">
        <f>IF(OR(D15="NCS",D15="NCS,TLĐT"),H15*0.7,0)</f>
        <v>0</v>
      </c>
      <c r="M15" s="176">
        <f>N15+O15+P15</f>
        <v>705</v>
      </c>
      <c r="N15" s="176">
        <f>F15-J15</f>
        <v>270</v>
      </c>
      <c r="O15" s="176">
        <f>G15-K15</f>
        <v>315</v>
      </c>
      <c r="P15" s="176">
        <f>H15-L15</f>
        <v>120</v>
      </c>
      <c r="Q15" s="177"/>
    </row>
    <row r="16" spans="1:17" s="3" customFormat="1" ht="15.75" customHeight="1">
      <c r="A16" s="90">
        <v>3</v>
      </c>
      <c r="B16" s="174" t="s">
        <v>340</v>
      </c>
      <c r="C16" s="175">
        <v>3.66</v>
      </c>
      <c r="D16" s="183"/>
      <c r="E16" s="176">
        <f>F16+G16+H16</f>
        <v>535</v>
      </c>
      <c r="F16" s="176">
        <v>270</v>
      </c>
      <c r="G16" s="176">
        <f>IF(C16&lt;3.33,165,IF(C16&lt;4.32,175,IF(C16&lt;4.4,200,IF(C16&lt;5.76,220,IF(C16&lt;6.2,260,315)))))</f>
        <v>175</v>
      </c>
      <c r="H16" s="176">
        <f>IF(C16&lt;3.33,70,IF(C16&lt;4.32,90,IF(C16&lt;4.4,100,120)))</f>
        <v>90</v>
      </c>
      <c r="I16" s="176">
        <f>J16+K16+L16</f>
        <v>0</v>
      </c>
      <c r="J16" s="176">
        <f>IF(D16="TK",F16*0.3,IF(D16="PK",F16*0.25,IF(OR(D16="TBM",D16="BTLCD"),F16*0.2,IF(OR(D16="PCTCD",D16="CTCD"),F16*0.1,IF(OR(D16="TLĐT",D16="CVHT"),F16*0.15,IF(D16="NCS",F16*0.7,0))))))</f>
        <v>0</v>
      </c>
      <c r="K16" s="176">
        <f>IF(D16="TK",G16*0.3,IF(D16="PK",G16*0.25,IF(OR(D16="TBM",D16="BTLCD"),G16*0.2,IF(OR(D16="PCTCD",D16="CTCD"),F16*0.1,IF(OR(D16="TLĐT",D16="NCS,TLĐT",D16="NCS,CVHT",D16="CVHT"),G16*0.15,0)))))</f>
        <v>0</v>
      </c>
      <c r="L16" s="176">
        <f>IF(OR(D16="NCS",D16="NCS,TLĐT"),H16*0.7,0)</f>
        <v>0</v>
      </c>
      <c r="M16" s="176">
        <f>N16+O16+P16</f>
        <v>535</v>
      </c>
      <c r="N16" s="176">
        <f t="shared" ref="N16:P18" si="0">F16-J16</f>
        <v>270</v>
      </c>
      <c r="O16" s="176">
        <f t="shared" si="0"/>
        <v>175</v>
      </c>
      <c r="P16" s="176">
        <f t="shared" si="0"/>
        <v>90</v>
      </c>
      <c r="Q16" s="178"/>
    </row>
    <row r="17" spans="1:17" s="3" customFormat="1" ht="15.75" customHeight="1">
      <c r="A17" s="90">
        <v>4</v>
      </c>
      <c r="B17" s="174" t="s">
        <v>341</v>
      </c>
      <c r="C17" s="180">
        <v>3.66</v>
      </c>
      <c r="D17" s="183"/>
      <c r="E17" s="176">
        <f>F17+G17+H17</f>
        <v>535</v>
      </c>
      <c r="F17" s="176">
        <v>270</v>
      </c>
      <c r="G17" s="176">
        <f>IF(C17&lt;3.33,165,IF(C17&lt;4.32,175,IF(C17&lt;4.4,200,IF(C17&lt;5.76,220,IF(C17&lt;6.2,260,315)))))</f>
        <v>175</v>
      </c>
      <c r="H17" s="176">
        <f>IF(C17&lt;3.33,70,IF(C17&lt;4.32,90,IF(C17&lt;4.4,100,120)))</f>
        <v>90</v>
      </c>
      <c r="I17" s="176">
        <f>J17+K17+L17</f>
        <v>0</v>
      </c>
      <c r="J17" s="176">
        <f>IF(D17="TK",F17*0.3,IF(D17="PK",F17*0.25,IF(OR(D17="TBM",D17="BTLCD"),F17*0.2,IF(OR(D17="PCTCD",D17="CTCD"),F17*0.1,IF(OR(D17="TLĐT",D17="CVHT"),F17*0.15,IF(D17="NCS",F17*0.7,0))))))</f>
        <v>0</v>
      </c>
      <c r="K17" s="176">
        <f>IF(D17="TK",G17*0.3,IF(D17="PK",G17*0.25,IF(OR(D17="TBM",D17="BTLCD"),G17*0.2,IF(OR(D17="PCTCD",D17="CTCD"),F17*0.1,IF(OR(D17="TLĐT",D17="NCS,TLĐT",D17="NCS,CVHT",D17="CVHT"),G17*0.15,0)))))</f>
        <v>0</v>
      </c>
      <c r="L17" s="176">
        <f>IF(OR(D17="NCS",D17="NCS,TLĐT"),H17*0.7,0)</f>
        <v>0</v>
      </c>
      <c r="M17" s="176">
        <f>N17+O17+P17</f>
        <v>535</v>
      </c>
      <c r="N17" s="176">
        <f t="shared" si="0"/>
        <v>270</v>
      </c>
      <c r="O17" s="176">
        <f t="shared" si="0"/>
        <v>175</v>
      </c>
      <c r="P17" s="176">
        <f t="shared" si="0"/>
        <v>90</v>
      </c>
      <c r="Q17" s="188"/>
    </row>
    <row r="18" spans="1:17" s="3" customFormat="1" ht="15.75" customHeight="1">
      <c r="A18" s="90">
        <v>5</v>
      </c>
      <c r="B18" s="179" t="s">
        <v>342</v>
      </c>
      <c r="C18" s="180">
        <v>2.34</v>
      </c>
      <c r="D18" s="183" t="s">
        <v>332</v>
      </c>
      <c r="E18" s="176">
        <f>F18+G18+H18</f>
        <v>505</v>
      </c>
      <c r="F18" s="176">
        <v>270</v>
      </c>
      <c r="G18" s="176">
        <f>IF(C18&lt;3.33,165,IF(C18&lt;4.32,175,IF(C18&lt;4.4,200,IF(C18&lt;5.76,220,IF(C18&lt;6.2,260,315)))))</f>
        <v>165</v>
      </c>
      <c r="H18" s="176">
        <f>IF(C18&lt;3.33,70,IF(C18&lt;4.32,90,IF(C18&lt;4.4,100,120)))</f>
        <v>70</v>
      </c>
      <c r="I18" s="176">
        <f>J18+K18+L18</f>
        <v>65.25</v>
      </c>
      <c r="J18" s="176">
        <f>IF(D18="TK",F18*0.3,IF(D18="PK",F18*0.25,IF(OR(D18="TBM",D18="BTLCD"),F18*0.2,IF(OR(D18="PCTCD",D18="CTCD"),F18*0.1,IF(OR(D18="TLĐT",D18="CVHT"),F18*0.15,IF(D18="NCS",F18*0.7,0))))))</f>
        <v>40.5</v>
      </c>
      <c r="K18" s="176">
        <f>IF(D18="TK",G18*0.3,IF(D18="PK",G18*0.25,IF(OR(D18="TBM",D18="BTLCD"),G18*0.2,IF(OR(D18="PCTCD",D18="CTCD"),F18*0.1,IF(OR(D18="TLĐT",D18="NCS,TLĐT",D18="NCS,CVHT",D18="CVHT"),G18*0.15,0)))))</f>
        <v>24.75</v>
      </c>
      <c r="L18" s="176">
        <f>IF(OR(D18="NCS",D18="NCS,TLĐT"),H18*0.7,0)</f>
        <v>0</v>
      </c>
      <c r="M18" s="176">
        <f>N18+O18+P18</f>
        <v>439.75</v>
      </c>
      <c r="N18" s="176">
        <f t="shared" si="0"/>
        <v>229.5</v>
      </c>
      <c r="O18" s="176">
        <f t="shared" si="0"/>
        <v>140.25</v>
      </c>
      <c r="P18" s="176">
        <f t="shared" si="0"/>
        <v>70</v>
      </c>
      <c r="Q18" s="178" t="s">
        <v>861</v>
      </c>
    </row>
    <row r="19" spans="1:17" s="3" customFormat="1" ht="15.75" customHeight="1">
      <c r="A19" s="95"/>
      <c r="B19" s="96"/>
      <c r="C19" s="96"/>
      <c r="D19" s="97"/>
      <c r="E19" s="98"/>
      <c r="F19" s="98"/>
      <c r="G19" s="98"/>
      <c r="H19" s="98"/>
      <c r="I19" s="98"/>
      <c r="J19" s="98"/>
      <c r="K19" s="98"/>
      <c r="L19" s="98"/>
      <c r="M19" s="98"/>
      <c r="N19" s="98"/>
      <c r="O19" s="98"/>
      <c r="P19" s="98"/>
      <c r="Q19" s="99"/>
    </row>
    <row r="20" spans="1:17" s="3" customFormat="1" ht="15.75" customHeight="1" thickBot="1">
      <c r="A20" s="1630" t="s">
        <v>322</v>
      </c>
      <c r="B20" s="1631"/>
      <c r="C20" s="170"/>
      <c r="D20" s="100"/>
      <c r="E20" s="184">
        <f t="shared" ref="E20:P20" si="1">SUM(E15:E18)</f>
        <v>2280</v>
      </c>
      <c r="F20" s="184">
        <f t="shared" si="1"/>
        <v>1080</v>
      </c>
      <c r="G20" s="184">
        <f t="shared" si="1"/>
        <v>830</v>
      </c>
      <c r="H20" s="184">
        <f t="shared" si="1"/>
        <v>370</v>
      </c>
      <c r="I20" s="184">
        <f t="shared" si="1"/>
        <v>65.25</v>
      </c>
      <c r="J20" s="184">
        <f t="shared" si="1"/>
        <v>40.5</v>
      </c>
      <c r="K20" s="184">
        <f t="shared" si="1"/>
        <v>24.75</v>
      </c>
      <c r="L20" s="184">
        <f t="shared" si="1"/>
        <v>0</v>
      </c>
      <c r="M20" s="184">
        <f t="shared" si="1"/>
        <v>2214.75</v>
      </c>
      <c r="N20" s="513">
        <f>SUM(N15:N18)</f>
        <v>1039.5</v>
      </c>
      <c r="O20" s="184">
        <f t="shared" si="1"/>
        <v>805.25</v>
      </c>
      <c r="P20" s="184">
        <f t="shared" si="1"/>
        <v>370</v>
      </c>
      <c r="Q20" s="101"/>
    </row>
    <row r="21" spans="1:17" ht="14" thickTop="1">
      <c r="A21" s="168"/>
      <c r="B21" s="10"/>
      <c r="C21" s="10"/>
      <c r="D21" s="10"/>
      <c r="E21" s="1632" t="s">
        <v>919</v>
      </c>
      <c r="F21" s="1632"/>
      <c r="G21" s="1632"/>
      <c r="H21" s="1632"/>
      <c r="I21" s="1632"/>
      <c r="J21" s="1632"/>
      <c r="K21" s="1632"/>
      <c r="L21" s="1632"/>
      <c r="M21" s="1632"/>
      <c r="N21" s="1632"/>
      <c r="O21" s="1632"/>
      <c r="P21" s="1632"/>
      <c r="Q21" s="1632"/>
    </row>
    <row r="22" spans="1:17">
      <c r="A22" s="168"/>
      <c r="B22" s="15"/>
      <c r="C22" s="15"/>
      <c r="D22" s="10"/>
      <c r="F22" s="102"/>
      <c r="G22" s="102"/>
      <c r="H22" s="102"/>
      <c r="I22" s="102"/>
      <c r="J22" s="102"/>
      <c r="K22" s="102"/>
      <c r="L22" s="102"/>
      <c r="M22" s="102"/>
      <c r="N22" s="1555" t="s">
        <v>5</v>
      </c>
      <c r="O22" s="1555"/>
      <c r="P22" s="1555"/>
      <c r="Q22" s="1555"/>
    </row>
    <row r="23" spans="1:17" ht="27" customHeight="1">
      <c r="A23" s="1633" t="s">
        <v>238</v>
      </c>
      <c r="B23" s="1633"/>
      <c r="C23" s="1633"/>
      <c r="D23" s="1633"/>
      <c r="E23" s="1633"/>
      <c r="F23" s="1633"/>
      <c r="G23" s="1633"/>
      <c r="H23" s="1633"/>
      <c r="I23" s="1633"/>
      <c r="J23" s="1633"/>
      <c r="K23" s="1633"/>
      <c r="L23" s="1633"/>
      <c r="M23" s="1633"/>
      <c r="N23" s="23"/>
      <c r="O23" s="23"/>
      <c r="P23" s="23"/>
      <c r="Q23" s="23"/>
    </row>
    <row r="24" spans="1:17">
      <c r="A24" s="168"/>
      <c r="B24" s="16"/>
      <c r="C24" s="16"/>
      <c r="D24" s="10"/>
      <c r="E24" s="1555"/>
      <c r="F24" s="1555"/>
      <c r="G24" s="1555"/>
      <c r="H24" s="1555"/>
      <c r="I24" s="1555"/>
      <c r="J24" s="1555"/>
      <c r="K24" s="1555"/>
      <c r="L24" s="1555"/>
      <c r="M24" s="1555"/>
      <c r="N24" s="1555"/>
      <c r="O24" s="1555"/>
      <c r="P24" s="1555"/>
      <c r="Q24" s="1555"/>
    </row>
    <row r="25" spans="1:17">
      <c r="A25" s="168"/>
      <c r="B25" s="10"/>
      <c r="C25" s="10"/>
      <c r="D25" s="10"/>
      <c r="E25" s="1627"/>
      <c r="F25" s="1627"/>
      <c r="G25" s="1627"/>
      <c r="H25" s="1627"/>
      <c r="I25" s="1627"/>
      <c r="J25" s="1627"/>
      <c r="K25" s="1627"/>
      <c r="L25" s="1627"/>
      <c r="M25" s="1627"/>
      <c r="N25" s="1627"/>
      <c r="O25" s="1627"/>
      <c r="P25" s="1627"/>
      <c r="Q25" s="1627"/>
    </row>
    <row r="26" spans="1:17">
      <c r="P26" s="864" t="s">
        <v>871</v>
      </c>
    </row>
  </sheetData>
  <mergeCells count="19">
    <mergeCell ref="E25:Q25"/>
    <mergeCell ref="Q5:Q6"/>
    <mergeCell ref="A20:B20"/>
    <mergeCell ref="E21:Q21"/>
    <mergeCell ref="N22:Q22"/>
    <mergeCell ref="A23:M23"/>
    <mergeCell ref="E24:Q24"/>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E24" sqref="E24"/>
    </sheetView>
  </sheetViews>
  <sheetFormatPr baseColWidth="10" defaultColWidth="8.83203125" defaultRowHeight="13"/>
  <cols>
    <col min="1" max="1" width="5.5" style="1" customWidth="1"/>
    <col min="2" max="2" width="29.1640625" style="2" customWidth="1"/>
    <col min="3" max="4" width="6.5" style="2" customWidth="1"/>
    <col min="5" max="6" width="5.6640625" customWidth="1"/>
    <col min="7" max="7" width="6.5" customWidth="1"/>
    <col min="8" max="8" width="6.6640625" customWidth="1"/>
    <col min="9" max="10" width="5.6640625" customWidth="1"/>
    <col min="11" max="11" width="6.1640625" customWidth="1"/>
    <col min="12" max="12" width="7.33203125" customWidth="1"/>
    <col min="13" max="13" width="5.6640625" customWidth="1"/>
    <col min="14" max="14" width="6.33203125" customWidth="1"/>
    <col min="15" max="15" width="6.5" customWidth="1"/>
    <col min="16" max="16" width="7.1640625" customWidth="1"/>
    <col min="17" max="17" width="20.332031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979</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558</v>
      </c>
      <c r="C8" s="19"/>
      <c r="D8" s="22"/>
      <c r="E8" s="22"/>
      <c r="F8" s="22"/>
      <c r="G8" s="22"/>
      <c r="H8" s="22"/>
      <c r="I8" s="22"/>
      <c r="J8" s="22"/>
      <c r="K8" s="22"/>
      <c r="L8" s="22"/>
      <c r="M8" s="22"/>
      <c r="N8" s="22"/>
      <c r="O8" s="22"/>
      <c r="P8" s="22"/>
      <c r="Q8" s="87"/>
    </row>
    <row r="9" spans="1:17" s="18" customFormat="1" ht="18.75" customHeight="1">
      <c r="A9" s="88"/>
      <c r="B9" s="221" t="s">
        <v>559</v>
      </c>
      <c r="C9" s="21"/>
      <c r="D9" s="20"/>
      <c r="E9" s="20"/>
      <c r="F9" s="20"/>
      <c r="G9" s="20"/>
      <c r="H9" s="20"/>
      <c r="I9" s="20"/>
      <c r="J9" s="20"/>
      <c r="K9" s="20"/>
      <c r="L9" s="20"/>
      <c r="M9" s="20"/>
      <c r="N9" s="20"/>
      <c r="O9" s="20"/>
      <c r="P9" s="20"/>
      <c r="Q9" s="89"/>
    </row>
    <row r="10" spans="1:17" s="18" customFormat="1" ht="18.75" customHeight="1">
      <c r="A10" s="88"/>
      <c r="B10" s="221" t="s">
        <v>331</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535</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333</v>
      </c>
      <c r="C15" s="175">
        <v>6.78</v>
      </c>
      <c r="D15" s="183"/>
      <c r="E15" s="176">
        <f t="shared" ref="E15:E20" si="0">F15+G15+H15</f>
        <v>705</v>
      </c>
      <c r="F15" s="176">
        <v>270</v>
      </c>
      <c r="G15" s="176">
        <f t="shared" ref="G15:G20" si="1">IF(C15&lt;3.33,165,IF(C15&lt;4.32,175,IF(C15&lt;4.4,200,IF(C15&lt;5.76,220,IF(C15&lt;6.2,260,315)))))</f>
        <v>315</v>
      </c>
      <c r="H15" s="176">
        <f t="shared" ref="H15:H20" si="2">IF(C15&lt;3.33,70,IF(C15&lt;4.32,90,IF(C15&lt;4.4,100,120)))</f>
        <v>120</v>
      </c>
      <c r="I15" s="176">
        <f t="shared" ref="I15:I20" si="3">J15+K15+L15</f>
        <v>0</v>
      </c>
      <c r="J15" s="176">
        <f t="shared" ref="J15:J20" si="4">IF(D15="TK",F15*0.3,IF(D15="PK",F15*0.25,IF(OR(D15="TBM",D15="BTLCD"),F15*0.2,IF(OR(D15="PCTCD",D15="CTCD"),F15*0.1,IF(OR(D15="TLĐT",D15="CVHT"),F15*0.15,IF(D15="NCS",F15*0.7,0))))))</f>
        <v>0</v>
      </c>
      <c r="K15" s="176">
        <f t="shared" ref="K15:K20" si="5">IF(D15="TK",G15*0.3,IF(D15="PK",G15*0.25,IF(OR(D15="TBM",D15="BTLCD"),G15*0.2,IF(OR(D15="PCTCD",D15="CTCD"),F15*0.1,IF(OR(D15="TLĐT",D15="NCS,TLĐT",D15="NCS,CVHT",D15="CVHT"),G15*0.15,0)))))</f>
        <v>0</v>
      </c>
      <c r="L15" s="176">
        <f t="shared" ref="L15:L20" si="6">IF(OR(D15="NCS",D15="NCS,TLĐT"),H15*0.7,0)</f>
        <v>0</v>
      </c>
      <c r="M15" s="176">
        <f t="shared" ref="M15:M20" si="7">N15+O15+P15</f>
        <v>705</v>
      </c>
      <c r="N15" s="176">
        <f>F15-J15</f>
        <v>270</v>
      </c>
      <c r="O15" s="176">
        <f>G15-K15</f>
        <v>315</v>
      </c>
      <c r="P15" s="176">
        <f>H15-L15</f>
        <v>120</v>
      </c>
      <c r="Q15" s="177"/>
    </row>
    <row r="16" spans="1:17" s="3" customFormat="1" ht="15.75" customHeight="1">
      <c r="A16" s="90">
        <v>2</v>
      </c>
      <c r="B16" s="174" t="s">
        <v>334</v>
      </c>
      <c r="C16" s="175">
        <v>3.66</v>
      </c>
      <c r="D16" s="183" t="s">
        <v>313</v>
      </c>
      <c r="E16" s="176">
        <f t="shared" si="0"/>
        <v>535</v>
      </c>
      <c r="F16" s="176">
        <v>270</v>
      </c>
      <c r="G16" s="176">
        <f t="shared" si="1"/>
        <v>175</v>
      </c>
      <c r="H16" s="176">
        <f t="shared" si="2"/>
        <v>90</v>
      </c>
      <c r="I16" s="176">
        <f t="shared" si="3"/>
        <v>89</v>
      </c>
      <c r="J16" s="176">
        <f t="shared" si="4"/>
        <v>54</v>
      </c>
      <c r="K16" s="176">
        <f t="shared" si="5"/>
        <v>35</v>
      </c>
      <c r="L16" s="176">
        <f t="shared" si="6"/>
        <v>0</v>
      </c>
      <c r="M16" s="176">
        <f t="shared" si="7"/>
        <v>446</v>
      </c>
      <c r="N16" s="176">
        <f t="shared" ref="N16:P20" si="8">F16-J16</f>
        <v>216</v>
      </c>
      <c r="O16" s="176">
        <f t="shared" si="8"/>
        <v>140</v>
      </c>
      <c r="P16" s="176">
        <f t="shared" si="8"/>
        <v>90</v>
      </c>
      <c r="Q16" s="177" t="s">
        <v>302</v>
      </c>
    </row>
    <row r="17" spans="1:17" s="3" customFormat="1" ht="15.75" customHeight="1">
      <c r="A17" s="90">
        <v>3</v>
      </c>
      <c r="B17" s="174" t="s">
        <v>335</v>
      </c>
      <c r="C17" s="367">
        <v>3.99</v>
      </c>
      <c r="D17" s="183" t="s">
        <v>810</v>
      </c>
      <c r="E17" s="176">
        <f t="shared" si="0"/>
        <v>535</v>
      </c>
      <c r="F17" s="176">
        <v>270</v>
      </c>
      <c r="G17" s="176">
        <f t="shared" si="1"/>
        <v>175</v>
      </c>
      <c r="H17" s="176">
        <f t="shared" si="2"/>
        <v>90</v>
      </c>
      <c r="I17" s="176">
        <f t="shared" si="3"/>
        <v>54</v>
      </c>
      <c r="J17" s="176">
        <f t="shared" si="4"/>
        <v>27</v>
      </c>
      <c r="K17" s="176">
        <f t="shared" si="5"/>
        <v>27</v>
      </c>
      <c r="L17" s="176">
        <f t="shared" si="6"/>
        <v>0</v>
      </c>
      <c r="M17" s="176">
        <f t="shared" si="7"/>
        <v>481</v>
      </c>
      <c r="N17" s="176">
        <f t="shared" si="8"/>
        <v>243</v>
      </c>
      <c r="O17" s="176">
        <f t="shared" si="8"/>
        <v>148</v>
      </c>
      <c r="P17" s="176">
        <f t="shared" si="8"/>
        <v>90</v>
      </c>
      <c r="Q17" s="178" t="s">
        <v>547</v>
      </c>
    </row>
    <row r="18" spans="1:17" s="3" customFormat="1" ht="15.75" customHeight="1">
      <c r="A18" s="90">
        <v>4</v>
      </c>
      <c r="B18" s="174" t="s">
        <v>336</v>
      </c>
      <c r="C18" s="180">
        <v>4.32</v>
      </c>
      <c r="D18" s="183"/>
      <c r="E18" s="176">
        <f t="shared" si="0"/>
        <v>570</v>
      </c>
      <c r="F18" s="176">
        <v>270</v>
      </c>
      <c r="G18" s="176">
        <f t="shared" si="1"/>
        <v>200</v>
      </c>
      <c r="H18" s="176">
        <f t="shared" si="2"/>
        <v>100</v>
      </c>
      <c r="I18" s="176">
        <f t="shared" si="3"/>
        <v>0</v>
      </c>
      <c r="J18" s="176">
        <f t="shared" si="4"/>
        <v>0</v>
      </c>
      <c r="K18" s="176">
        <f t="shared" si="5"/>
        <v>0</v>
      </c>
      <c r="L18" s="176">
        <f t="shared" si="6"/>
        <v>0</v>
      </c>
      <c r="M18" s="176">
        <f t="shared" si="7"/>
        <v>570</v>
      </c>
      <c r="N18" s="176">
        <f t="shared" si="8"/>
        <v>270</v>
      </c>
      <c r="O18" s="176">
        <f t="shared" si="8"/>
        <v>200</v>
      </c>
      <c r="P18" s="176">
        <f t="shared" si="8"/>
        <v>100</v>
      </c>
      <c r="Q18" s="188"/>
    </row>
    <row r="19" spans="1:17" s="3" customFormat="1" ht="15.75" customHeight="1">
      <c r="A19" s="90">
        <v>5</v>
      </c>
      <c r="B19" s="174" t="s">
        <v>337</v>
      </c>
      <c r="C19" s="180">
        <v>5.08</v>
      </c>
      <c r="D19" s="183"/>
      <c r="E19" s="176">
        <f t="shared" si="0"/>
        <v>610</v>
      </c>
      <c r="F19" s="176">
        <v>270</v>
      </c>
      <c r="G19" s="176">
        <f t="shared" si="1"/>
        <v>220</v>
      </c>
      <c r="H19" s="176">
        <f t="shared" si="2"/>
        <v>120</v>
      </c>
      <c r="I19" s="176">
        <f t="shared" si="3"/>
        <v>0</v>
      </c>
      <c r="J19" s="176">
        <f t="shared" si="4"/>
        <v>0</v>
      </c>
      <c r="K19" s="176">
        <f t="shared" si="5"/>
        <v>0</v>
      </c>
      <c r="L19" s="176">
        <f t="shared" si="6"/>
        <v>0</v>
      </c>
      <c r="M19" s="176">
        <f t="shared" si="7"/>
        <v>610</v>
      </c>
      <c r="N19" s="176">
        <f t="shared" si="8"/>
        <v>270</v>
      </c>
      <c r="O19" s="176">
        <f t="shared" si="8"/>
        <v>220</v>
      </c>
      <c r="P19" s="176">
        <f t="shared" si="8"/>
        <v>120</v>
      </c>
      <c r="Q19" s="188"/>
    </row>
    <row r="20" spans="1:17" s="3" customFormat="1" ht="15.75" customHeight="1">
      <c r="A20" s="90">
        <v>6</v>
      </c>
      <c r="B20" s="179" t="s">
        <v>338</v>
      </c>
      <c r="C20" s="175">
        <v>2.34</v>
      </c>
      <c r="D20" s="183" t="s">
        <v>332</v>
      </c>
      <c r="E20" s="176">
        <f t="shared" si="0"/>
        <v>505</v>
      </c>
      <c r="F20" s="176">
        <v>270</v>
      </c>
      <c r="G20" s="176">
        <f t="shared" si="1"/>
        <v>165</v>
      </c>
      <c r="H20" s="176">
        <f t="shared" si="2"/>
        <v>70</v>
      </c>
      <c r="I20" s="176">
        <f t="shared" si="3"/>
        <v>65.25</v>
      </c>
      <c r="J20" s="176">
        <f t="shared" si="4"/>
        <v>40.5</v>
      </c>
      <c r="K20" s="176">
        <f t="shared" si="5"/>
        <v>24.75</v>
      </c>
      <c r="L20" s="176">
        <f t="shared" si="6"/>
        <v>0</v>
      </c>
      <c r="M20" s="176">
        <f t="shared" si="7"/>
        <v>439.75</v>
      </c>
      <c r="N20" s="176">
        <f t="shared" si="8"/>
        <v>229.5</v>
      </c>
      <c r="O20" s="176">
        <f t="shared" si="8"/>
        <v>140.25</v>
      </c>
      <c r="P20" s="176">
        <f t="shared" si="8"/>
        <v>70</v>
      </c>
      <c r="Q20" s="178" t="s">
        <v>811</v>
      </c>
    </row>
    <row r="21" spans="1:17" s="3" customFormat="1" ht="15.75" customHeight="1">
      <c r="A21" s="95"/>
      <c r="B21" s="96"/>
      <c r="C21" s="96"/>
      <c r="D21" s="97"/>
      <c r="E21" s="98"/>
      <c r="F21" s="98"/>
      <c r="G21" s="98"/>
      <c r="H21" s="98"/>
      <c r="I21" s="98"/>
      <c r="J21" s="98"/>
      <c r="K21" s="98"/>
      <c r="L21" s="98"/>
      <c r="M21" s="98"/>
      <c r="N21" s="98"/>
      <c r="O21" s="98"/>
      <c r="P21" s="98"/>
      <c r="Q21" s="99"/>
    </row>
    <row r="22" spans="1:17" s="3" customFormat="1" ht="15.75" customHeight="1" thickBot="1">
      <c r="A22" s="1630" t="s">
        <v>322</v>
      </c>
      <c r="B22" s="1631"/>
      <c r="C22" s="170"/>
      <c r="D22" s="100"/>
      <c r="E22" s="184">
        <f t="shared" ref="E22:P22" si="9">SUM(E15:E20)</f>
        <v>3460</v>
      </c>
      <c r="F22" s="184">
        <f t="shared" si="9"/>
        <v>1620</v>
      </c>
      <c r="G22" s="184">
        <f t="shared" si="9"/>
        <v>1250</v>
      </c>
      <c r="H22" s="184">
        <f t="shared" si="9"/>
        <v>590</v>
      </c>
      <c r="I22" s="184">
        <f t="shared" si="9"/>
        <v>208.25</v>
      </c>
      <c r="J22" s="184">
        <f t="shared" si="9"/>
        <v>121.5</v>
      </c>
      <c r="K22" s="184">
        <f t="shared" si="9"/>
        <v>86.75</v>
      </c>
      <c r="L22" s="184">
        <f t="shared" si="9"/>
        <v>0</v>
      </c>
      <c r="M22" s="184">
        <f t="shared" si="9"/>
        <v>3251.75</v>
      </c>
      <c r="N22" s="184">
        <f t="shared" si="9"/>
        <v>1498.5</v>
      </c>
      <c r="O22" s="184">
        <f t="shared" si="9"/>
        <v>1163.25</v>
      </c>
      <c r="P22" s="184">
        <f t="shared" si="9"/>
        <v>590</v>
      </c>
      <c r="Q22" s="101"/>
    </row>
    <row r="23" spans="1:17" ht="14" thickTop="1">
      <c r="A23" s="168"/>
      <c r="B23" s="10"/>
      <c r="C23" s="10"/>
      <c r="D23" s="10"/>
      <c r="E23" s="1632" t="s">
        <v>919</v>
      </c>
      <c r="F23" s="1632"/>
      <c r="G23" s="1632"/>
      <c r="H23" s="1632"/>
      <c r="I23" s="1632"/>
      <c r="J23" s="1632"/>
      <c r="K23" s="1632"/>
      <c r="L23" s="1632"/>
      <c r="M23" s="1632"/>
      <c r="N23" s="1632"/>
      <c r="O23" s="1632"/>
      <c r="P23" s="1632"/>
      <c r="Q23" s="1632"/>
    </row>
    <row r="24" spans="1:17">
      <c r="A24" s="168"/>
      <c r="B24" s="15"/>
      <c r="C24" s="15"/>
      <c r="D24" s="10"/>
      <c r="F24" s="102"/>
      <c r="G24" s="102"/>
      <c r="H24" s="102"/>
      <c r="I24" s="102"/>
      <c r="J24" s="102"/>
      <c r="K24" s="102"/>
      <c r="L24" s="102"/>
      <c r="M24" s="102"/>
      <c r="N24" s="1555"/>
      <c r="O24" s="1555"/>
      <c r="P24" s="1555"/>
      <c r="Q24" s="1555"/>
    </row>
    <row r="25" spans="1:17" ht="27" customHeight="1">
      <c r="A25" s="1633" t="s">
        <v>238</v>
      </c>
      <c r="B25" s="1633"/>
      <c r="C25" s="1633"/>
      <c r="D25" s="1633"/>
      <c r="E25" s="1633"/>
      <c r="F25" s="1633"/>
      <c r="G25" s="1633"/>
      <c r="H25" s="1633"/>
      <c r="I25" s="1633"/>
      <c r="J25" s="1633"/>
      <c r="K25" s="1633"/>
      <c r="L25" s="1633"/>
      <c r="M25" s="1633"/>
      <c r="N25" s="23"/>
      <c r="O25" s="23"/>
      <c r="P25" s="23"/>
      <c r="Q25" s="23"/>
    </row>
    <row r="26" spans="1:17">
      <c r="A26" s="168"/>
      <c r="B26" s="16"/>
      <c r="C26" s="16"/>
      <c r="D26" s="10"/>
      <c r="E26" s="1555"/>
      <c r="F26" s="1555"/>
      <c r="G26" s="1555"/>
      <c r="H26" s="1555"/>
      <c r="I26" s="1555"/>
      <c r="J26" s="1555"/>
      <c r="K26" s="1555"/>
      <c r="L26" s="1555"/>
      <c r="M26" s="1555"/>
      <c r="N26" s="1555"/>
      <c r="O26" s="1555"/>
      <c r="P26" s="1555"/>
      <c r="Q26" s="1555"/>
    </row>
    <row r="27" spans="1:17">
      <c r="A27" s="168"/>
      <c r="B27" s="10"/>
      <c r="C27" s="10"/>
      <c r="D27" s="10"/>
      <c r="E27" s="1627"/>
      <c r="F27" s="1627"/>
      <c r="G27" s="1627"/>
      <c r="H27" s="1627"/>
      <c r="I27" s="1627"/>
      <c r="J27" s="1627"/>
      <c r="K27" s="1627"/>
      <c r="L27" s="1627"/>
      <c r="M27" s="1627"/>
      <c r="N27" s="1627"/>
      <c r="O27" s="1627"/>
      <c r="P27" s="1627"/>
      <c r="Q27" s="1627"/>
    </row>
    <row r="29" spans="1:17">
      <c r="P29" s="864" t="s">
        <v>871</v>
      </c>
    </row>
  </sheetData>
  <mergeCells count="19">
    <mergeCell ref="E27:Q27"/>
    <mergeCell ref="Q5:Q6"/>
    <mergeCell ref="A22:B22"/>
    <mergeCell ref="E23:Q23"/>
    <mergeCell ref="N24:Q24"/>
    <mergeCell ref="A25:M25"/>
    <mergeCell ref="E26:Q26"/>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0"/>
  <sheetViews>
    <sheetView zoomScale="115" zoomScaleNormal="115" zoomScalePageLayoutView="115" workbookViewId="0">
      <pane xSplit="2" ySplit="7" topLeftCell="C14"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9" style="2" customWidth="1"/>
    <col min="3" max="3" width="6.83203125" style="2" customWidth="1"/>
    <col min="4" max="4" width="9.5" style="2" customWidth="1"/>
    <col min="5" max="6" width="5.6640625" customWidth="1"/>
    <col min="7" max="7" width="6.5" customWidth="1"/>
    <col min="8" max="8" width="6.6640625" customWidth="1"/>
    <col min="9" max="10" width="5.6640625" customWidth="1"/>
    <col min="11" max="11" width="6.1640625" customWidth="1"/>
    <col min="12" max="12" width="7.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978</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536</v>
      </c>
      <c r="C9" s="21"/>
      <c r="D9" s="20"/>
      <c r="E9" s="20"/>
      <c r="F9" s="20"/>
      <c r="G9" s="20"/>
      <c r="H9" s="20"/>
      <c r="I9" s="20"/>
      <c r="J9" s="20"/>
      <c r="K9" s="20"/>
      <c r="L9" s="20"/>
      <c r="M9" s="20"/>
      <c r="N9" s="20"/>
      <c r="O9" s="20"/>
      <c r="P9" s="20"/>
      <c r="Q9" s="89"/>
    </row>
    <row r="10" spans="1:17" s="18" customFormat="1" ht="18.75" customHeight="1">
      <c r="A10" s="88"/>
      <c r="B10" s="21" t="s">
        <v>804</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30" customHeight="1">
      <c r="A12" s="88"/>
      <c r="B12" s="21" t="s">
        <v>805</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27.75" customHeight="1">
      <c r="A15" s="90">
        <v>1</v>
      </c>
      <c r="B15" s="174" t="s">
        <v>323</v>
      </c>
      <c r="C15" s="175">
        <v>6.2</v>
      </c>
      <c r="D15" s="183" t="s">
        <v>313</v>
      </c>
      <c r="E15" s="176">
        <f>F15+G15+H15</f>
        <v>705</v>
      </c>
      <c r="F15" s="176">
        <v>270</v>
      </c>
      <c r="G15" s="176">
        <f t="shared" ref="G15:G21" si="0">IF(C15&lt;3.33,165,IF(C15&lt;4.32,175,IF(C15&lt;4.4,200,IF(C15&lt;5.76,220,IF(C15&lt;6.2,260,315)))))</f>
        <v>315</v>
      </c>
      <c r="H15" s="176">
        <f t="shared" ref="H15:H21" si="1">IF(C15&lt;3.33,70,IF(C15&lt;4.32,90,IF(C15&lt;4.4,100,120)))</f>
        <v>120</v>
      </c>
      <c r="I15" s="176">
        <f>J15+K15+L15</f>
        <v>117</v>
      </c>
      <c r="J15" s="176">
        <f>IF(D15="TK",F15*0.3,IF(D15="PK",F15*0.25,IF(OR(D15="TBM",D15="BTLCD"),F15*0.2,IF(OR(D15="PCTCD",D15="CTCD"),F15*0.1,IF(OR(D15="TLĐT",D15="CVHT"),F15*0.15,IF(D15="NCS",F15*0.7,0))))))</f>
        <v>54</v>
      </c>
      <c r="K15" s="176">
        <f>IF(D15="TK",G15*0.3,IF(D15="PK",G15*0.25,IF(OR(D15="TBM",D15="BTLCD"),G15*0.2,IF(OR(D15="PCTCD",D15="CTCD"),F15*0.1,IF(OR(D15="TLĐT",D15="NCS,TLĐT",D15="NCS,CVHT",D15="CVHT"),G15*0.15,0)))))</f>
        <v>63</v>
      </c>
      <c r="L15" s="176">
        <f>IF(OR(D15="NCS",D15="NCS,TLĐT"),H15*0.7,0)</f>
        <v>0</v>
      </c>
      <c r="M15" s="176">
        <f>N15+O15+P15</f>
        <v>588</v>
      </c>
      <c r="N15" s="176">
        <f t="shared" ref="N15:P16" si="2">F15-J15</f>
        <v>216</v>
      </c>
      <c r="O15" s="176">
        <f t="shared" si="2"/>
        <v>252</v>
      </c>
      <c r="P15" s="176">
        <f t="shared" si="2"/>
        <v>120</v>
      </c>
      <c r="Q15" s="223" t="s">
        <v>556</v>
      </c>
    </row>
    <row r="16" spans="1:17" s="3" customFormat="1" ht="27.75" customHeight="1">
      <c r="A16" s="90">
        <v>2</v>
      </c>
      <c r="B16" s="774" t="s">
        <v>802</v>
      </c>
      <c r="C16" s="775">
        <v>3.66</v>
      </c>
      <c r="D16" s="183" t="s">
        <v>803</v>
      </c>
      <c r="E16" s="176">
        <f>F16+G16+H16</f>
        <v>535</v>
      </c>
      <c r="F16" s="776">
        <v>270</v>
      </c>
      <c r="G16" s="776">
        <v>175</v>
      </c>
      <c r="H16" s="176">
        <f t="shared" si="1"/>
        <v>90</v>
      </c>
      <c r="I16" s="176">
        <f>J16+K16+L16</f>
        <v>133.5</v>
      </c>
      <c r="J16" s="176">
        <f t="shared" ref="J16:J23" si="3">IF(D16="TK",F16*0.3,IF(D16="PK",F16*0.25,IF(OR(D16="TBM",D16="BTLCD"),F16*0.2,IF(OR(D16="PCTCD",D16="CTCD"),F16*0.1,IF(OR(D16="TLĐT",D16="CVHT"),F16*0.15,IF(D16="NCS",F16*0.7,0))))))</f>
        <v>81</v>
      </c>
      <c r="K16" s="176">
        <f t="shared" ref="K16:K23" si="4">IF(D16="TK",G16*0.3,IF(D16="PK",G16*0.25,IF(OR(D16="TBM",D16="BTLCD"),G16*0.2,IF(OR(D16="PCTCD",D16="CTCD"),F16*0.1,IF(OR(D16="TLĐT",D16="NCS,TLĐT",D16="NCS,CVHT",D16="CVHT"),G16*0.15,0)))))</f>
        <v>52.5</v>
      </c>
      <c r="L16" s="176">
        <f>IF(OR(D16="NCS",D16="NCS,TLĐT"),H16*0.7,0)</f>
        <v>0</v>
      </c>
      <c r="M16" s="176">
        <f>N16+O16+P16</f>
        <v>401.5</v>
      </c>
      <c r="N16" s="176">
        <f t="shared" si="2"/>
        <v>189</v>
      </c>
      <c r="O16" s="176">
        <f t="shared" si="2"/>
        <v>122.5</v>
      </c>
      <c r="P16" s="176">
        <f t="shared" si="2"/>
        <v>90</v>
      </c>
      <c r="Q16" s="579" t="s">
        <v>807</v>
      </c>
    </row>
    <row r="17" spans="1:17" s="3" customFormat="1" ht="15.75" customHeight="1">
      <c r="A17" s="90">
        <v>3</v>
      </c>
      <c r="B17" s="185" t="s">
        <v>324</v>
      </c>
      <c r="C17" s="175">
        <v>3.66</v>
      </c>
      <c r="D17" s="183" t="s">
        <v>806</v>
      </c>
      <c r="E17" s="176">
        <f t="shared" ref="E17:E23" si="5">F17+G17+H17</f>
        <v>535</v>
      </c>
      <c r="F17" s="176">
        <v>270</v>
      </c>
      <c r="G17" s="176">
        <f t="shared" si="0"/>
        <v>175</v>
      </c>
      <c r="H17" s="176">
        <f t="shared" si="1"/>
        <v>90</v>
      </c>
      <c r="I17" s="176">
        <f t="shared" ref="I17:I23" si="6">J17+K17+L17</f>
        <v>54</v>
      </c>
      <c r="J17" s="176">
        <f t="shared" si="3"/>
        <v>27</v>
      </c>
      <c r="K17" s="176">
        <f t="shared" si="4"/>
        <v>27</v>
      </c>
      <c r="L17" s="176">
        <f>IF(OR(D17="NCS",D17="NCS,TLĐT"),H17*0.7,0)</f>
        <v>0</v>
      </c>
      <c r="M17" s="176">
        <f t="shared" ref="M17:M23" si="7">N17+O17+P17</f>
        <v>481</v>
      </c>
      <c r="N17" s="176">
        <f t="shared" ref="N17:N24" si="8">F17-J17</f>
        <v>243</v>
      </c>
      <c r="O17" s="176">
        <f t="shared" ref="O17:P23" si="9">G17-K17</f>
        <v>148</v>
      </c>
      <c r="P17" s="176">
        <f t="shared" si="9"/>
        <v>90</v>
      </c>
      <c r="Q17" s="187" t="s">
        <v>808</v>
      </c>
    </row>
    <row r="18" spans="1:17" s="3" customFormat="1" ht="30" customHeight="1">
      <c r="A18" s="90">
        <v>4</v>
      </c>
      <c r="B18" s="174" t="s">
        <v>325</v>
      </c>
      <c r="C18" s="367">
        <v>3.33</v>
      </c>
      <c r="D18" s="183" t="s">
        <v>314</v>
      </c>
      <c r="E18" s="176">
        <f t="shared" si="5"/>
        <v>535</v>
      </c>
      <c r="F18" s="176">
        <v>270</v>
      </c>
      <c r="G18" s="176">
        <f t="shared" si="0"/>
        <v>175</v>
      </c>
      <c r="H18" s="176">
        <f t="shared" si="1"/>
        <v>90</v>
      </c>
      <c r="I18" s="176">
        <f t="shared" si="6"/>
        <v>66.75</v>
      </c>
      <c r="J18" s="176">
        <f t="shared" si="3"/>
        <v>40.5</v>
      </c>
      <c r="K18" s="176">
        <f t="shared" si="4"/>
        <v>26.25</v>
      </c>
      <c r="L18" s="176">
        <f t="shared" ref="L18:L23" si="10">IF(OR(D18="NCS",D18="NCS,TLĐT",D18="NCS,CVHT"),H18*0.7,0)</f>
        <v>0</v>
      </c>
      <c r="M18" s="176">
        <f t="shared" si="7"/>
        <v>468.25</v>
      </c>
      <c r="N18" s="176">
        <f t="shared" si="8"/>
        <v>229.5</v>
      </c>
      <c r="O18" s="176">
        <f t="shared" si="9"/>
        <v>148.75</v>
      </c>
      <c r="P18" s="176">
        <f t="shared" si="9"/>
        <v>90</v>
      </c>
      <c r="Q18" s="222" t="s">
        <v>809</v>
      </c>
    </row>
    <row r="19" spans="1:17" s="3" customFormat="1" ht="30" customHeight="1">
      <c r="A19" s="90">
        <v>5</v>
      </c>
      <c r="B19" s="186" t="s">
        <v>326</v>
      </c>
      <c r="C19" s="368">
        <v>3</v>
      </c>
      <c r="D19" s="183" t="s">
        <v>332</v>
      </c>
      <c r="E19" s="176">
        <f t="shared" si="5"/>
        <v>505</v>
      </c>
      <c r="F19" s="176">
        <v>270</v>
      </c>
      <c r="G19" s="176">
        <f t="shared" si="0"/>
        <v>165</v>
      </c>
      <c r="H19" s="176">
        <f t="shared" si="1"/>
        <v>70</v>
      </c>
      <c r="I19" s="176">
        <f t="shared" si="6"/>
        <v>65.25</v>
      </c>
      <c r="J19" s="176">
        <f t="shared" si="3"/>
        <v>40.5</v>
      </c>
      <c r="K19" s="176">
        <f t="shared" si="4"/>
        <v>24.75</v>
      </c>
      <c r="L19" s="176">
        <f t="shared" si="10"/>
        <v>0</v>
      </c>
      <c r="M19" s="176">
        <f t="shared" si="7"/>
        <v>439.75</v>
      </c>
      <c r="N19" s="176">
        <f t="shared" si="8"/>
        <v>229.5</v>
      </c>
      <c r="O19" s="176">
        <f t="shared" si="9"/>
        <v>140.25</v>
      </c>
      <c r="P19" s="176">
        <f t="shared" si="9"/>
        <v>70</v>
      </c>
      <c r="Q19" s="222" t="s">
        <v>537</v>
      </c>
    </row>
    <row r="20" spans="1:17" s="3" customFormat="1" ht="15.75" customHeight="1">
      <c r="A20" s="90">
        <v>6</v>
      </c>
      <c r="B20" s="186" t="s">
        <v>327</v>
      </c>
      <c r="C20" s="368">
        <v>3</v>
      </c>
      <c r="D20" s="183" t="s">
        <v>332</v>
      </c>
      <c r="E20" s="176">
        <f t="shared" si="5"/>
        <v>505</v>
      </c>
      <c r="F20" s="176">
        <v>270</v>
      </c>
      <c r="G20" s="176">
        <f t="shared" si="0"/>
        <v>165</v>
      </c>
      <c r="H20" s="176">
        <f t="shared" si="1"/>
        <v>70</v>
      </c>
      <c r="I20" s="176">
        <f t="shared" si="6"/>
        <v>65.25</v>
      </c>
      <c r="J20" s="176">
        <f t="shared" si="3"/>
        <v>40.5</v>
      </c>
      <c r="K20" s="176">
        <f t="shared" si="4"/>
        <v>24.75</v>
      </c>
      <c r="L20" s="176">
        <f t="shared" si="10"/>
        <v>0</v>
      </c>
      <c r="M20" s="176">
        <f t="shared" si="7"/>
        <v>439.75</v>
      </c>
      <c r="N20" s="176">
        <f t="shared" si="8"/>
        <v>229.5</v>
      </c>
      <c r="O20" s="176">
        <f t="shared" si="9"/>
        <v>140.25</v>
      </c>
      <c r="P20" s="176">
        <f t="shared" si="9"/>
        <v>70</v>
      </c>
      <c r="Q20" s="188" t="s">
        <v>537</v>
      </c>
    </row>
    <row r="21" spans="1:17" s="3" customFormat="1" ht="15.75" customHeight="1">
      <c r="A21" s="90">
        <v>7</v>
      </c>
      <c r="B21" s="174" t="s">
        <v>328</v>
      </c>
      <c r="C21" s="175">
        <v>6.78</v>
      </c>
      <c r="D21" s="183"/>
      <c r="E21" s="176">
        <f t="shared" si="5"/>
        <v>705</v>
      </c>
      <c r="F21" s="176">
        <v>270</v>
      </c>
      <c r="G21" s="176">
        <f t="shared" si="0"/>
        <v>315</v>
      </c>
      <c r="H21" s="176">
        <f t="shared" si="1"/>
        <v>120</v>
      </c>
      <c r="I21" s="176">
        <f t="shared" si="6"/>
        <v>0</v>
      </c>
      <c r="J21" s="176">
        <f t="shared" si="3"/>
        <v>0</v>
      </c>
      <c r="K21" s="176">
        <f t="shared" si="4"/>
        <v>0</v>
      </c>
      <c r="L21" s="176">
        <f t="shared" si="10"/>
        <v>0</v>
      </c>
      <c r="M21" s="176">
        <f t="shared" si="7"/>
        <v>705</v>
      </c>
      <c r="N21" s="176">
        <f t="shared" si="8"/>
        <v>270</v>
      </c>
      <c r="O21" s="176">
        <f t="shared" si="9"/>
        <v>315</v>
      </c>
      <c r="P21" s="176">
        <f t="shared" si="9"/>
        <v>120</v>
      </c>
      <c r="Q21" s="178"/>
    </row>
    <row r="22" spans="1:17" s="3" customFormat="1" ht="15.75" customHeight="1">
      <c r="A22" s="90">
        <v>8</v>
      </c>
      <c r="B22" s="174" t="s">
        <v>329</v>
      </c>
      <c r="C22" s="175">
        <v>3.99</v>
      </c>
      <c r="D22" s="183"/>
      <c r="E22" s="176">
        <f t="shared" si="5"/>
        <v>0</v>
      </c>
      <c r="F22" s="176">
        <v>0</v>
      </c>
      <c r="G22" s="176">
        <v>0</v>
      </c>
      <c r="H22" s="176">
        <v>0</v>
      </c>
      <c r="I22" s="176">
        <f t="shared" si="6"/>
        <v>0</v>
      </c>
      <c r="J22" s="176">
        <f t="shared" si="3"/>
        <v>0</v>
      </c>
      <c r="K22" s="176">
        <f t="shared" si="4"/>
        <v>0</v>
      </c>
      <c r="L22" s="176">
        <f t="shared" si="10"/>
        <v>0</v>
      </c>
      <c r="M22" s="176">
        <f t="shared" si="7"/>
        <v>0</v>
      </c>
      <c r="N22" s="176">
        <f t="shared" si="8"/>
        <v>0</v>
      </c>
      <c r="O22" s="176">
        <f t="shared" si="9"/>
        <v>0</v>
      </c>
      <c r="P22" s="176">
        <f t="shared" si="9"/>
        <v>0</v>
      </c>
      <c r="Q22" s="177" t="s">
        <v>582</v>
      </c>
    </row>
    <row r="23" spans="1:17" s="3" customFormat="1" ht="15.75" customHeight="1">
      <c r="A23" s="90">
        <v>9</v>
      </c>
      <c r="B23" s="181" t="s">
        <v>330</v>
      </c>
      <c r="C23" s="182">
        <v>3.99</v>
      </c>
      <c r="D23" s="183"/>
      <c r="E23" s="176">
        <f t="shared" si="5"/>
        <v>0</v>
      </c>
      <c r="F23" s="176">
        <v>0</v>
      </c>
      <c r="G23" s="176">
        <v>0</v>
      </c>
      <c r="H23" s="176">
        <v>0</v>
      </c>
      <c r="I23" s="176">
        <f t="shared" si="6"/>
        <v>0</v>
      </c>
      <c r="J23" s="176">
        <f t="shared" si="3"/>
        <v>0</v>
      </c>
      <c r="K23" s="176">
        <f t="shared" si="4"/>
        <v>0</v>
      </c>
      <c r="L23" s="176">
        <f t="shared" si="10"/>
        <v>0</v>
      </c>
      <c r="M23" s="176">
        <f t="shared" si="7"/>
        <v>0</v>
      </c>
      <c r="N23" s="176">
        <f t="shared" si="8"/>
        <v>0</v>
      </c>
      <c r="O23" s="176">
        <f t="shared" si="9"/>
        <v>0</v>
      </c>
      <c r="P23" s="176">
        <f t="shared" si="9"/>
        <v>0</v>
      </c>
      <c r="Q23" s="178" t="s">
        <v>583</v>
      </c>
    </row>
    <row r="24" spans="1:17" s="3" customFormat="1" ht="15.75" customHeight="1">
      <c r="B24" s="96"/>
      <c r="C24" s="96"/>
      <c r="D24" s="97"/>
      <c r="E24" s="98"/>
      <c r="F24" s="98"/>
      <c r="G24" s="98"/>
      <c r="H24" s="98"/>
      <c r="I24" s="98"/>
      <c r="J24" s="98"/>
      <c r="K24" s="98"/>
      <c r="L24" s="98"/>
      <c r="M24" s="98"/>
      <c r="N24" s="176">
        <f t="shared" si="8"/>
        <v>0</v>
      </c>
      <c r="O24" s="98"/>
      <c r="P24" s="98"/>
      <c r="Q24" s="99"/>
    </row>
    <row r="25" spans="1:17" s="3" customFormat="1" ht="15.75" customHeight="1" thickBot="1">
      <c r="A25" s="1630" t="s">
        <v>322</v>
      </c>
      <c r="B25" s="1631"/>
      <c r="C25" s="170"/>
      <c r="D25" s="100"/>
      <c r="E25" s="184">
        <f>SUM(E15:E23)</f>
        <v>4025</v>
      </c>
      <c r="F25" s="184">
        <f t="shared" ref="F25:P25" si="11">SUM(F15:F23)</f>
        <v>1890</v>
      </c>
      <c r="G25" s="184">
        <f t="shared" si="11"/>
        <v>1485</v>
      </c>
      <c r="H25" s="184">
        <f t="shared" si="11"/>
        <v>650</v>
      </c>
      <c r="I25" s="184">
        <f t="shared" si="11"/>
        <v>501.75</v>
      </c>
      <c r="J25" s="184">
        <f t="shared" si="11"/>
        <v>283.5</v>
      </c>
      <c r="K25" s="184">
        <f t="shared" si="11"/>
        <v>218.25</v>
      </c>
      <c r="L25" s="184">
        <f t="shared" si="11"/>
        <v>0</v>
      </c>
      <c r="M25" s="184">
        <f t="shared" si="11"/>
        <v>3523.25</v>
      </c>
      <c r="N25" s="184">
        <f t="shared" si="11"/>
        <v>1606.5</v>
      </c>
      <c r="O25" s="184">
        <f t="shared" si="11"/>
        <v>1266.75</v>
      </c>
      <c r="P25" s="184">
        <f t="shared" si="11"/>
        <v>650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0"/>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83203125" style="2" customWidth="1"/>
    <col min="3" max="3" width="7.83203125" style="2" customWidth="1"/>
    <col min="4" max="4" width="7.6640625" style="2" customWidth="1"/>
    <col min="5" max="6" width="5.6640625" customWidth="1"/>
    <col min="7" max="7" width="6.5" customWidth="1"/>
    <col min="8" max="8" width="6.6640625" customWidth="1"/>
    <col min="9" max="10" width="5.6640625" customWidth="1"/>
    <col min="11" max="11" width="6.1640625" customWidth="1"/>
    <col min="12" max="12" width="9.164062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1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1.75" customHeight="1">
      <c r="A8" s="86"/>
      <c r="B8" s="19" t="s">
        <v>821</v>
      </c>
      <c r="C8" s="19"/>
      <c r="D8" s="22"/>
      <c r="E8" s="22"/>
      <c r="F8" s="22"/>
      <c r="G8" s="22"/>
      <c r="H8" s="22"/>
      <c r="I8" s="22"/>
      <c r="J8" s="22"/>
      <c r="K8" s="22"/>
      <c r="L8" s="22"/>
      <c r="M8" s="22"/>
      <c r="N8" s="22"/>
      <c r="O8" s="22"/>
      <c r="P8" s="22"/>
      <c r="Q8" s="87"/>
    </row>
    <row r="9" spans="1:17" s="18" customFormat="1" ht="18.75" customHeight="1">
      <c r="A9" s="88"/>
      <c r="B9" s="21" t="s">
        <v>539</v>
      </c>
      <c r="C9" s="21"/>
      <c r="D9" s="20"/>
      <c r="E9" s="20"/>
      <c r="F9" s="20"/>
      <c r="G9" s="20"/>
      <c r="H9" s="20"/>
      <c r="I9" s="20"/>
      <c r="J9" s="20"/>
      <c r="K9" s="20"/>
      <c r="L9" s="20"/>
      <c r="M9" s="20"/>
      <c r="N9" s="20"/>
      <c r="O9" s="20"/>
      <c r="P9" s="20"/>
      <c r="Q9" s="89"/>
    </row>
    <row r="10" spans="1:17" s="18" customFormat="1" ht="18.75" customHeight="1">
      <c r="A10" s="88"/>
      <c r="B10" s="21" t="s">
        <v>822</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24" customHeight="1">
      <c r="A12" s="88"/>
      <c r="B12" s="21" t="s">
        <v>823</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701">
        <v>1</v>
      </c>
      <c r="B15" s="181" t="s">
        <v>315</v>
      </c>
      <c r="C15" s="175">
        <v>4.42</v>
      </c>
      <c r="D15" s="183" t="s">
        <v>312</v>
      </c>
      <c r="E15" s="176">
        <f t="shared" ref="E15:E22" si="0">F15+G15+H15</f>
        <v>610</v>
      </c>
      <c r="F15" s="176">
        <v>270</v>
      </c>
      <c r="G15" s="176">
        <f t="shared" ref="G15:G24" si="1">IF(C15&lt;3.33,165,IF(C15&lt;4.32,175,IF(C15&lt;4.4,200,IF(C15&lt;5.76,220,IF(C15&lt;6.2,260,315)))))</f>
        <v>220</v>
      </c>
      <c r="H15" s="176">
        <f t="shared" ref="H15:H24" si="2">IF(C15&lt;3.33,70,IF(C15&lt;4.32,90,IF(C15&lt;4.4,100,120)))</f>
        <v>120</v>
      </c>
      <c r="I15" s="176">
        <f t="shared" ref="I15:I22" si="3">J15+K15+L15</f>
        <v>122.5</v>
      </c>
      <c r="J15" s="176">
        <f>IF(D15="CTHSVT",F15*0.6,IF(D15="TK",F15*0.3,IF(D15="PK",F15*0.25,IF(OR(D15="TBM",D15="BTLCD"),F15*0.2,IF(OR(D15="PCTCD",D15="CTCD"),F15*0.1,IF(OR(D15="TLĐT",D17="CVHT"),F15*0.15,IF(D15="NCS",F15*0.7,0)))))))</f>
        <v>67.5</v>
      </c>
      <c r="K15" s="176">
        <f>IF(D15="CTHSVT",G15*0.6,IF(D15="TK",G15*0.3,IF(D15="PK",G15*0.25,IF(OR(D15="TBM",D15="BTLCD"),G15*0.2,IF(OR(D15="PCTCD",D15="CTCD"),G15*0.1,IF(OR(D15="TLĐT",D17="CVHT"),G15*0.15,IF(D15="NCS",G15*0.7,0)))))))</f>
        <v>55</v>
      </c>
      <c r="L15" s="176">
        <f>IF(OR(D17="NCS",D17="NCS,TLĐT"),H15*0.7,0)</f>
        <v>0</v>
      </c>
      <c r="M15" s="176">
        <f t="shared" ref="M15:M22" si="4">N15+O15+P15</f>
        <v>487.5</v>
      </c>
      <c r="N15" s="176">
        <f t="shared" ref="N15:P23" si="5">F15-J15</f>
        <v>202.5</v>
      </c>
      <c r="O15" s="176">
        <f t="shared" si="5"/>
        <v>165</v>
      </c>
      <c r="P15" s="176">
        <f t="shared" si="5"/>
        <v>120</v>
      </c>
      <c r="Q15" s="177" t="s">
        <v>300</v>
      </c>
    </row>
    <row r="16" spans="1:17" s="3" customFormat="1" ht="15.75" customHeight="1">
      <c r="A16" s="90">
        <v>2</v>
      </c>
      <c r="B16" s="181" t="s">
        <v>316</v>
      </c>
      <c r="C16" s="175">
        <v>3.66</v>
      </c>
      <c r="D16" s="183"/>
      <c r="E16" s="176">
        <f t="shared" si="0"/>
        <v>535</v>
      </c>
      <c r="F16" s="176">
        <v>270</v>
      </c>
      <c r="G16" s="176">
        <f t="shared" si="1"/>
        <v>175</v>
      </c>
      <c r="H16" s="176">
        <f t="shared" si="2"/>
        <v>90</v>
      </c>
      <c r="I16" s="176">
        <f t="shared" si="3"/>
        <v>0</v>
      </c>
      <c r="J16" s="176">
        <f>IF(D16="CTHSVT",F16*0.6,IF(D16="TK",F16*0.3,IF(D16="PK",F16*0.25,IF(OR(D16="TBM",D16="BTLCD"),F16*0.2,IF(OR(D16="PCTCD",D16="CTCD"),F16*0.1,IF(OR(D16="TLĐT",D18="CVHT"),F16*0.15,IF(D16="NCS",F16*0.7,0)))))))</f>
        <v>0</v>
      </c>
      <c r="K16" s="176">
        <f>IF(D18="CTHSVT",G16*0.6,IF(D18="TK",G16*0.3,IF(D18="PK",G16*0.25,IF(OR(D18="TBM",D18="BTLCD"),G16*0.2,IF(OR(D18="PCTCD",D18="CTCD"),F16*0.1,IF(OR(D18="TLĐT",D18="NCS,TLĐT",D18="NCS,CVHT",D18="CVHT"),G16*0.15,0))))))</f>
        <v>0</v>
      </c>
      <c r="L16" s="176">
        <f>IF(OR(D18="NCS",D18="NCS,TLĐT"),H16*0.7,0)</f>
        <v>0</v>
      </c>
      <c r="M16" s="176">
        <f t="shared" si="4"/>
        <v>535</v>
      </c>
      <c r="N16" s="176">
        <f t="shared" si="5"/>
        <v>270</v>
      </c>
      <c r="O16" s="176">
        <f t="shared" si="5"/>
        <v>175</v>
      </c>
      <c r="P16" s="176">
        <f t="shared" si="5"/>
        <v>90</v>
      </c>
      <c r="Q16" s="178"/>
    </row>
    <row r="17" spans="1:17" s="3" customFormat="1" ht="15.75" customHeight="1">
      <c r="A17" s="90">
        <v>3</v>
      </c>
      <c r="B17" s="181" t="s">
        <v>317</v>
      </c>
      <c r="C17" s="180">
        <v>4.32</v>
      </c>
      <c r="D17" s="183" t="s">
        <v>313</v>
      </c>
      <c r="E17" s="176">
        <f t="shared" si="0"/>
        <v>570</v>
      </c>
      <c r="F17" s="176">
        <v>270</v>
      </c>
      <c r="G17" s="176">
        <f t="shared" si="1"/>
        <v>200</v>
      </c>
      <c r="H17" s="176">
        <f t="shared" si="2"/>
        <v>100</v>
      </c>
      <c r="I17" s="176">
        <f t="shared" si="3"/>
        <v>54</v>
      </c>
      <c r="J17" s="176">
        <f>IF(D17="CTHSVT",F17*0.6,IF(D17="TK",F17*0.3,IF(D17="PK",F17*0.25,IF(OR(D17="TBM",D17="BTLCD"),F17*0.2,IF(OR(D17="PCTCD",D17="CTCD"),F17*0.1,IF(OR(D17="TLĐT",D19="CVHT"),F17*0.15,IF(D17="NCS",F17*0.7,0)))))))</f>
        <v>54</v>
      </c>
      <c r="K17" s="176">
        <f>IF(E17="CTHSVT",G17*0.6,IF(E17="TK",G17*0.3,IF(E17="PK",G17*0.25,IF(OR(E17="TBM",E17="BTLCD"),G17*0.2,IF(OR(E17="PCTCD",E17="CTCD"),G17*0.1,IF(OR(E17="TLĐT",E19="CVHT"),G17*0.15,IF(E17="NCS",G17*0.7,0)))))))</f>
        <v>0</v>
      </c>
      <c r="L17" s="176">
        <f>IF(OR(D19="NCS",D19="NCS,TLĐT"),H17*0.7,0)</f>
        <v>0</v>
      </c>
      <c r="M17" s="176">
        <f t="shared" si="4"/>
        <v>516</v>
      </c>
      <c r="N17" s="176">
        <f t="shared" si="5"/>
        <v>216</v>
      </c>
      <c r="O17" s="176">
        <f t="shared" si="5"/>
        <v>200</v>
      </c>
      <c r="P17" s="176">
        <f t="shared" si="5"/>
        <v>100</v>
      </c>
      <c r="Q17" s="178" t="s">
        <v>302</v>
      </c>
    </row>
    <row r="18" spans="1:17" s="3" customFormat="1" ht="15.75" customHeight="1">
      <c r="A18" s="90">
        <v>4</v>
      </c>
      <c r="B18" s="181" t="s">
        <v>318</v>
      </c>
      <c r="C18" s="175">
        <v>3.66</v>
      </c>
      <c r="D18" s="183"/>
      <c r="E18" s="176">
        <f t="shared" si="0"/>
        <v>535</v>
      </c>
      <c r="F18" s="176">
        <v>270</v>
      </c>
      <c r="G18" s="176">
        <f t="shared" si="1"/>
        <v>175</v>
      </c>
      <c r="H18" s="176">
        <f t="shared" si="2"/>
        <v>90</v>
      </c>
      <c r="I18" s="176">
        <f t="shared" si="3"/>
        <v>0</v>
      </c>
      <c r="J18" s="176">
        <f>IF(D20="CTHSVT",F18*0.6,IF(D20="TK",F18*0.3,IF(D20="PK",F18*0.25,IF(OR(D20="TBM",D20="BTLCD"),F18*0.2,IF(OR(D20="PCTCD",D20="CTCD"),F18*0.1,IF(OR(D20="TLĐT",D20="CVHT"),F18*0.15,IF(D20="NCS",F18*0.7,0)))))))</f>
        <v>0</v>
      </c>
      <c r="K18" s="176">
        <f t="shared" ref="K18:K24" si="6">IF(D18="CTHSVT",G18*0.6,IF(D18="TK",G18*0.3,IF(D18="PK",G18*0.25,IF(OR(D18="TBM",D18="BTLCD"),G18*0.2,IF(OR(D18="PCTCD",D18="CTCD"),F18*0.1,IF(OR(D18="TLĐT",D18="NCS,TLĐT",D18="NCS,CVHT",D18="CVHT"),G18*0.15,0))))))</f>
        <v>0</v>
      </c>
      <c r="L18" s="176">
        <f t="shared" ref="L18:L23" si="7">IF(OR(D18="NCS",D18="NCS,TLĐT"),H18*0.7,0)</f>
        <v>0</v>
      </c>
      <c r="M18" s="176">
        <f t="shared" si="4"/>
        <v>535</v>
      </c>
      <c r="N18" s="176">
        <f t="shared" si="5"/>
        <v>270</v>
      </c>
      <c r="O18" s="176">
        <f t="shared" si="5"/>
        <v>175</v>
      </c>
      <c r="P18" s="176">
        <f t="shared" si="5"/>
        <v>90</v>
      </c>
      <c r="Q18" s="178"/>
    </row>
    <row r="19" spans="1:17" s="3" customFormat="1" ht="15.75" customHeight="1">
      <c r="A19" s="90">
        <v>5</v>
      </c>
      <c r="B19" s="181" t="s">
        <v>319</v>
      </c>
      <c r="C19" s="175">
        <v>3.66</v>
      </c>
      <c r="D19" s="183" t="s">
        <v>332</v>
      </c>
      <c r="E19" s="176">
        <f t="shared" si="0"/>
        <v>535</v>
      </c>
      <c r="F19" s="176">
        <v>270</v>
      </c>
      <c r="G19" s="176">
        <f t="shared" si="1"/>
        <v>175</v>
      </c>
      <c r="H19" s="176">
        <f t="shared" si="2"/>
        <v>90</v>
      </c>
      <c r="I19" s="176">
        <f t="shared" si="3"/>
        <v>66.75</v>
      </c>
      <c r="J19" s="176">
        <f t="shared" ref="J19:J24" si="8">IF(D19="CTHSVT",F19*0.6,IF(D19="TK",F19*0.3,IF(D19="PK",F19*0.25,IF(OR(D19="TBM",D19="BTLCD"),F19*0.2,IF(OR(D19="PCTCD",D19="CTCD"),F19*0.1,IF(OR(D19="TLĐT",D19="CVHT"),F19*0.15,IF(D19="NCS",F19*0.7,0)))))))</f>
        <v>40.5</v>
      </c>
      <c r="K19" s="176">
        <f t="shared" si="6"/>
        <v>26.25</v>
      </c>
      <c r="L19" s="176">
        <f t="shared" si="7"/>
        <v>0</v>
      </c>
      <c r="M19" s="176">
        <f t="shared" si="4"/>
        <v>468.25</v>
      </c>
      <c r="N19" s="176">
        <f t="shared" si="5"/>
        <v>229.5</v>
      </c>
      <c r="O19" s="176">
        <f t="shared" si="5"/>
        <v>148.75</v>
      </c>
      <c r="P19" s="176">
        <f t="shared" si="5"/>
        <v>90</v>
      </c>
      <c r="Q19" s="178"/>
    </row>
    <row r="20" spans="1:17" s="3" customFormat="1" ht="15.75" customHeight="1">
      <c r="A20" s="90">
        <v>6</v>
      </c>
      <c r="B20" s="174" t="s">
        <v>580</v>
      </c>
      <c r="C20" s="175">
        <v>3.33</v>
      </c>
      <c r="D20" s="183"/>
      <c r="E20" s="176">
        <f t="shared" si="0"/>
        <v>535</v>
      </c>
      <c r="F20" s="176">
        <v>270</v>
      </c>
      <c r="G20" s="176">
        <f t="shared" si="1"/>
        <v>175</v>
      </c>
      <c r="H20" s="176">
        <f t="shared" si="2"/>
        <v>90</v>
      </c>
      <c r="I20" s="176">
        <f t="shared" si="3"/>
        <v>0</v>
      </c>
      <c r="J20" s="176">
        <f t="shared" si="8"/>
        <v>0</v>
      </c>
      <c r="K20" s="176">
        <f t="shared" si="6"/>
        <v>0</v>
      </c>
      <c r="L20" s="176">
        <f t="shared" si="7"/>
        <v>0</v>
      </c>
      <c r="M20" s="176">
        <f t="shared" si="4"/>
        <v>535</v>
      </c>
      <c r="N20" s="176">
        <f t="shared" si="5"/>
        <v>270</v>
      </c>
      <c r="O20" s="176">
        <f t="shared" si="5"/>
        <v>175</v>
      </c>
      <c r="P20" s="176">
        <f t="shared" si="5"/>
        <v>90</v>
      </c>
      <c r="Q20" s="177"/>
    </row>
    <row r="21" spans="1:17" s="3" customFormat="1" ht="15.75" customHeight="1">
      <c r="A21" s="90">
        <v>7</v>
      </c>
      <c r="B21" s="181" t="s">
        <v>320</v>
      </c>
      <c r="C21" s="182">
        <v>4.6500000000000004</v>
      </c>
      <c r="D21" s="183"/>
      <c r="E21" s="176">
        <f t="shared" si="0"/>
        <v>610</v>
      </c>
      <c r="F21" s="176">
        <v>270</v>
      </c>
      <c r="G21" s="176">
        <f t="shared" si="1"/>
        <v>220</v>
      </c>
      <c r="H21" s="176">
        <f t="shared" si="2"/>
        <v>120</v>
      </c>
      <c r="I21" s="176">
        <f t="shared" si="3"/>
        <v>0</v>
      </c>
      <c r="J21" s="176">
        <f t="shared" si="8"/>
        <v>0</v>
      </c>
      <c r="K21" s="176">
        <f t="shared" si="6"/>
        <v>0</v>
      </c>
      <c r="L21" s="176">
        <f t="shared" si="7"/>
        <v>0</v>
      </c>
      <c r="M21" s="176">
        <f t="shared" si="4"/>
        <v>610</v>
      </c>
      <c r="N21" s="176">
        <f t="shared" si="5"/>
        <v>270</v>
      </c>
      <c r="O21" s="176">
        <f t="shared" si="5"/>
        <v>220</v>
      </c>
      <c r="P21" s="176">
        <f t="shared" si="5"/>
        <v>120</v>
      </c>
      <c r="Q21" s="178"/>
    </row>
    <row r="22" spans="1:17" s="3" customFormat="1" ht="15.75" customHeight="1">
      <c r="A22" s="90">
        <v>8</v>
      </c>
      <c r="B22" s="181" t="s">
        <v>321</v>
      </c>
      <c r="C22" s="175">
        <v>4.9800000000000004</v>
      </c>
      <c r="D22" s="97"/>
      <c r="E22" s="176">
        <f t="shared" si="0"/>
        <v>610</v>
      </c>
      <c r="F22" s="176">
        <v>270</v>
      </c>
      <c r="G22" s="176">
        <f t="shared" si="1"/>
        <v>220</v>
      </c>
      <c r="H22" s="176">
        <f t="shared" si="2"/>
        <v>120</v>
      </c>
      <c r="I22" s="176">
        <f t="shared" si="3"/>
        <v>0</v>
      </c>
      <c r="J22" s="176">
        <f t="shared" si="8"/>
        <v>0</v>
      </c>
      <c r="K22" s="176">
        <f t="shared" si="6"/>
        <v>0</v>
      </c>
      <c r="L22" s="176">
        <f t="shared" si="7"/>
        <v>0</v>
      </c>
      <c r="M22" s="176">
        <f t="shared" si="4"/>
        <v>610</v>
      </c>
      <c r="N22" s="176">
        <f t="shared" si="5"/>
        <v>270</v>
      </c>
      <c r="O22" s="176">
        <f t="shared" si="5"/>
        <v>220</v>
      </c>
      <c r="P22" s="176">
        <f t="shared" si="5"/>
        <v>120</v>
      </c>
      <c r="Q22" s="99"/>
    </row>
    <row r="23" spans="1:17" s="3" customFormat="1" ht="15.75" customHeight="1">
      <c r="A23" s="90">
        <v>9</v>
      </c>
      <c r="B23" s="377" t="s">
        <v>592</v>
      </c>
      <c r="C23" s="777">
        <v>2.67</v>
      </c>
      <c r="D23" s="183"/>
      <c r="E23" s="378">
        <v>535</v>
      </c>
      <c r="F23" s="378">
        <v>270</v>
      </c>
      <c r="G23" s="176">
        <f t="shared" si="1"/>
        <v>165</v>
      </c>
      <c r="H23" s="176">
        <f t="shared" si="2"/>
        <v>70</v>
      </c>
      <c r="I23" s="378">
        <v>0</v>
      </c>
      <c r="J23" s="176">
        <f t="shared" si="8"/>
        <v>0</v>
      </c>
      <c r="K23" s="176">
        <f t="shared" si="6"/>
        <v>0</v>
      </c>
      <c r="L23" s="176">
        <f t="shared" si="7"/>
        <v>0</v>
      </c>
      <c r="M23" s="176">
        <f>N23+O23+P23</f>
        <v>505</v>
      </c>
      <c r="N23" s="176">
        <f t="shared" si="5"/>
        <v>270</v>
      </c>
      <c r="O23" s="176">
        <f t="shared" si="5"/>
        <v>165</v>
      </c>
      <c r="P23" s="176">
        <f t="shared" si="5"/>
        <v>70</v>
      </c>
      <c r="Q23" s="99"/>
    </row>
    <row r="24" spans="1:17" s="3" customFormat="1" ht="32" customHeight="1">
      <c r="A24" s="376">
        <v>10</v>
      </c>
      <c r="B24" s="397" t="s">
        <v>593</v>
      </c>
      <c r="C24" s="778">
        <v>2.34</v>
      </c>
      <c r="D24" s="183" t="s">
        <v>820</v>
      </c>
      <c r="E24" s="176">
        <f>F24+G24+H24</f>
        <v>505</v>
      </c>
      <c r="F24" s="176">
        <v>270</v>
      </c>
      <c r="G24" s="176">
        <f t="shared" si="1"/>
        <v>165</v>
      </c>
      <c r="H24" s="176">
        <f t="shared" si="2"/>
        <v>70</v>
      </c>
      <c r="I24" s="176">
        <f>J24+K24+L24</f>
        <v>261</v>
      </c>
      <c r="J24" s="176">
        <f t="shared" si="8"/>
        <v>162</v>
      </c>
      <c r="K24" s="176">
        <f t="shared" si="6"/>
        <v>99</v>
      </c>
      <c r="L24" s="176">
        <f>IF(OR(D24="NCS",D24="NCS,TLĐT"),H24*0.7,0)</f>
        <v>0</v>
      </c>
      <c r="M24" s="176">
        <f>N24+O24+P24</f>
        <v>244</v>
      </c>
      <c r="N24" s="176">
        <f>F24-J24</f>
        <v>108</v>
      </c>
      <c r="O24" s="176">
        <f>G24-K24</f>
        <v>66</v>
      </c>
      <c r="P24" s="176">
        <f>H24-L24</f>
        <v>70</v>
      </c>
      <c r="Q24" s="173" t="s">
        <v>934</v>
      </c>
    </row>
    <row r="25" spans="1:17" s="3" customFormat="1" ht="15.75" customHeight="1" thickBot="1">
      <c r="A25" s="1630" t="s">
        <v>322</v>
      </c>
      <c r="B25" s="1631"/>
      <c r="C25" s="170"/>
      <c r="D25" s="100"/>
      <c r="E25" s="184">
        <f t="shared" ref="E25:P25" si="9">SUM(E15:E24)</f>
        <v>5580</v>
      </c>
      <c r="F25" s="184">
        <f t="shared" si="9"/>
        <v>2700</v>
      </c>
      <c r="G25" s="184">
        <f>SUM(G15:G24)</f>
        <v>1890</v>
      </c>
      <c r="H25" s="184">
        <f>SUM(H15:H24)</f>
        <v>960</v>
      </c>
      <c r="I25" s="184">
        <f t="shared" si="9"/>
        <v>504.25</v>
      </c>
      <c r="J25" s="184">
        <f t="shared" si="9"/>
        <v>324</v>
      </c>
      <c r="K25" s="184">
        <f t="shared" si="9"/>
        <v>180.25</v>
      </c>
      <c r="L25" s="184">
        <f t="shared" si="9"/>
        <v>0</v>
      </c>
      <c r="M25" s="184">
        <f t="shared" si="9"/>
        <v>5045.75</v>
      </c>
      <c r="N25" s="184">
        <f t="shared" si="9"/>
        <v>2376</v>
      </c>
      <c r="O25" s="184">
        <f t="shared" si="9"/>
        <v>1709.75</v>
      </c>
      <c r="P25" s="184">
        <f t="shared" si="9"/>
        <v>960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ignoredErrors>
    <ignoredError sqref="J25" emptyCellReferenc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Q29"/>
  <sheetViews>
    <sheetView zoomScale="115" zoomScaleNormal="115" zoomScalePageLayoutView="115" workbookViewId="0">
      <pane xSplit="2" ySplit="7" topLeftCell="C9"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5" style="2" customWidth="1"/>
    <col min="3" max="3" width="7.83203125"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83203125" customWidth="1"/>
    <col min="13" max="13" width="5.6640625" customWidth="1"/>
    <col min="14" max="15" width="6.5" customWidth="1"/>
    <col min="16" max="16" width="7.1640625" customWidth="1"/>
    <col min="17" max="17" width="20.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983</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53" t="s">
        <v>14</v>
      </c>
      <c r="F6" s="53" t="s">
        <v>11</v>
      </c>
      <c r="G6" s="53" t="s">
        <v>12</v>
      </c>
      <c r="H6" s="53" t="s">
        <v>13</v>
      </c>
      <c r="I6" s="53" t="s">
        <v>14</v>
      </c>
      <c r="J6" s="53" t="s">
        <v>11</v>
      </c>
      <c r="K6" s="53" t="s">
        <v>12</v>
      </c>
      <c r="L6" s="53" t="s">
        <v>13</v>
      </c>
      <c r="M6" s="53" t="s">
        <v>14</v>
      </c>
      <c r="N6" s="53" t="s">
        <v>11</v>
      </c>
      <c r="O6" s="53" t="s">
        <v>12</v>
      </c>
      <c r="P6" s="53"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2.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541</v>
      </c>
      <c r="C9" s="21"/>
      <c r="D9" s="20"/>
      <c r="E9" s="20"/>
      <c r="F9" s="20"/>
      <c r="G9" s="20"/>
      <c r="H9" s="20"/>
      <c r="I9" s="20"/>
      <c r="J9" s="20"/>
      <c r="K9" s="20"/>
      <c r="L9" s="20"/>
      <c r="M9" s="20"/>
      <c r="N9" s="20"/>
      <c r="O9" s="20"/>
      <c r="P9" s="20"/>
      <c r="Q9" s="89"/>
    </row>
    <row r="10" spans="1:17" s="18" customFormat="1" ht="18.75" customHeight="1">
      <c r="A10" s="88"/>
      <c r="B10" s="21" t="s">
        <v>540</v>
      </c>
      <c r="C10" s="21"/>
      <c r="D10" s="20"/>
      <c r="E10" s="20"/>
      <c r="F10" s="20"/>
      <c r="G10" s="20"/>
      <c r="H10" s="20"/>
      <c r="I10" s="20"/>
      <c r="J10" s="20"/>
      <c r="K10" s="20"/>
      <c r="L10" s="20"/>
      <c r="M10" s="20"/>
      <c r="N10" s="20"/>
      <c r="O10" s="20"/>
      <c r="P10" s="20"/>
      <c r="Q10" s="89"/>
    </row>
    <row r="11" spans="1:17" s="18" customFormat="1" ht="24.75" customHeight="1">
      <c r="A11" s="88"/>
      <c r="B11" s="21" t="s">
        <v>297</v>
      </c>
      <c r="C11" s="21"/>
      <c r="D11" s="20"/>
      <c r="E11" s="20"/>
      <c r="F11" s="20"/>
      <c r="G11" s="20"/>
      <c r="H11" s="20"/>
      <c r="I11" s="20"/>
      <c r="J11" s="20"/>
      <c r="K11" s="20"/>
      <c r="L11" s="20"/>
      <c r="M11" s="20"/>
      <c r="N11" s="20"/>
      <c r="O11" s="20"/>
      <c r="P11" s="20"/>
      <c r="Q11" s="89"/>
    </row>
    <row r="12" spans="1:17" s="18" customFormat="1" ht="30.75" customHeight="1">
      <c r="A12" s="88"/>
      <c r="B12" s="21" t="s">
        <v>924</v>
      </c>
      <c r="C12" s="21"/>
      <c r="D12" s="20"/>
      <c r="E12" s="20"/>
      <c r="F12" s="20"/>
      <c r="G12" s="20"/>
      <c r="H12" s="20"/>
      <c r="I12" s="20"/>
      <c r="J12" s="20"/>
      <c r="K12" s="20"/>
      <c r="L12" s="20"/>
      <c r="M12" s="20"/>
      <c r="N12" s="20"/>
      <c r="O12" s="20"/>
      <c r="P12" s="20"/>
      <c r="Q12" s="89"/>
    </row>
    <row r="13" spans="1:17" s="18" customFormat="1" ht="21" customHeight="1">
      <c r="A13" s="88"/>
      <c r="B13" s="21" t="s">
        <v>923</v>
      </c>
      <c r="C13" s="21"/>
      <c r="D13" s="20"/>
      <c r="E13" s="20"/>
      <c r="F13" s="20"/>
      <c r="G13" s="20"/>
      <c r="H13" s="20"/>
      <c r="I13" s="20"/>
      <c r="J13" s="20"/>
      <c r="K13" s="20"/>
      <c r="L13" s="20"/>
      <c r="M13" s="20"/>
      <c r="N13" s="20"/>
      <c r="O13" s="20"/>
      <c r="P13" s="20"/>
      <c r="Q13" s="89"/>
    </row>
    <row r="14" spans="1:17" s="3" customFormat="1" ht="15.75" customHeight="1">
      <c r="A14" s="90">
        <v>1</v>
      </c>
      <c r="B14" s="174" t="s">
        <v>299</v>
      </c>
      <c r="C14" s="175">
        <v>6.2</v>
      </c>
      <c r="D14" s="183" t="s">
        <v>312</v>
      </c>
      <c r="E14" s="176">
        <f>F14+G14+H14</f>
        <v>705</v>
      </c>
      <c r="F14" s="176">
        <v>270</v>
      </c>
      <c r="G14" s="176">
        <f>IF(C14&lt;3.33,165,IF(C14&lt;4.32,175,IF(C14&lt;4.4,200,IF(C14&lt;5.76,220,IF(C14&lt;6.2,260,315)))))</f>
        <v>315</v>
      </c>
      <c r="H14" s="176">
        <f>IF(C14&lt;3.33,70,IF(C14&lt;4.32,90,IF(C14&lt;4.4,100,120)))</f>
        <v>120</v>
      </c>
      <c r="I14" s="176">
        <f>J14+K14+L14</f>
        <v>146.25</v>
      </c>
      <c r="J14" s="176">
        <f>IF(D14="CTHSVT",F14*0.6,IF(D14="TK",F14*0.3,IF(D14="PK",F14*0.25,IF(OR(D14="TBM",D14="BTLCD"),F14*0.2,IF(OR(D14="PCTCD",D14="CTCD"),F14*0.1,IF(OR(D14="TLĐT",D14="CVHT"),F14*0.15,IF(D14="NCS",F14*0.7,0)))))))</f>
        <v>67.5</v>
      </c>
      <c r="K14" s="176">
        <f>IF(D14="CTHSVT",G14*0.6,IF(D14="TK",G14*0.3,IF(D14="PK",G14*0.25,IF(OR(D14="TBM",D14="BTLCD"),G14*0.2,IF(OR(D14="PCTCD",D14="CTCD"),F14*0.1,IF(OR(D14="TLĐT",D14="NCS,TLĐT",D14="NCS,CVHT",D14="CVHT"),G14*0.15,0))))))</f>
        <v>78.75</v>
      </c>
      <c r="L14" s="176">
        <f>IF(OR(D14="NCS",D14="NCS,TLĐT"),H14*0.7,0)</f>
        <v>0</v>
      </c>
      <c r="M14" s="176">
        <f>N14+O14+P14</f>
        <v>558.75</v>
      </c>
      <c r="N14" s="176">
        <f>F14-J14</f>
        <v>202.5</v>
      </c>
      <c r="O14" s="176">
        <f>G14-K14</f>
        <v>236.25</v>
      </c>
      <c r="P14" s="176">
        <f>H14-L14</f>
        <v>120</v>
      </c>
      <c r="Q14" s="177" t="s">
        <v>300</v>
      </c>
    </row>
    <row r="15" spans="1:17" s="3" customFormat="1" ht="15.75" customHeight="1">
      <c r="A15" s="90">
        <v>2</v>
      </c>
      <c r="B15" s="174" t="s">
        <v>301</v>
      </c>
      <c r="C15" s="175">
        <v>5.08</v>
      </c>
      <c r="D15" s="183" t="s">
        <v>313</v>
      </c>
      <c r="E15" s="176">
        <f t="shared" ref="E15:E22" si="0">F15+G15+H15</f>
        <v>610</v>
      </c>
      <c r="F15" s="176">
        <v>270</v>
      </c>
      <c r="G15" s="176">
        <f t="shared" ref="G15:G22" si="1">IF(C15&lt;3.33,165,IF(C15&lt;4.32,175,IF(C15&lt;4.4,200,IF(C15&lt;5.76,220,IF(C15&lt;6.2,260,315)))))</f>
        <v>220</v>
      </c>
      <c r="H15" s="176">
        <f t="shared" ref="H15:H22" si="2">IF(C15&lt;3.33,70,IF(C15&lt;4.32,90,IF(C15&lt;4.4,100,120)))</f>
        <v>120</v>
      </c>
      <c r="I15" s="176">
        <f t="shared" ref="I15:I22" si="3">J15+K15+L15</f>
        <v>98</v>
      </c>
      <c r="J15" s="176">
        <f t="shared" ref="J15:J22" si="4">IF(D15="CTHSVT",F15*0.6,IF(D15="TK",F15*0.3,IF(D15="PK",F15*0.25,IF(OR(D15="TBM",D15="BTLCD"),F15*0.2,IF(OR(D15="PCTCD",D15="CTCD"),F15*0.1,IF(OR(D15="TLĐT",D15="CVHT"),F15*0.15,IF(D15="NCS",F15*0.7,0)))))))</f>
        <v>54</v>
      </c>
      <c r="K15" s="176">
        <f t="shared" ref="K15:K22" si="5">IF(D15="CTHSVT",G15*0.6,IF(D15="TK",G15*0.3,IF(D15="PK",G15*0.25,IF(OR(D15="TBM",D15="BTLCD"),G15*0.2,IF(OR(D15="PCTCD",D15="CTCD"),F15*0.1,IF(OR(D15="TLĐT",D15="NCS,TLĐT",D15="NCS,CVHT",D15="CVHT"),G15*0.15,0))))))</f>
        <v>44</v>
      </c>
      <c r="L15" s="176">
        <f t="shared" ref="L15:L22" si="6">IF(OR(D15="NCS",D15="NCS,TLĐT"),H15*0.7,0)</f>
        <v>0</v>
      </c>
      <c r="M15" s="176">
        <f t="shared" ref="M15:M22" si="7">N15+O15+P15</f>
        <v>512</v>
      </c>
      <c r="N15" s="176">
        <f t="shared" ref="N15:N22" si="8">F15-J15</f>
        <v>216</v>
      </c>
      <c r="O15" s="176">
        <f t="shared" ref="O15:O22" si="9">G15-K15</f>
        <v>176</v>
      </c>
      <c r="P15" s="176">
        <f t="shared" ref="P15:P22" si="10">H15-L15</f>
        <v>120</v>
      </c>
      <c r="Q15" s="178" t="s">
        <v>302</v>
      </c>
    </row>
    <row r="16" spans="1:17" s="3" customFormat="1" ht="15.75" customHeight="1">
      <c r="A16" s="90">
        <v>3</v>
      </c>
      <c r="B16" s="174" t="s">
        <v>303</v>
      </c>
      <c r="C16" s="175">
        <v>4.32</v>
      </c>
      <c r="D16" s="183" t="s">
        <v>314</v>
      </c>
      <c r="E16" s="176">
        <f t="shared" si="0"/>
        <v>570</v>
      </c>
      <c r="F16" s="176">
        <v>270</v>
      </c>
      <c r="G16" s="176">
        <f t="shared" si="1"/>
        <v>200</v>
      </c>
      <c r="H16" s="176">
        <f t="shared" si="2"/>
        <v>100</v>
      </c>
      <c r="I16" s="176">
        <f t="shared" si="3"/>
        <v>70.5</v>
      </c>
      <c r="J16" s="176">
        <f t="shared" si="4"/>
        <v>40.5</v>
      </c>
      <c r="K16" s="176">
        <f t="shared" si="5"/>
        <v>30</v>
      </c>
      <c r="L16" s="176">
        <f t="shared" si="6"/>
        <v>0</v>
      </c>
      <c r="M16" s="176">
        <f t="shared" si="7"/>
        <v>499.5</v>
      </c>
      <c r="N16" s="176">
        <f t="shared" si="8"/>
        <v>229.5</v>
      </c>
      <c r="O16" s="176">
        <f t="shared" si="9"/>
        <v>170</v>
      </c>
      <c r="P16" s="176">
        <f t="shared" si="10"/>
        <v>100</v>
      </c>
      <c r="Q16" s="178" t="s">
        <v>304</v>
      </c>
    </row>
    <row r="17" spans="1:17" s="3" customFormat="1" ht="21" customHeight="1">
      <c r="A17" s="90">
        <v>4</v>
      </c>
      <c r="B17" s="179" t="s">
        <v>305</v>
      </c>
      <c r="C17" s="180">
        <v>3</v>
      </c>
      <c r="D17" s="183"/>
      <c r="E17" s="176">
        <f t="shared" si="0"/>
        <v>505</v>
      </c>
      <c r="F17" s="176">
        <v>270</v>
      </c>
      <c r="G17" s="176">
        <f t="shared" si="1"/>
        <v>165</v>
      </c>
      <c r="H17" s="176">
        <f t="shared" si="2"/>
        <v>70</v>
      </c>
      <c r="I17" s="176">
        <f t="shared" si="3"/>
        <v>0</v>
      </c>
      <c r="J17" s="176">
        <f t="shared" si="4"/>
        <v>0</v>
      </c>
      <c r="K17" s="176">
        <f t="shared" si="5"/>
        <v>0</v>
      </c>
      <c r="L17" s="176">
        <f t="shared" si="6"/>
        <v>0</v>
      </c>
      <c r="M17" s="176">
        <f t="shared" si="7"/>
        <v>505</v>
      </c>
      <c r="N17" s="176">
        <f t="shared" si="8"/>
        <v>270</v>
      </c>
      <c r="O17" s="176">
        <f t="shared" si="9"/>
        <v>165</v>
      </c>
      <c r="P17" s="176">
        <f t="shared" si="10"/>
        <v>70</v>
      </c>
      <c r="Q17" s="223"/>
    </row>
    <row r="18" spans="1:17" s="3" customFormat="1" ht="15.75" customHeight="1">
      <c r="A18" s="90">
        <v>5</v>
      </c>
      <c r="B18" s="174" t="s">
        <v>307</v>
      </c>
      <c r="C18" s="175">
        <v>3.99</v>
      </c>
      <c r="D18" s="183"/>
      <c r="E18" s="176">
        <f t="shared" si="0"/>
        <v>535</v>
      </c>
      <c r="F18" s="176">
        <v>270</v>
      </c>
      <c r="G18" s="176">
        <f t="shared" si="1"/>
        <v>175</v>
      </c>
      <c r="H18" s="176">
        <f t="shared" si="2"/>
        <v>90</v>
      </c>
      <c r="I18" s="176">
        <f t="shared" si="3"/>
        <v>0</v>
      </c>
      <c r="J18" s="176">
        <f t="shared" si="4"/>
        <v>0</v>
      </c>
      <c r="K18" s="176">
        <f t="shared" si="5"/>
        <v>0</v>
      </c>
      <c r="L18" s="176">
        <f t="shared" si="6"/>
        <v>0</v>
      </c>
      <c r="M18" s="176">
        <f t="shared" si="7"/>
        <v>535</v>
      </c>
      <c r="N18" s="176">
        <f t="shared" si="8"/>
        <v>270</v>
      </c>
      <c r="O18" s="176">
        <f t="shared" si="9"/>
        <v>175</v>
      </c>
      <c r="P18" s="176">
        <f t="shared" si="10"/>
        <v>90</v>
      </c>
      <c r="Q18" s="173"/>
    </row>
    <row r="19" spans="1:17" s="3" customFormat="1" ht="15.75" customHeight="1">
      <c r="A19" s="90">
        <v>6</v>
      </c>
      <c r="B19" s="174" t="s">
        <v>306</v>
      </c>
      <c r="C19" s="175">
        <v>3.33</v>
      </c>
      <c r="D19" s="183"/>
      <c r="E19" s="176">
        <f t="shared" si="0"/>
        <v>535</v>
      </c>
      <c r="F19" s="176">
        <v>270</v>
      </c>
      <c r="G19" s="176">
        <f t="shared" si="1"/>
        <v>175</v>
      </c>
      <c r="H19" s="176">
        <f t="shared" si="2"/>
        <v>90</v>
      </c>
      <c r="I19" s="176">
        <f t="shared" si="3"/>
        <v>0</v>
      </c>
      <c r="J19" s="176">
        <f t="shared" si="4"/>
        <v>0</v>
      </c>
      <c r="K19" s="176">
        <f t="shared" si="5"/>
        <v>0</v>
      </c>
      <c r="L19" s="176">
        <f>IF(D19="NCS",H19*0.7,0)</f>
        <v>0</v>
      </c>
      <c r="M19" s="176">
        <f t="shared" si="7"/>
        <v>535</v>
      </c>
      <c r="N19" s="176">
        <f t="shared" si="8"/>
        <v>270</v>
      </c>
      <c r="O19" s="176">
        <f t="shared" si="9"/>
        <v>175</v>
      </c>
      <c r="P19" s="176">
        <f t="shared" si="10"/>
        <v>90</v>
      </c>
      <c r="Q19" s="178" t="s">
        <v>308</v>
      </c>
    </row>
    <row r="20" spans="1:17" s="3" customFormat="1" ht="15.75" customHeight="1">
      <c r="A20" s="90">
        <v>7</v>
      </c>
      <c r="B20" s="174" t="s">
        <v>309</v>
      </c>
      <c r="C20" s="175">
        <v>4.6500000000000004</v>
      </c>
      <c r="D20" s="183" t="s">
        <v>581</v>
      </c>
      <c r="E20" s="176">
        <f t="shared" si="0"/>
        <v>472</v>
      </c>
      <c r="F20" s="176">
        <v>472</v>
      </c>
      <c r="G20" s="176">
        <v>0</v>
      </c>
      <c r="H20" s="176">
        <v>0</v>
      </c>
      <c r="I20" s="176">
        <f t="shared" si="3"/>
        <v>0</v>
      </c>
      <c r="J20" s="176">
        <f t="shared" si="4"/>
        <v>0</v>
      </c>
      <c r="K20" s="176">
        <f t="shared" si="5"/>
        <v>0</v>
      </c>
      <c r="L20" s="176">
        <f t="shared" si="6"/>
        <v>0</v>
      </c>
      <c r="M20" s="176">
        <f t="shared" si="7"/>
        <v>472</v>
      </c>
      <c r="N20" s="176">
        <f t="shared" si="8"/>
        <v>472</v>
      </c>
      <c r="O20" s="176">
        <f t="shared" si="9"/>
        <v>0</v>
      </c>
      <c r="P20" s="176">
        <f t="shared" si="10"/>
        <v>0</v>
      </c>
      <c r="Q20" s="183" t="s">
        <v>581</v>
      </c>
    </row>
    <row r="21" spans="1:17" s="3" customFormat="1" ht="15.75" customHeight="1">
      <c r="A21" s="90">
        <v>8</v>
      </c>
      <c r="B21" s="181" t="s">
        <v>310</v>
      </c>
      <c r="C21" s="182">
        <v>3.99</v>
      </c>
      <c r="D21" s="183"/>
      <c r="E21" s="176">
        <f t="shared" si="0"/>
        <v>535</v>
      </c>
      <c r="F21" s="176">
        <v>270</v>
      </c>
      <c r="G21" s="176">
        <f t="shared" si="1"/>
        <v>175</v>
      </c>
      <c r="H21" s="176">
        <f t="shared" si="2"/>
        <v>90</v>
      </c>
      <c r="I21" s="176">
        <f t="shared" si="3"/>
        <v>0</v>
      </c>
      <c r="J21" s="176">
        <f t="shared" si="4"/>
        <v>0</v>
      </c>
      <c r="K21" s="176">
        <f t="shared" si="5"/>
        <v>0</v>
      </c>
      <c r="L21" s="176">
        <f t="shared" si="6"/>
        <v>0</v>
      </c>
      <c r="M21" s="176">
        <f t="shared" si="7"/>
        <v>535</v>
      </c>
      <c r="N21" s="176">
        <f t="shared" si="8"/>
        <v>270</v>
      </c>
      <c r="O21" s="176">
        <f t="shared" si="9"/>
        <v>175</v>
      </c>
      <c r="P21" s="176">
        <f t="shared" si="10"/>
        <v>90</v>
      </c>
      <c r="Q21" s="178"/>
    </row>
    <row r="22" spans="1:17" s="3" customFormat="1" ht="15.75" customHeight="1">
      <c r="A22" s="90">
        <v>9</v>
      </c>
      <c r="B22" s="96" t="s">
        <v>311</v>
      </c>
      <c r="C22" s="97">
        <v>4.32</v>
      </c>
      <c r="D22" s="97" t="s">
        <v>312</v>
      </c>
      <c r="E22" s="176">
        <f t="shared" si="0"/>
        <v>570</v>
      </c>
      <c r="F22" s="176">
        <v>270</v>
      </c>
      <c r="G22" s="176">
        <f t="shared" si="1"/>
        <v>200</v>
      </c>
      <c r="H22" s="176">
        <f t="shared" si="2"/>
        <v>100</v>
      </c>
      <c r="I22" s="176">
        <f t="shared" si="3"/>
        <v>117.5</v>
      </c>
      <c r="J22" s="176">
        <f t="shared" si="4"/>
        <v>67.5</v>
      </c>
      <c r="K22" s="176">
        <f t="shared" si="5"/>
        <v>50</v>
      </c>
      <c r="L22" s="176">
        <f t="shared" si="6"/>
        <v>0</v>
      </c>
      <c r="M22" s="176">
        <f t="shared" si="7"/>
        <v>452.5</v>
      </c>
      <c r="N22" s="176">
        <f t="shared" si="8"/>
        <v>202.5</v>
      </c>
      <c r="O22" s="176">
        <f t="shared" si="9"/>
        <v>150</v>
      </c>
      <c r="P22" s="176">
        <f t="shared" si="10"/>
        <v>100</v>
      </c>
      <c r="Q22" s="177" t="s">
        <v>300</v>
      </c>
    </row>
    <row r="23" spans="1:17" s="3" customFormat="1" ht="15.75" customHeight="1">
      <c r="A23" s="95"/>
      <c r="B23" s="96"/>
      <c r="C23" s="96"/>
      <c r="D23" s="97"/>
      <c r="E23" s="98"/>
      <c r="F23" s="98"/>
      <c r="G23" s="98"/>
      <c r="H23" s="98"/>
      <c r="I23" s="98"/>
      <c r="J23" s="98"/>
      <c r="K23" s="98"/>
      <c r="L23" s="98"/>
      <c r="M23" s="98"/>
      <c r="N23" s="98"/>
      <c r="O23" s="98"/>
      <c r="P23" s="98"/>
      <c r="Q23" s="99"/>
    </row>
    <row r="24" spans="1:17" s="3" customFormat="1" ht="15.75" customHeight="1" thickBot="1">
      <c r="A24" s="1630" t="s">
        <v>322</v>
      </c>
      <c r="B24" s="1631"/>
      <c r="C24" s="170"/>
      <c r="D24" s="100"/>
      <c r="E24" s="184">
        <f>SUM(E14:E22)</f>
        <v>5037</v>
      </c>
      <c r="F24" s="184">
        <f t="shared" ref="F24:P24" si="11">SUM(F14:F22)</f>
        <v>2632</v>
      </c>
      <c r="G24" s="184">
        <f t="shared" si="11"/>
        <v>1625</v>
      </c>
      <c r="H24" s="184">
        <f t="shared" si="11"/>
        <v>780</v>
      </c>
      <c r="I24" s="184">
        <f t="shared" si="11"/>
        <v>432.25</v>
      </c>
      <c r="J24" s="184">
        <f t="shared" si="11"/>
        <v>229.5</v>
      </c>
      <c r="K24" s="184">
        <f t="shared" si="11"/>
        <v>202.75</v>
      </c>
      <c r="L24" s="184">
        <f t="shared" si="11"/>
        <v>0</v>
      </c>
      <c r="M24" s="184">
        <f t="shared" si="11"/>
        <v>4604.75</v>
      </c>
      <c r="N24" s="513">
        <f>F24-J24</f>
        <v>2402.5</v>
      </c>
      <c r="O24" s="184">
        <f t="shared" si="11"/>
        <v>1422.25</v>
      </c>
      <c r="P24" s="184">
        <f t="shared" si="11"/>
        <v>780</v>
      </c>
      <c r="Q24" s="101"/>
    </row>
    <row r="25" spans="1:17" ht="14" thickTop="1">
      <c r="A25" s="14"/>
      <c r="B25" s="10"/>
      <c r="C25" s="10"/>
      <c r="D25" s="10"/>
      <c r="E25" s="1632" t="s">
        <v>919</v>
      </c>
      <c r="F25" s="1632"/>
      <c r="G25" s="1632"/>
      <c r="H25" s="1632"/>
      <c r="I25" s="1632"/>
      <c r="J25" s="1632"/>
      <c r="K25" s="1632"/>
      <c r="L25" s="1632"/>
      <c r="M25" s="1632"/>
      <c r="N25" s="1632"/>
      <c r="O25" s="1632"/>
      <c r="P25" s="1632"/>
      <c r="Q25" s="1632"/>
    </row>
    <row r="26" spans="1:17">
      <c r="A26" s="14"/>
      <c r="B26" s="15"/>
      <c r="C26" s="15"/>
      <c r="D26" s="10"/>
      <c r="F26" s="102"/>
      <c r="G26" s="102"/>
      <c r="H26" s="102"/>
      <c r="I26" s="102"/>
      <c r="J26" s="102"/>
      <c r="K26" s="102"/>
      <c r="L26" s="102"/>
      <c r="M26" s="102"/>
      <c r="N26" s="1555"/>
      <c r="O26" s="1555"/>
      <c r="P26" s="1555"/>
      <c r="Q26" s="1555"/>
    </row>
    <row r="27" spans="1:17" ht="27" customHeight="1">
      <c r="A27" s="1633" t="s">
        <v>238</v>
      </c>
      <c r="B27" s="1633"/>
      <c r="C27" s="1633"/>
      <c r="D27" s="1633"/>
      <c r="E27" s="1633"/>
      <c r="F27" s="1633"/>
      <c r="G27" s="1633"/>
      <c r="H27" s="1633"/>
      <c r="I27" s="1633"/>
      <c r="J27" s="1633"/>
      <c r="K27" s="1633"/>
      <c r="L27" s="1633"/>
      <c r="M27" s="1633"/>
      <c r="N27" s="23"/>
      <c r="O27" s="23"/>
      <c r="P27" s="23"/>
      <c r="Q27" s="23"/>
    </row>
    <row r="28" spans="1:17">
      <c r="A28" s="14"/>
      <c r="B28" s="16"/>
      <c r="C28" s="16"/>
      <c r="D28" s="10"/>
      <c r="E28" s="1555"/>
      <c r="F28" s="1555"/>
      <c r="G28" s="1555"/>
      <c r="H28" s="1555"/>
      <c r="I28" s="1555"/>
      <c r="J28" s="1555"/>
      <c r="K28" s="1555"/>
      <c r="L28" s="1555"/>
      <c r="M28" s="1555"/>
      <c r="N28" s="1555"/>
      <c r="O28" s="1555"/>
      <c r="P28" s="1555"/>
      <c r="Q28" s="1555"/>
    </row>
    <row r="29" spans="1:17">
      <c r="A29" s="14"/>
      <c r="B29" s="10"/>
      <c r="C29" s="10"/>
      <c r="D29" s="10"/>
      <c r="E29" s="1627"/>
      <c r="F29" s="1627"/>
      <c r="G29" s="1627"/>
      <c r="H29" s="1627"/>
      <c r="I29" s="1627"/>
      <c r="J29" s="1627"/>
      <c r="K29" s="1627"/>
      <c r="L29" s="1627"/>
      <c r="M29" s="1627"/>
      <c r="N29" s="1627"/>
      <c r="O29" s="1627"/>
      <c r="P29" s="1627"/>
      <c r="Q29" s="1627"/>
    </row>
  </sheetData>
  <mergeCells count="19">
    <mergeCell ref="A24:B24"/>
    <mergeCell ref="A3:Q3"/>
    <mergeCell ref="E5:H5"/>
    <mergeCell ref="E28:Q28"/>
    <mergeCell ref="E29:Q29"/>
    <mergeCell ref="E25:Q25"/>
    <mergeCell ref="E2:P2"/>
    <mergeCell ref="E1:P1"/>
    <mergeCell ref="N26:Q26"/>
    <mergeCell ref="A27:M27"/>
    <mergeCell ref="H4:Q4"/>
    <mergeCell ref="Q5:Q6"/>
    <mergeCell ref="M5:P5"/>
    <mergeCell ref="I5:L5"/>
    <mergeCell ref="A5:A6"/>
    <mergeCell ref="B5:B6"/>
    <mergeCell ref="D5:D6"/>
    <mergeCell ref="A1:B1"/>
    <mergeCell ref="A2:B2"/>
  </mergeCells>
  <phoneticPr fontId="3" type="noConversion"/>
  <pageMargins left="0.34" right="0.2" top="0.45" bottom="0.34" header="0.45" footer="0.21"/>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7"/>
  <sheetViews>
    <sheetView zoomScale="115" zoomScaleNormal="115" zoomScalePageLayoutView="115" workbookViewId="0">
      <pane xSplit="2" ySplit="5" topLeftCell="E13" activePane="bottomRight" state="frozen"/>
      <selection pane="topRight" activeCell="C1" sqref="C1"/>
      <selection pane="bottomLeft" activeCell="A8" sqref="A8"/>
      <selection pane="bottomRight" activeCell="B28" sqref="B28"/>
    </sheetView>
  </sheetViews>
  <sheetFormatPr baseColWidth="10" defaultColWidth="8.83203125" defaultRowHeight="13"/>
  <cols>
    <col min="1" max="1" width="5.5" style="785" customWidth="1"/>
    <col min="2" max="2" width="52" style="786" customWidth="1"/>
    <col min="3" max="3" width="9.83203125" style="786" customWidth="1"/>
    <col min="4" max="4" width="12.33203125" style="786" customWidth="1"/>
    <col min="5" max="5" width="12.5" style="786" customWidth="1"/>
    <col min="6" max="6" width="7.83203125" style="786" customWidth="1"/>
    <col min="7" max="7" width="8.6640625" style="786" customWidth="1"/>
    <col min="8" max="8" width="13.6640625" style="710" customWidth="1"/>
    <col min="9" max="9" width="18" style="785" customWidth="1"/>
    <col min="10" max="16384" width="8.83203125" style="781"/>
  </cols>
  <sheetData>
    <row r="1" spans="1:14" ht="14.25" customHeight="1">
      <c r="A1" s="1642" t="s">
        <v>135</v>
      </c>
      <c r="B1" s="1642"/>
      <c r="C1" s="1644"/>
      <c r="D1" s="1644"/>
      <c r="E1" s="1644"/>
      <c r="F1" s="1644"/>
      <c r="G1" s="1644"/>
      <c r="H1" s="712"/>
      <c r="I1" s="760" t="s">
        <v>31</v>
      </c>
      <c r="J1" s="6"/>
      <c r="K1" s="6"/>
      <c r="L1" s="6"/>
      <c r="M1" s="6"/>
      <c r="N1" s="6"/>
    </row>
    <row r="2" spans="1:14">
      <c r="A2" s="1643" t="s">
        <v>344</v>
      </c>
      <c r="B2" s="1643"/>
      <c r="C2" s="1644"/>
      <c r="D2" s="1644"/>
      <c r="E2" s="1644"/>
      <c r="F2" s="1644"/>
      <c r="G2" s="1644"/>
      <c r="H2" s="712"/>
      <c r="I2" s="712"/>
      <c r="J2" s="6"/>
      <c r="K2" s="6"/>
      <c r="L2" s="6"/>
      <c r="M2" s="6"/>
      <c r="N2" s="6"/>
    </row>
    <row r="3" spans="1:14" ht="27" customHeight="1">
      <c r="A3" s="1645" t="s">
        <v>1322</v>
      </c>
      <c r="B3" s="1645"/>
      <c r="C3" s="1645"/>
      <c r="D3" s="1645"/>
      <c r="E3" s="1645"/>
      <c r="F3" s="1645"/>
      <c r="G3" s="1645"/>
      <c r="H3" s="1645"/>
      <c r="I3" s="1645"/>
      <c r="J3" s="6"/>
      <c r="K3" s="6"/>
      <c r="L3" s="6"/>
      <c r="M3" s="6"/>
      <c r="N3" s="6"/>
    </row>
    <row r="4" spans="1:14" ht="14" thickBot="1">
      <c r="A4" s="782"/>
      <c r="B4" s="782"/>
      <c r="C4" s="782"/>
      <c r="D4" s="782"/>
      <c r="E4" s="782"/>
      <c r="F4" s="782"/>
      <c r="G4" s="782"/>
      <c r="H4" s="791"/>
      <c r="I4" s="782" t="s">
        <v>1324</v>
      </c>
      <c r="J4" s="6"/>
      <c r="K4" s="6"/>
      <c r="L4" s="6"/>
      <c r="M4" s="6"/>
      <c r="N4" s="6"/>
    </row>
    <row r="5" spans="1:14" ht="75" customHeight="1" thickTop="1">
      <c r="A5" s="714" t="s">
        <v>0</v>
      </c>
      <c r="B5" s="715" t="s">
        <v>109</v>
      </c>
      <c r="C5" s="715" t="s">
        <v>78</v>
      </c>
      <c r="D5" s="715" t="s">
        <v>18</v>
      </c>
      <c r="E5" s="715" t="s">
        <v>73</v>
      </c>
      <c r="F5" s="715" t="s">
        <v>26</v>
      </c>
      <c r="G5" s="715" t="s">
        <v>69</v>
      </c>
      <c r="H5" s="715" t="s">
        <v>23</v>
      </c>
      <c r="I5" s="783" t="s">
        <v>2</v>
      </c>
      <c r="J5" s="6"/>
      <c r="K5" s="6"/>
      <c r="L5" s="6"/>
      <c r="M5" s="6"/>
      <c r="N5" s="6"/>
    </row>
    <row r="6" spans="1:14" ht="17.25" customHeight="1">
      <c r="A6" s="231" t="s">
        <v>6</v>
      </c>
      <c r="B6" s="232" t="s">
        <v>76</v>
      </c>
      <c r="C6" s="233"/>
      <c r="D6" s="233"/>
      <c r="E6" s="233"/>
      <c r="F6" s="233"/>
      <c r="G6" s="233"/>
      <c r="H6" s="233"/>
      <c r="I6" s="233"/>
      <c r="J6" s="6"/>
      <c r="K6" s="6"/>
      <c r="L6" s="6"/>
      <c r="M6" s="6"/>
      <c r="N6" s="6"/>
    </row>
    <row r="7" spans="1:14" s="3" customFormat="1" ht="18" customHeight="1">
      <c r="A7" s="485" t="s">
        <v>19</v>
      </c>
      <c r="B7" s="490" t="s">
        <v>102</v>
      </c>
      <c r="C7" s="490"/>
      <c r="D7" s="490"/>
      <c r="E7" s="485"/>
      <c r="F7" s="485"/>
      <c r="G7" s="485"/>
      <c r="H7" s="485"/>
      <c r="I7" s="231"/>
      <c r="J7" s="8"/>
      <c r="K7" s="8"/>
      <c r="L7" s="8"/>
      <c r="M7" s="8"/>
      <c r="N7" s="8"/>
    </row>
    <row r="8" spans="1:14" s="3" customFormat="1" ht="18" customHeight="1">
      <c r="A8" s="489" t="s">
        <v>7</v>
      </c>
      <c r="B8" s="490" t="s">
        <v>77</v>
      </c>
      <c r="C8" s="488"/>
      <c r="D8" s="488"/>
      <c r="E8" s="485"/>
      <c r="F8" s="485"/>
      <c r="G8" s="485"/>
      <c r="H8" s="792">
        <f>SUM(H9:H11)</f>
        <v>45550000</v>
      </c>
      <c r="I8" s="231"/>
      <c r="J8" s="8"/>
      <c r="K8" s="8"/>
      <c r="L8" s="8"/>
      <c r="M8" s="8"/>
      <c r="N8" s="8"/>
    </row>
    <row r="9" spans="1:14" s="3" customFormat="1" ht="18" customHeight="1">
      <c r="A9" s="888"/>
      <c r="B9" s="477" t="s">
        <v>880</v>
      </c>
      <c r="C9" s="477"/>
      <c r="D9" s="477"/>
      <c r="E9" s="473"/>
      <c r="F9" s="473">
        <v>1</v>
      </c>
      <c r="G9" s="473"/>
      <c r="H9" s="892">
        <v>16130000</v>
      </c>
      <c r="I9" s="233" t="s">
        <v>354</v>
      </c>
      <c r="J9" s="8"/>
      <c r="K9" s="8"/>
      <c r="L9" s="8"/>
      <c r="M9" s="8"/>
      <c r="N9" s="8"/>
    </row>
    <row r="10" spans="1:14" s="3" customFormat="1" ht="18" customHeight="1">
      <c r="A10" s="489"/>
      <c r="B10" s="488" t="s">
        <v>756</v>
      </c>
      <c r="C10" s="488"/>
      <c r="D10" s="488"/>
      <c r="E10" s="229" t="s">
        <v>346</v>
      </c>
      <c r="F10" s="485">
        <v>2</v>
      </c>
      <c r="G10" s="485"/>
      <c r="H10" s="793">
        <v>21560000</v>
      </c>
      <c r="I10" s="233" t="s">
        <v>354</v>
      </c>
      <c r="J10" s="8"/>
      <c r="K10" s="8"/>
      <c r="L10" s="8"/>
      <c r="M10" s="8"/>
      <c r="N10" s="8"/>
    </row>
    <row r="11" spans="1:14" s="3" customFormat="1" ht="18" customHeight="1">
      <c r="A11" s="489"/>
      <c r="B11" s="488" t="s">
        <v>504</v>
      </c>
      <c r="C11" s="229" t="s">
        <v>485</v>
      </c>
      <c r="D11" s="229" t="s">
        <v>815</v>
      </c>
      <c r="E11" s="229" t="s">
        <v>346</v>
      </c>
      <c r="F11" s="485">
        <v>2</v>
      </c>
      <c r="G11" s="485"/>
      <c r="H11" s="794">
        <v>7860000</v>
      </c>
      <c r="I11" s="233" t="s">
        <v>354</v>
      </c>
      <c r="J11" s="8"/>
      <c r="K11" s="8"/>
      <c r="L11" s="8"/>
      <c r="M11" s="8"/>
      <c r="N11" s="8"/>
    </row>
    <row r="12" spans="1:14" s="3" customFormat="1" ht="18" customHeight="1">
      <c r="A12" s="471" t="s">
        <v>8</v>
      </c>
      <c r="B12" s="472" t="s">
        <v>347</v>
      </c>
      <c r="C12" s="472"/>
      <c r="D12" s="473"/>
      <c r="E12" s="474"/>
      <c r="F12" s="474"/>
      <c r="G12" s="474"/>
      <c r="H12" s="795"/>
      <c r="I12" s="475"/>
      <c r="J12" s="8"/>
      <c r="K12" s="8"/>
      <c r="L12" s="8"/>
      <c r="M12" s="8"/>
      <c r="N12" s="8"/>
    </row>
    <row r="13" spans="1:14" s="3" customFormat="1" ht="18" customHeight="1">
      <c r="A13" s="471">
        <v>1</v>
      </c>
      <c r="B13" s="472" t="s">
        <v>348</v>
      </c>
      <c r="C13" s="472"/>
      <c r="D13" s="473"/>
      <c r="E13" s="474"/>
      <c r="F13" s="474"/>
      <c r="G13" s="474"/>
      <c r="H13" s="796">
        <f>SUM(H14:H16)</f>
        <v>251444000</v>
      </c>
      <c r="I13" s="475"/>
      <c r="J13" s="8"/>
      <c r="K13" s="8"/>
      <c r="L13" s="8"/>
      <c r="M13" s="8"/>
      <c r="N13" s="8"/>
    </row>
    <row r="14" spans="1:14" s="3" customFormat="1" ht="21" customHeight="1">
      <c r="A14" s="476">
        <v>1.1000000000000001</v>
      </c>
      <c r="B14" s="1507" t="s">
        <v>818</v>
      </c>
      <c r="C14" s="1508" t="s">
        <v>357</v>
      </c>
      <c r="D14" s="1508" t="s">
        <v>951</v>
      </c>
      <c r="E14" s="1508" t="s">
        <v>819</v>
      </c>
      <c r="F14" s="1508">
        <v>2</v>
      </c>
      <c r="G14" s="1508">
        <v>4</v>
      </c>
      <c r="H14" s="1509">
        <f>'Dự toán TTSP GDMN k58'!F34</f>
        <v>135200000</v>
      </c>
      <c r="I14" s="927" t="s">
        <v>354</v>
      </c>
      <c r="J14" s="8"/>
      <c r="K14" s="8"/>
      <c r="L14" s="8"/>
      <c r="M14" s="8"/>
      <c r="N14" s="8"/>
    </row>
    <row r="15" spans="1:14" s="3" customFormat="1" ht="21" customHeight="1">
      <c r="A15" s="476">
        <v>1.2</v>
      </c>
      <c r="B15" s="1507" t="s">
        <v>1326</v>
      </c>
      <c r="C15" s="1508" t="s">
        <v>357</v>
      </c>
      <c r="D15" s="1508" t="s">
        <v>952</v>
      </c>
      <c r="E15" s="1510"/>
      <c r="F15" s="1510">
        <v>1</v>
      </c>
      <c r="G15" s="1510">
        <v>2</v>
      </c>
      <c r="H15" s="1511">
        <f>'Dự toán RLNVSP 1 GDMN'!H98</f>
        <v>63642000</v>
      </c>
      <c r="I15" s="1512"/>
      <c r="J15" s="8"/>
      <c r="K15" s="8"/>
      <c r="L15" s="8"/>
      <c r="M15" s="8"/>
      <c r="N15" s="8"/>
    </row>
    <row r="16" spans="1:14" s="3" customFormat="1" ht="27" customHeight="1">
      <c r="A16" s="1504">
        <v>1.3</v>
      </c>
      <c r="B16" s="1507" t="s">
        <v>1325</v>
      </c>
      <c r="C16" s="1508" t="s">
        <v>357</v>
      </c>
      <c r="D16" s="1508" t="s">
        <v>952</v>
      </c>
      <c r="E16" s="1508" t="s">
        <v>953</v>
      </c>
      <c r="F16" s="1508">
        <v>2</v>
      </c>
      <c r="G16" s="1508">
        <v>2</v>
      </c>
      <c r="H16" s="1513">
        <f>'Dự toán RLNVSP2 GDMN'!H110</f>
        <v>52602000</v>
      </c>
      <c r="I16" s="927" t="s">
        <v>354</v>
      </c>
      <c r="J16" s="8"/>
      <c r="K16" s="8"/>
      <c r="L16" s="8"/>
      <c r="M16" s="8"/>
      <c r="N16" s="8"/>
    </row>
    <row r="17" spans="1:14" s="3" customFormat="1" ht="18" customHeight="1">
      <c r="A17" s="238">
        <v>2</v>
      </c>
      <c r="B17" s="239" t="s">
        <v>349</v>
      </c>
      <c r="C17" s="239"/>
      <c r="D17" s="240"/>
      <c r="E17" s="241"/>
      <c r="F17" s="228"/>
      <c r="G17" s="228"/>
      <c r="H17" s="792">
        <f>SUM(H18:H21)</f>
        <v>347034000</v>
      </c>
      <c r="I17" s="233"/>
      <c r="J17" s="8"/>
      <c r="K17" s="8"/>
      <c r="L17" s="8"/>
      <c r="M17" s="8"/>
      <c r="N17" s="8"/>
    </row>
    <row r="18" spans="1:14" s="3" customFormat="1" ht="27" customHeight="1">
      <c r="A18" s="479">
        <v>2.1</v>
      </c>
      <c r="B18" s="480" t="s">
        <v>1327</v>
      </c>
      <c r="C18" s="479" t="s">
        <v>345</v>
      </c>
      <c r="D18" s="479" t="s">
        <v>921</v>
      </c>
      <c r="E18" s="479" t="s">
        <v>857</v>
      </c>
      <c r="F18" s="479">
        <v>2</v>
      </c>
      <c r="G18" s="479">
        <v>2</v>
      </c>
      <c r="H18" s="797">
        <f>'Dự toán hk2 RLNVSP GDTH'!L28</f>
        <v>91520000</v>
      </c>
      <c r="I18" s="475" t="s">
        <v>354</v>
      </c>
      <c r="J18" s="8"/>
      <c r="K18" s="8"/>
      <c r="L18" s="8"/>
      <c r="M18" s="8"/>
      <c r="N18" s="8"/>
    </row>
    <row r="19" spans="1:14" s="3" customFormat="1" ht="18" customHeight="1">
      <c r="A19" s="479">
        <v>2.2000000000000002</v>
      </c>
      <c r="B19" s="480" t="s">
        <v>1328</v>
      </c>
      <c r="C19" s="479" t="s">
        <v>345</v>
      </c>
      <c r="H19" s="1506">
        <f>'Dự toán HK1 RLNV GDTH'!H11</f>
        <v>118300000</v>
      </c>
      <c r="J19" s="8"/>
      <c r="K19" s="8"/>
      <c r="L19" s="8"/>
      <c r="M19" s="8"/>
      <c r="N19" s="8"/>
    </row>
    <row r="20" spans="1:14" s="3" customFormat="1" ht="18" customHeight="1">
      <c r="A20" s="479">
        <v>2.2999999999999998</v>
      </c>
      <c r="B20" s="481" t="s">
        <v>350</v>
      </c>
      <c r="C20" s="479" t="s">
        <v>345</v>
      </c>
      <c r="D20" s="479" t="s">
        <v>920</v>
      </c>
      <c r="E20" s="479" t="s">
        <v>351</v>
      </c>
      <c r="F20" s="479">
        <v>2</v>
      </c>
      <c r="G20" s="479">
        <v>4</v>
      </c>
      <c r="H20" s="798">
        <f>'Dự toán TTSP GDTH'!F34</f>
        <v>124054000</v>
      </c>
      <c r="I20" s="475" t="s">
        <v>354</v>
      </c>
      <c r="J20" s="8"/>
      <c r="K20" s="8"/>
      <c r="L20" s="8"/>
      <c r="M20" s="8"/>
      <c r="N20" s="8"/>
    </row>
    <row r="21" spans="1:14" s="3" customFormat="1" ht="18" customHeight="1">
      <c r="A21" s="228">
        <v>2.4</v>
      </c>
      <c r="B21" s="481" t="s">
        <v>355</v>
      </c>
      <c r="C21" s="479" t="s">
        <v>345</v>
      </c>
      <c r="D21" s="479" t="s">
        <v>356</v>
      </c>
      <c r="E21" s="479" t="s">
        <v>346</v>
      </c>
      <c r="F21" s="479">
        <v>2</v>
      </c>
      <c r="G21" s="479"/>
      <c r="H21" s="799">
        <f>'Dự toán hội thi VCĐ-GTN GDTH'!F36</f>
        <v>13160000</v>
      </c>
      <c r="I21" s="475" t="s">
        <v>354</v>
      </c>
      <c r="J21" s="8"/>
      <c r="K21" s="8"/>
      <c r="L21" s="8"/>
      <c r="M21" s="8"/>
      <c r="N21" s="8"/>
    </row>
    <row r="22" spans="1:14" s="3" customFormat="1" ht="18" customHeight="1">
      <c r="A22" s="482">
        <v>3</v>
      </c>
      <c r="B22" s="483" t="s">
        <v>352</v>
      </c>
      <c r="C22" s="484"/>
      <c r="D22" s="485"/>
      <c r="E22" s="486"/>
      <c r="F22" s="486"/>
      <c r="G22" s="486"/>
      <c r="H22" s="792">
        <f>SUM(H23:H25)</f>
        <v>76972000</v>
      </c>
      <c r="I22" s="233"/>
      <c r="J22" s="8"/>
      <c r="K22" s="8"/>
      <c r="L22" s="8"/>
      <c r="M22" s="8"/>
      <c r="N22" s="8"/>
    </row>
    <row r="23" spans="1:14" s="3" customFormat="1" ht="18" customHeight="1">
      <c r="A23" s="487"/>
      <c r="B23" s="946" t="s">
        <v>816</v>
      </c>
      <c r="C23" s="925" t="s">
        <v>485</v>
      </c>
      <c r="D23" s="925"/>
      <c r="E23" s="948"/>
      <c r="F23" s="948"/>
      <c r="G23" s="948"/>
      <c r="H23" s="1079"/>
      <c r="I23" s="922"/>
      <c r="J23" s="8"/>
      <c r="K23" s="8"/>
      <c r="L23" s="8"/>
      <c r="M23" s="8"/>
      <c r="N23" s="8"/>
    </row>
    <row r="24" spans="1:14" s="784" customFormat="1" ht="18" customHeight="1">
      <c r="A24" s="487"/>
      <c r="B24" s="946" t="s">
        <v>817</v>
      </c>
      <c r="C24" s="925" t="s">
        <v>485</v>
      </c>
      <c r="D24" s="925"/>
      <c r="E24" s="948"/>
      <c r="F24" s="948"/>
      <c r="G24" s="948">
        <v>5</v>
      </c>
      <c r="H24" s="1080">
        <v>35250000</v>
      </c>
      <c r="I24" s="922"/>
      <c r="J24" s="9"/>
      <c r="K24" s="9"/>
      <c r="L24" s="9"/>
      <c r="M24" s="9"/>
      <c r="N24" s="9"/>
    </row>
    <row r="25" spans="1:14" s="784" customFormat="1" ht="18" customHeight="1">
      <c r="A25" s="487"/>
      <c r="B25" s="946" t="s">
        <v>486</v>
      </c>
      <c r="C25" s="925" t="s">
        <v>485</v>
      </c>
      <c r="D25" s="925"/>
      <c r="E25" s="948"/>
      <c r="F25" s="948">
        <v>2</v>
      </c>
      <c r="G25" s="948">
        <v>5</v>
      </c>
      <c r="H25" s="1505">
        <v>41722000</v>
      </c>
      <c r="I25" s="922" t="s">
        <v>354</v>
      </c>
      <c r="J25" s="9"/>
      <c r="K25" s="9"/>
      <c r="L25" s="9"/>
      <c r="M25" s="9"/>
      <c r="N25" s="9"/>
    </row>
    <row r="26" spans="1:14" s="784" customFormat="1" ht="18" customHeight="1">
      <c r="A26" s="482">
        <v>4</v>
      </c>
      <c r="B26" s="484" t="s">
        <v>380</v>
      </c>
      <c r="F26" s="885"/>
      <c r="G26" s="885"/>
      <c r="H26" s="800">
        <f>H8+H17+H22+H13</f>
        <v>721000000</v>
      </c>
      <c r="I26" s="233"/>
      <c r="J26" s="9"/>
      <c r="K26" s="9"/>
      <c r="L26" s="9"/>
      <c r="M26" s="9"/>
      <c r="N26" s="9"/>
    </row>
    <row r="27" spans="1:14">
      <c r="A27" s="84"/>
      <c r="B27" s="1639" t="s">
        <v>1422</v>
      </c>
      <c r="C27" s="1640"/>
      <c r="D27" s="1640"/>
      <c r="E27" s="1640"/>
      <c r="F27" s="1641"/>
      <c r="G27" s="112"/>
      <c r="H27" s="189"/>
      <c r="I27" s="713"/>
      <c r="J27" s="6"/>
      <c r="K27" s="6"/>
      <c r="L27" s="6"/>
      <c r="M27" s="6"/>
      <c r="N27" s="6"/>
    </row>
    <row r="28" spans="1:14">
      <c r="G28" s="787"/>
      <c r="H28" s="1647" t="s">
        <v>982</v>
      </c>
      <c r="I28" s="1647"/>
      <c r="J28" s="788"/>
      <c r="K28" s="788"/>
      <c r="L28" s="6"/>
      <c r="M28" s="6"/>
      <c r="N28" s="6"/>
    </row>
    <row r="29" spans="1:14" ht="15" customHeight="1">
      <c r="A29" s="1646"/>
      <c r="B29" s="1646"/>
      <c r="C29" s="789"/>
      <c r="D29" s="789"/>
      <c r="E29" s="789"/>
      <c r="F29" s="789"/>
      <c r="G29" s="789"/>
      <c r="H29" s="1644" t="s">
        <v>21</v>
      </c>
      <c r="I29" s="1644"/>
      <c r="J29" s="761"/>
      <c r="K29" s="761"/>
      <c r="L29" s="6"/>
      <c r="M29" s="6"/>
      <c r="N29" s="6"/>
    </row>
    <row r="30" spans="1:14" ht="59.25" customHeight="1">
      <c r="A30" s="1648" t="s">
        <v>858</v>
      </c>
      <c r="B30" s="1648"/>
      <c r="C30" s="1648"/>
      <c r="D30" s="1648"/>
      <c r="E30" s="1648"/>
      <c r="F30" s="1648"/>
      <c r="G30" s="7"/>
      <c r="I30" s="790"/>
      <c r="J30" s="6"/>
      <c r="K30" s="6"/>
      <c r="L30" s="6"/>
      <c r="M30" s="6"/>
      <c r="N30" s="6"/>
    </row>
    <row r="31" spans="1:14" ht="25.5" customHeight="1">
      <c r="A31" s="5"/>
      <c r="B31" s="7"/>
      <c r="C31" s="7"/>
      <c r="D31" s="7"/>
      <c r="E31" s="7"/>
      <c r="F31" s="7"/>
      <c r="G31" s="7"/>
      <c r="H31" s="1644" t="s">
        <v>766</v>
      </c>
      <c r="I31" s="1644"/>
      <c r="J31" s="6"/>
      <c r="K31" s="6"/>
      <c r="L31" s="6"/>
      <c r="M31" s="6"/>
      <c r="N31" s="6"/>
    </row>
    <row r="32" spans="1:14">
      <c r="A32" s="5"/>
      <c r="B32" s="7"/>
      <c r="C32" s="7"/>
      <c r="D32" s="7"/>
      <c r="E32" s="7"/>
      <c r="F32" s="7"/>
      <c r="G32" s="7"/>
      <c r="H32" s="189"/>
      <c r="I32" s="5"/>
      <c r="J32" s="6"/>
      <c r="K32" s="6"/>
      <c r="L32" s="6"/>
      <c r="M32" s="6"/>
      <c r="N32" s="6"/>
    </row>
    <row r="33" spans="1:14">
      <c r="A33" s="5"/>
      <c r="B33" s="7"/>
      <c r="C33" s="7"/>
      <c r="D33" s="7"/>
      <c r="E33" s="7"/>
      <c r="F33" s="7"/>
      <c r="G33" s="7"/>
      <c r="H33" s="189"/>
      <c r="I33" s="5"/>
      <c r="J33" s="6"/>
      <c r="K33" s="6"/>
      <c r="L33" s="6"/>
      <c r="M33" s="6"/>
      <c r="N33" s="6"/>
    </row>
    <row r="34" spans="1:14">
      <c r="A34" s="5"/>
      <c r="B34" s="7"/>
      <c r="C34" s="7"/>
      <c r="D34" s="7"/>
      <c r="E34" s="7"/>
      <c r="F34" s="7"/>
      <c r="G34" s="7"/>
      <c r="H34" s="189"/>
      <c r="I34" s="5"/>
      <c r="J34" s="6"/>
      <c r="K34" s="6"/>
      <c r="L34" s="6"/>
      <c r="M34" s="6"/>
      <c r="N34" s="6"/>
    </row>
    <row r="35" spans="1:14" ht="13.5" customHeight="1">
      <c r="A35" s="5"/>
      <c r="B35" s="7"/>
      <c r="C35" s="7"/>
      <c r="D35" s="7"/>
      <c r="E35" s="7"/>
      <c r="F35" s="7"/>
      <c r="G35" s="7"/>
      <c r="H35" s="189"/>
      <c r="I35" s="5"/>
      <c r="J35" s="6"/>
      <c r="K35" s="6"/>
      <c r="L35" s="6"/>
      <c r="M35" s="6"/>
      <c r="N35" s="6"/>
    </row>
    <row r="36" spans="1:14">
      <c r="A36" s="5"/>
      <c r="B36" s="7"/>
      <c r="C36" s="7"/>
      <c r="D36" s="7"/>
      <c r="E36" s="7"/>
      <c r="F36" s="7"/>
      <c r="G36" s="7"/>
      <c r="H36" s="189"/>
      <c r="I36" s="5"/>
      <c r="J36" s="6"/>
      <c r="K36" s="6"/>
      <c r="L36" s="6"/>
      <c r="M36" s="6"/>
      <c r="N36" s="6"/>
    </row>
    <row r="37" spans="1:14">
      <c r="A37" s="5"/>
      <c r="B37" s="7"/>
      <c r="C37" s="7"/>
      <c r="D37" s="7"/>
      <c r="E37" s="7"/>
      <c r="F37" s="7"/>
      <c r="G37" s="7"/>
      <c r="H37" s="189"/>
      <c r="I37" s="5"/>
      <c r="J37" s="6"/>
      <c r="K37" s="6"/>
      <c r="L37" s="6"/>
      <c r="M37" s="6"/>
      <c r="N37" s="6"/>
    </row>
    <row r="38" spans="1:14">
      <c r="A38" s="5"/>
      <c r="B38" s="7"/>
      <c r="C38" s="7"/>
      <c r="D38" s="7"/>
      <c r="E38" s="7"/>
      <c r="F38" s="7"/>
      <c r="G38" s="7"/>
      <c r="H38" s="189"/>
      <c r="I38" s="5"/>
      <c r="J38" s="6"/>
      <c r="K38" s="6"/>
      <c r="L38" s="6"/>
      <c r="M38" s="6"/>
      <c r="N38" s="6"/>
    </row>
    <row r="39" spans="1:14">
      <c r="A39" s="5"/>
      <c r="B39" s="7"/>
      <c r="C39" s="7"/>
      <c r="D39" s="7"/>
      <c r="E39" s="7"/>
      <c r="F39" s="7"/>
      <c r="G39" s="7"/>
      <c r="H39" s="189"/>
      <c r="I39" s="5"/>
      <c r="J39" s="6"/>
      <c r="K39" s="6"/>
      <c r="L39" s="6"/>
      <c r="M39" s="6"/>
      <c r="N39" s="6"/>
    </row>
    <row r="40" spans="1:14">
      <c r="A40" s="5"/>
      <c r="B40" s="7"/>
      <c r="C40" s="7"/>
      <c r="D40" s="7"/>
      <c r="E40" s="7"/>
      <c r="F40" s="7"/>
      <c r="G40" s="7"/>
      <c r="H40" s="189"/>
      <c r="I40" s="5"/>
      <c r="J40" s="6"/>
      <c r="K40" s="6"/>
      <c r="L40" s="6"/>
      <c r="M40" s="6"/>
      <c r="N40" s="6"/>
    </row>
    <row r="41" spans="1:14">
      <c r="A41" s="5"/>
      <c r="B41" s="7"/>
      <c r="C41" s="7"/>
      <c r="D41" s="7"/>
      <c r="E41" s="7"/>
      <c r="F41" s="7"/>
      <c r="G41" s="7"/>
      <c r="H41" s="189"/>
      <c r="I41" s="5"/>
      <c r="J41" s="6"/>
      <c r="K41" s="6"/>
      <c r="L41" s="6"/>
      <c r="M41" s="6"/>
      <c r="N41" s="6"/>
    </row>
    <row r="42" spans="1:14">
      <c r="A42" s="5"/>
      <c r="B42" s="7"/>
      <c r="C42" s="7"/>
      <c r="D42" s="7"/>
      <c r="E42" s="7"/>
      <c r="F42" s="7"/>
      <c r="G42" s="7"/>
      <c r="H42" s="189"/>
      <c r="I42" s="5"/>
      <c r="J42" s="6"/>
      <c r="K42" s="6"/>
      <c r="L42" s="6"/>
      <c r="M42" s="6"/>
      <c r="N42" s="6"/>
    </row>
    <row r="43" spans="1:14">
      <c r="A43" s="5"/>
      <c r="B43" s="7"/>
      <c r="C43" s="7"/>
      <c r="D43" s="7"/>
      <c r="E43" s="7"/>
      <c r="F43" s="7"/>
      <c r="G43" s="7"/>
      <c r="H43" s="189"/>
      <c r="I43" s="5"/>
      <c r="J43" s="6"/>
      <c r="K43" s="6"/>
      <c r="L43" s="6"/>
      <c r="M43" s="6"/>
      <c r="N43" s="6"/>
    </row>
    <row r="44" spans="1:14">
      <c r="A44" s="5"/>
      <c r="B44" s="7"/>
      <c r="C44" s="7"/>
      <c r="D44" s="7"/>
      <c r="E44" s="7"/>
      <c r="F44" s="7"/>
      <c r="G44" s="7"/>
      <c r="H44" s="189"/>
      <c r="I44" s="5"/>
      <c r="J44" s="6"/>
      <c r="K44" s="6"/>
      <c r="L44" s="6"/>
      <c r="M44" s="6"/>
      <c r="N44" s="6"/>
    </row>
    <row r="45" spans="1:14">
      <c r="A45" s="5"/>
      <c r="B45" s="7"/>
      <c r="C45" s="7"/>
      <c r="D45" s="7"/>
      <c r="E45" s="7"/>
      <c r="F45" s="7"/>
      <c r="G45" s="7"/>
      <c r="H45" s="189"/>
      <c r="I45" s="5"/>
      <c r="J45" s="6"/>
      <c r="K45" s="6"/>
      <c r="L45" s="6"/>
      <c r="M45" s="6"/>
      <c r="N45" s="6"/>
    </row>
    <row r="46" spans="1:14">
      <c r="A46" s="5"/>
      <c r="B46" s="7"/>
      <c r="C46" s="7"/>
      <c r="D46" s="7"/>
      <c r="E46" s="7"/>
      <c r="F46" s="7"/>
      <c r="G46" s="7"/>
      <c r="H46" s="189"/>
      <c r="I46" s="5"/>
      <c r="J46" s="6"/>
      <c r="K46" s="6"/>
      <c r="L46" s="6"/>
      <c r="M46" s="6"/>
      <c r="N46" s="6"/>
    </row>
    <row r="47" spans="1:14">
      <c r="A47" s="5"/>
      <c r="B47" s="7"/>
      <c r="C47" s="7"/>
      <c r="D47" s="7"/>
      <c r="E47" s="7"/>
      <c r="F47" s="7"/>
      <c r="G47" s="7"/>
      <c r="H47" s="189"/>
      <c r="I47" s="5"/>
      <c r="J47" s="6"/>
      <c r="K47" s="6"/>
      <c r="L47" s="6"/>
      <c r="M47" s="6"/>
      <c r="N47" s="6"/>
    </row>
    <row r="48" spans="1:14">
      <c r="A48" s="5"/>
      <c r="B48" s="7"/>
      <c r="C48" s="7"/>
      <c r="D48" s="7"/>
      <c r="E48" s="7"/>
      <c r="F48" s="7"/>
      <c r="G48" s="7"/>
      <c r="H48" s="189"/>
      <c r="I48" s="5"/>
      <c r="J48" s="6"/>
      <c r="K48" s="6"/>
      <c r="L48" s="6"/>
      <c r="M48" s="6"/>
      <c r="N48" s="6"/>
    </row>
    <row r="49" spans="1:14">
      <c r="A49" s="5"/>
      <c r="B49" s="7"/>
      <c r="C49" s="7"/>
      <c r="D49" s="7"/>
      <c r="E49" s="7"/>
      <c r="F49" s="7"/>
      <c r="G49" s="7"/>
      <c r="H49" s="189"/>
      <c r="I49" s="5"/>
      <c r="J49" s="6"/>
      <c r="K49" s="6"/>
      <c r="L49" s="6"/>
      <c r="M49" s="6"/>
      <c r="N49" s="6"/>
    </row>
    <row r="50" spans="1:14">
      <c r="A50" s="5"/>
      <c r="B50" s="7"/>
      <c r="C50" s="7"/>
      <c r="D50" s="7"/>
      <c r="E50" s="7"/>
      <c r="F50" s="7"/>
      <c r="G50" s="7"/>
      <c r="H50" s="189"/>
      <c r="I50" s="5"/>
      <c r="J50" s="6"/>
      <c r="K50" s="6"/>
      <c r="L50" s="6"/>
      <c r="M50" s="6"/>
      <c r="N50" s="6"/>
    </row>
    <row r="51" spans="1:14">
      <c r="A51" s="5"/>
      <c r="B51" s="7"/>
      <c r="C51" s="7"/>
      <c r="D51" s="7"/>
      <c r="E51" s="7"/>
      <c r="F51" s="7"/>
      <c r="G51" s="7"/>
      <c r="H51" s="189"/>
      <c r="I51" s="5"/>
      <c r="J51" s="6"/>
      <c r="K51" s="6"/>
      <c r="L51" s="6"/>
      <c r="M51" s="6"/>
      <c r="N51" s="6"/>
    </row>
    <row r="52" spans="1:14">
      <c r="A52" s="5"/>
      <c r="B52" s="7"/>
      <c r="C52" s="7"/>
      <c r="D52" s="7"/>
      <c r="E52" s="7"/>
      <c r="F52" s="7"/>
      <c r="G52" s="7"/>
      <c r="H52" s="189"/>
      <c r="I52" s="5"/>
      <c r="J52" s="6"/>
      <c r="K52" s="6"/>
      <c r="L52" s="6"/>
      <c r="M52" s="6"/>
      <c r="N52" s="6"/>
    </row>
    <row r="53" spans="1:14">
      <c r="A53" s="5"/>
      <c r="B53" s="7"/>
      <c r="C53" s="7"/>
      <c r="D53" s="7"/>
      <c r="E53" s="7"/>
      <c r="F53" s="7"/>
      <c r="G53" s="7"/>
      <c r="H53" s="189"/>
      <c r="I53" s="5"/>
      <c r="J53" s="6"/>
      <c r="K53" s="6"/>
      <c r="L53" s="6"/>
      <c r="M53" s="6"/>
      <c r="N53" s="6"/>
    </row>
    <row r="54" spans="1:14">
      <c r="A54" s="5"/>
      <c r="B54" s="7"/>
      <c r="C54" s="7"/>
      <c r="D54" s="7"/>
      <c r="E54" s="7"/>
      <c r="F54" s="7"/>
      <c r="G54" s="7"/>
      <c r="H54" s="189"/>
      <c r="I54" s="5"/>
      <c r="J54" s="6"/>
      <c r="K54" s="6"/>
      <c r="L54" s="6"/>
      <c r="M54" s="6"/>
      <c r="N54" s="6"/>
    </row>
    <row r="55" spans="1:14">
      <c r="A55" s="5"/>
      <c r="B55" s="7"/>
      <c r="C55" s="7"/>
      <c r="D55" s="7"/>
      <c r="E55" s="7"/>
      <c r="F55" s="7"/>
      <c r="G55" s="7"/>
      <c r="H55" s="189"/>
      <c r="I55" s="5"/>
      <c r="J55" s="6"/>
      <c r="K55" s="6"/>
      <c r="L55" s="6"/>
      <c r="M55" s="6"/>
      <c r="N55" s="6"/>
    </row>
    <row r="56" spans="1:14">
      <c r="A56" s="5"/>
      <c r="B56" s="7"/>
      <c r="C56" s="7"/>
      <c r="D56" s="7"/>
      <c r="E56" s="7"/>
      <c r="F56" s="7"/>
      <c r="G56" s="7"/>
      <c r="H56" s="189"/>
      <c r="I56" s="5"/>
      <c r="J56" s="6"/>
      <c r="K56" s="6"/>
      <c r="L56" s="6"/>
      <c r="M56" s="6"/>
      <c r="N56" s="6"/>
    </row>
    <row r="57" spans="1:14">
      <c r="A57" s="5"/>
      <c r="B57" s="7"/>
      <c r="C57" s="7"/>
      <c r="D57" s="7"/>
      <c r="E57" s="7"/>
      <c r="F57" s="7"/>
      <c r="G57" s="7"/>
      <c r="H57" s="189"/>
      <c r="I57" s="5"/>
      <c r="J57" s="6"/>
      <c r="K57" s="6"/>
      <c r="L57" s="6"/>
      <c r="M57" s="6"/>
      <c r="N57" s="6"/>
    </row>
  </sheetData>
  <mergeCells count="11">
    <mergeCell ref="H31:I31"/>
    <mergeCell ref="H29:I29"/>
    <mergeCell ref="A29:B29"/>
    <mergeCell ref="H28:I28"/>
    <mergeCell ref="A30:F30"/>
    <mergeCell ref="B27:F27"/>
    <mergeCell ref="A1:B1"/>
    <mergeCell ref="A2:B2"/>
    <mergeCell ref="C1:G1"/>
    <mergeCell ref="C2:G2"/>
    <mergeCell ref="A3:I3"/>
  </mergeCells>
  <pageMargins left="0.38" right="0.2" top="0.38" bottom="0.22" header="0.38" footer="0.21"/>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M51"/>
  <sheetViews>
    <sheetView zoomScale="115" zoomScaleNormal="115" zoomScalePageLayoutView="115" workbookViewId="0">
      <pane xSplit="2" ySplit="5" topLeftCell="C7" activePane="bottomRight" state="frozen"/>
      <selection pane="topRight" activeCell="C1" sqref="C1"/>
      <selection pane="bottomLeft" activeCell="A8" sqref="A8"/>
      <selection pane="bottomRight" activeCell="B22" sqref="B22"/>
    </sheetView>
  </sheetViews>
  <sheetFormatPr baseColWidth="10" defaultColWidth="9.1640625" defaultRowHeight="13"/>
  <cols>
    <col min="1" max="1" width="5.5" style="728" customWidth="1"/>
    <col min="2" max="2" width="35.83203125" style="709" customWidth="1"/>
    <col min="3" max="3" width="8.83203125" style="709" customWidth="1"/>
    <col min="4" max="4" width="7.6640625" style="710" customWidth="1"/>
    <col min="5" max="5" width="9.5" style="709" customWidth="1"/>
    <col min="6" max="6" width="10.6640625" style="709" customWidth="1"/>
    <col min="7" max="7" width="18" style="711" customWidth="1"/>
    <col min="8" max="16384" width="9.1640625" style="711"/>
  </cols>
  <sheetData>
    <row r="1" spans="1:12" ht="16">
      <c r="A1" s="1642" t="s">
        <v>137</v>
      </c>
      <c r="B1" s="1642"/>
      <c r="G1" s="695" t="s">
        <v>33</v>
      </c>
    </row>
    <row r="2" spans="1:12" ht="14.25" customHeight="1">
      <c r="A2" s="1643" t="s">
        <v>562</v>
      </c>
      <c r="B2" s="1643"/>
      <c r="C2" s="1644"/>
      <c r="D2" s="1644"/>
      <c r="E2" s="1644"/>
      <c r="F2" s="1644"/>
      <c r="G2" s="1644"/>
      <c r="H2" s="108"/>
      <c r="I2" s="108"/>
      <c r="J2" s="108"/>
      <c r="K2" s="108"/>
      <c r="L2" s="108"/>
    </row>
    <row r="3" spans="1:12" ht="30" customHeight="1">
      <c r="A3" s="1645" t="s">
        <v>956</v>
      </c>
      <c r="B3" s="1645"/>
      <c r="C3" s="1645"/>
      <c r="D3" s="1645"/>
      <c r="E3" s="1645"/>
      <c r="F3" s="1645"/>
      <c r="G3" s="1645"/>
      <c r="H3" s="108"/>
      <c r="I3" s="108"/>
      <c r="J3" s="108"/>
      <c r="K3" s="108"/>
      <c r="L3" s="108"/>
    </row>
    <row r="4" spans="1:12" ht="14" thickBot="1">
      <c r="A4" s="353"/>
      <c r="B4" s="353"/>
      <c r="C4" s="353"/>
      <c r="D4" s="713"/>
      <c r="E4" s="353"/>
      <c r="F4" s="350" t="s">
        <v>84</v>
      </c>
      <c r="G4" s="353"/>
      <c r="H4" s="108"/>
      <c r="I4" s="108"/>
      <c r="J4" s="108"/>
      <c r="K4" s="108"/>
      <c r="L4" s="108"/>
    </row>
    <row r="5" spans="1:12" ht="38.25" customHeight="1" thickTop="1">
      <c r="A5" s="714" t="s">
        <v>0</v>
      </c>
      <c r="B5" s="715" t="s">
        <v>27</v>
      </c>
      <c r="C5" s="715" t="s">
        <v>1</v>
      </c>
      <c r="D5" s="716" t="s">
        <v>373</v>
      </c>
      <c r="E5" s="716" t="s">
        <v>28</v>
      </c>
      <c r="F5" s="716" t="s">
        <v>29</v>
      </c>
      <c r="G5" s="716" t="s">
        <v>2</v>
      </c>
      <c r="H5" s="108"/>
      <c r="I5" s="108"/>
      <c r="J5" s="108"/>
      <c r="K5" s="108"/>
      <c r="L5" s="108"/>
    </row>
    <row r="6" spans="1:12" ht="21.75" customHeight="1">
      <c r="A6" s="475">
        <v>1</v>
      </c>
      <c r="B6" s="865" t="s">
        <v>42</v>
      </c>
      <c r="C6" s="866"/>
      <c r="D6" s="867"/>
      <c r="E6" s="867"/>
      <c r="F6" s="889">
        <f>SUM(F7:F11)</f>
        <v>30200</v>
      </c>
      <c r="G6" s="868"/>
      <c r="H6" s="108"/>
      <c r="I6" s="108"/>
      <c r="J6" s="108"/>
      <c r="K6" s="108"/>
      <c r="L6" s="108"/>
    </row>
    <row r="7" spans="1:12" ht="35" customHeight="1">
      <c r="A7" s="475" t="s">
        <v>369</v>
      </c>
      <c r="B7" s="869" t="s">
        <v>775</v>
      </c>
      <c r="C7" s="870" t="s">
        <v>788</v>
      </c>
      <c r="D7" s="867">
        <v>2</v>
      </c>
      <c r="E7" s="867">
        <v>100</v>
      </c>
      <c r="F7" s="871">
        <f>D7*E7</f>
        <v>200</v>
      </c>
      <c r="G7" s="867"/>
      <c r="I7" s="108"/>
      <c r="J7" s="108"/>
      <c r="K7" s="108"/>
      <c r="L7" s="108"/>
    </row>
    <row r="8" spans="1:12" ht="36" customHeight="1">
      <c r="A8" s="475">
        <v>1.2</v>
      </c>
      <c r="B8" s="865" t="s">
        <v>776</v>
      </c>
      <c r="C8" s="872" t="s">
        <v>777</v>
      </c>
      <c r="D8" s="873" t="s">
        <v>789</v>
      </c>
      <c r="E8" s="872"/>
      <c r="F8" s="871">
        <f>D8*E8</f>
        <v>0</v>
      </c>
      <c r="G8" s="872" t="s">
        <v>778</v>
      </c>
      <c r="I8" s="108"/>
      <c r="J8" s="108"/>
      <c r="K8" s="108"/>
      <c r="L8" s="108"/>
    </row>
    <row r="9" spans="1:12" ht="54" customHeight="1">
      <c r="A9" s="475">
        <v>1.3</v>
      </c>
      <c r="B9" s="865" t="s">
        <v>779</v>
      </c>
      <c r="C9" s="872" t="s">
        <v>777</v>
      </c>
      <c r="D9" s="352">
        <v>1</v>
      </c>
      <c r="E9" s="872"/>
      <c r="F9" s="871">
        <f>D9*E9</f>
        <v>0</v>
      </c>
      <c r="G9" s="872" t="s">
        <v>778</v>
      </c>
      <c r="I9" s="108"/>
      <c r="J9" s="108"/>
      <c r="K9" s="108"/>
      <c r="L9" s="108"/>
    </row>
    <row r="10" spans="1:12" ht="28">
      <c r="A10" s="475">
        <v>1.4</v>
      </c>
      <c r="B10" s="865" t="s">
        <v>780</v>
      </c>
      <c r="C10" s="872" t="s">
        <v>370</v>
      </c>
      <c r="D10" s="352">
        <v>1</v>
      </c>
      <c r="E10" s="872">
        <v>20000</v>
      </c>
      <c r="F10" s="871">
        <f>D10*E10</f>
        <v>20000</v>
      </c>
      <c r="G10" s="872" t="s">
        <v>781</v>
      </c>
      <c r="I10" s="108"/>
      <c r="J10" s="108"/>
      <c r="K10" s="108"/>
      <c r="L10" s="108"/>
    </row>
    <row r="11" spans="1:12" ht="27" customHeight="1">
      <c r="A11" s="874">
        <v>1.5</v>
      </c>
      <c r="B11" s="1089" t="s">
        <v>992</v>
      </c>
      <c r="C11" s="1090" t="s">
        <v>370</v>
      </c>
      <c r="D11" s="925">
        <v>1</v>
      </c>
      <c r="E11" s="1091">
        <v>10000</v>
      </c>
      <c r="F11" s="1092">
        <f>D11*E11</f>
        <v>10000</v>
      </c>
      <c r="G11" s="872"/>
      <c r="I11" s="108"/>
      <c r="J11" s="108"/>
      <c r="K11" s="108"/>
      <c r="L11" s="108"/>
    </row>
    <row r="12" spans="1:12" ht="21.75" customHeight="1">
      <c r="A12" s="475">
        <v>2</v>
      </c>
      <c r="B12" s="875" t="s">
        <v>782</v>
      </c>
      <c r="C12" s="870"/>
      <c r="D12" s="352"/>
      <c r="E12" s="872"/>
      <c r="F12" s="890">
        <f>SUM(F13:F14)</f>
        <v>30000</v>
      </c>
      <c r="I12" s="108"/>
      <c r="J12" s="108"/>
      <c r="K12" s="108"/>
      <c r="L12" s="108"/>
    </row>
    <row r="13" spans="1:12" s="111" customFormat="1" ht="26" customHeight="1">
      <c r="A13" s="475">
        <v>2.1</v>
      </c>
      <c r="B13" s="865" t="s">
        <v>783</v>
      </c>
      <c r="C13" s="872" t="s">
        <v>790</v>
      </c>
      <c r="D13" s="873" t="s">
        <v>791</v>
      </c>
      <c r="E13" s="872">
        <v>200</v>
      </c>
      <c r="F13" s="871">
        <f>D13*E13</f>
        <v>20000</v>
      </c>
      <c r="G13" s="872" t="s">
        <v>778</v>
      </c>
      <c r="I13" s="110"/>
      <c r="J13" s="110"/>
      <c r="K13" s="110"/>
      <c r="L13" s="110"/>
    </row>
    <row r="14" spans="1:12" s="111" customFormat="1" ht="28">
      <c r="A14" s="475">
        <v>2.2000000000000002</v>
      </c>
      <c r="B14" s="491" t="s">
        <v>785</v>
      </c>
      <c r="C14" s="872" t="s">
        <v>784</v>
      </c>
      <c r="D14" s="352">
        <v>100</v>
      </c>
      <c r="E14" s="872">
        <v>100</v>
      </c>
      <c r="F14" s="871">
        <f>D14*E14</f>
        <v>10000</v>
      </c>
      <c r="G14" s="872"/>
      <c r="I14" s="110"/>
      <c r="J14" s="110"/>
      <c r="K14" s="110"/>
      <c r="L14" s="110"/>
    </row>
    <row r="15" spans="1:12" s="111" customFormat="1" ht="21.75" customHeight="1">
      <c r="A15" s="475">
        <v>3</v>
      </c>
      <c r="B15" s="875" t="s">
        <v>786</v>
      </c>
      <c r="C15" s="872"/>
      <c r="D15" s="352">
        <v>1</v>
      </c>
      <c r="E15" s="872"/>
      <c r="F15" s="871">
        <f>D15*E15</f>
        <v>0</v>
      </c>
      <c r="G15" s="872"/>
      <c r="I15" s="110"/>
      <c r="J15" s="110"/>
      <c r="K15" s="110"/>
      <c r="L15" s="110"/>
    </row>
    <row r="16" spans="1:12" s="111" customFormat="1" ht="49" customHeight="1">
      <c r="A16" s="475">
        <v>4</v>
      </c>
      <c r="B16" s="1753" t="s">
        <v>1418</v>
      </c>
      <c r="C16" s="477"/>
      <c r="D16" s="352">
        <v>1</v>
      </c>
      <c r="E16" s="352"/>
      <c r="F16" s="871">
        <v>10000</v>
      </c>
      <c r="G16" s="872" t="s">
        <v>787</v>
      </c>
      <c r="I16" s="110"/>
      <c r="J16" s="110"/>
      <c r="K16" s="110"/>
      <c r="L16" s="110"/>
    </row>
    <row r="17" spans="1:65" s="111" customFormat="1" ht="21.75" customHeight="1">
      <c r="A17" s="475">
        <v>5</v>
      </c>
      <c r="B17" s="875" t="s">
        <v>17</v>
      </c>
      <c r="C17" s="477"/>
      <c r="D17" s="352"/>
      <c r="E17" s="352"/>
      <c r="F17" s="871"/>
      <c r="G17" s="865"/>
      <c r="I17" s="110"/>
      <c r="J17" s="110"/>
      <c r="K17" s="110"/>
      <c r="L17" s="110"/>
    </row>
    <row r="18" spans="1:65" s="111" customFormat="1" ht="24" customHeight="1">
      <c r="A18" s="475">
        <v>5.0999999999999996</v>
      </c>
      <c r="B18" s="938" t="s">
        <v>954</v>
      </c>
      <c r="C18" s="939" t="s">
        <v>372</v>
      </c>
      <c r="D18" s="926">
        <v>5</v>
      </c>
      <c r="E18" s="926">
        <v>100</v>
      </c>
      <c r="F18" s="940">
        <f>D18*E18</f>
        <v>500</v>
      </c>
      <c r="G18" s="491"/>
      <c r="I18" s="110"/>
      <c r="J18" s="110"/>
      <c r="K18" s="110"/>
      <c r="L18" s="110"/>
    </row>
    <row r="19" spans="1:65" s="111" customFormat="1" ht="29.25" customHeight="1">
      <c r="C19" s="477"/>
      <c r="D19" s="352"/>
      <c r="E19" s="352"/>
      <c r="F19" s="876"/>
      <c r="G19" s="491"/>
      <c r="I19" s="110"/>
      <c r="J19" s="110"/>
      <c r="K19" s="110"/>
      <c r="L19" s="110"/>
    </row>
    <row r="20" spans="1:65" s="111" customFormat="1" ht="21.75" customHeight="1">
      <c r="A20" s="1654" t="s">
        <v>24</v>
      </c>
      <c r="B20" s="1654"/>
      <c r="C20" s="477"/>
      <c r="D20" s="877">
        <f>SUM(D7:D19)</f>
        <v>112</v>
      </c>
      <c r="E20" s="877">
        <f>SUM(E7:E19)</f>
        <v>30500</v>
      </c>
      <c r="F20" s="1761">
        <f>F6+F12+F15+F16+F19</f>
        <v>70200</v>
      </c>
      <c r="G20" s="865"/>
      <c r="I20" s="110"/>
      <c r="J20" s="110"/>
      <c r="K20" s="110"/>
      <c r="L20" s="110"/>
    </row>
    <row r="21" spans="1:65" s="718" customFormat="1" ht="24" customHeight="1">
      <c r="A21" s="354"/>
      <c r="B21" s="1653" t="s">
        <v>1423</v>
      </c>
      <c r="C21" s="1653"/>
      <c r="D21" s="717"/>
      <c r="E21" s="719"/>
      <c r="F21" s="719"/>
      <c r="G21" s="713"/>
      <c r="H21" s="720"/>
      <c r="I21" s="720"/>
      <c r="J21" s="115"/>
      <c r="K21" s="115"/>
      <c r="L21" s="115"/>
    </row>
    <row r="22" spans="1:65" s="718" customFormat="1">
      <c r="D22" s="721"/>
      <c r="E22" s="722"/>
      <c r="F22" s="1651" t="s">
        <v>955</v>
      </c>
      <c r="G22" s="1651"/>
      <c r="H22" s="723"/>
      <c r="I22" s="723"/>
      <c r="J22" s="115"/>
      <c r="K22" s="115"/>
      <c r="L22" s="115"/>
    </row>
    <row r="23" spans="1:65" s="718" customFormat="1" ht="15" customHeight="1">
      <c r="A23" s="1652"/>
      <c r="B23" s="1652"/>
      <c r="C23" s="724"/>
      <c r="D23" s="717"/>
      <c r="E23" s="724"/>
      <c r="F23" s="1653" t="s">
        <v>21</v>
      </c>
      <c r="G23" s="1653"/>
      <c r="H23" s="115"/>
      <c r="I23" s="115"/>
      <c r="J23" s="115"/>
      <c r="K23" s="115"/>
      <c r="L23" s="115"/>
    </row>
    <row r="24" spans="1:65" s="718" customFormat="1" ht="33" customHeight="1">
      <c r="A24" s="1650"/>
      <c r="B24" s="1650"/>
      <c r="C24" s="1650"/>
      <c r="D24" s="725"/>
      <c r="E24" s="726"/>
      <c r="F24" s="719"/>
      <c r="G24" s="727"/>
      <c r="H24" s="115"/>
      <c r="I24" s="115"/>
      <c r="J24" s="115"/>
      <c r="K24" s="115"/>
      <c r="L24" s="115"/>
    </row>
    <row r="25" spans="1:65" s="718" customFormat="1" ht="39" customHeight="1">
      <c r="D25" s="721"/>
      <c r="E25" s="719"/>
      <c r="F25" s="1644" t="s">
        <v>766</v>
      </c>
      <c r="G25" s="1644"/>
      <c r="H25" s="108"/>
      <c r="I25" s="108"/>
      <c r="J25" s="108"/>
      <c r="K25" s="108"/>
      <c r="L25" s="108"/>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row>
    <row r="26" spans="1:65">
      <c r="A26" s="84"/>
      <c r="B26" s="112"/>
      <c r="C26" s="112"/>
      <c r="D26" s="189"/>
      <c r="E26" s="112"/>
      <c r="F26" s="112"/>
      <c r="G26" s="108"/>
      <c r="H26" s="108"/>
      <c r="I26" s="108"/>
      <c r="J26" s="108"/>
      <c r="K26" s="108"/>
      <c r="L26" s="108"/>
    </row>
    <row r="27" spans="1:65" ht="96" customHeight="1">
      <c r="A27" s="1649" t="s">
        <v>1010</v>
      </c>
      <c r="B27" s="1649"/>
      <c r="C27" s="1649"/>
      <c r="D27" s="1649"/>
      <c r="E27" s="1649"/>
      <c r="F27" s="1649"/>
      <c r="G27" s="108"/>
      <c r="H27" s="108"/>
      <c r="I27" s="108"/>
      <c r="J27" s="108"/>
      <c r="K27" s="108"/>
      <c r="L27" s="108"/>
    </row>
    <row r="28" spans="1:65">
      <c r="A28" s="84"/>
      <c r="B28" s="112"/>
      <c r="C28" s="112"/>
      <c r="D28" s="189"/>
      <c r="E28" s="112"/>
      <c r="F28" s="112"/>
      <c r="G28" s="108"/>
      <c r="H28" s="108"/>
      <c r="I28" s="108"/>
      <c r="J28" s="108"/>
      <c r="K28" s="108"/>
      <c r="L28" s="108"/>
    </row>
    <row r="29" spans="1:65" ht="13.5" customHeight="1">
      <c r="A29" s="84"/>
      <c r="B29" s="112"/>
      <c r="C29" s="112"/>
      <c r="D29" s="189"/>
      <c r="E29" s="112"/>
      <c r="F29" s="112"/>
      <c r="G29" s="108"/>
      <c r="H29" s="108"/>
      <c r="I29" s="108"/>
      <c r="J29" s="108"/>
      <c r="K29" s="108"/>
      <c r="L29" s="108"/>
    </row>
    <row r="30" spans="1:65">
      <c r="A30" s="84"/>
      <c r="B30" s="112"/>
      <c r="C30" s="112"/>
      <c r="D30" s="189"/>
      <c r="E30" s="112"/>
      <c r="F30" s="112"/>
      <c r="G30" s="108"/>
      <c r="H30" s="108"/>
      <c r="I30" s="108"/>
      <c r="J30" s="108"/>
      <c r="K30" s="108"/>
      <c r="L30" s="108"/>
    </row>
    <row r="31" spans="1:65">
      <c r="A31" s="84"/>
      <c r="B31" s="112"/>
      <c r="C31" s="112"/>
      <c r="D31" s="189"/>
      <c r="E31" s="112"/>
      <c r="F31" s="112"/>
      <c r="G31" s="108"/>
      <c r="H31" s="108"/>
      <c r="I31" s="108"/>
      <c r="J31" s="108"/>
      <c r="K31" s="108"/>
      <c r="L31" s="108"/>
    </row>
    <row r="32" spans="1:65">
      <c r="A32" s="84"/>
      <c r="B32" s="112"/>
      <c r="C32" s="112"/>
      <c r="D32" s="189"/>
      <c r="E32" s="112"/>
      <c r="F32" s="112"/>
      <c r="G32" s="108"/>
      <c r="H32" s="108"/>
      <c r="I32" s="108"/>
      <c r="J32" s="108"/>
      <c r="K32" s="108"/>
      <c r="L32" s="108"/>
    </row>
    <row r="33" spans="1:12">
      <c r="A33" s="84"/>
      <c r="B33" s="112"/>
      <c r="C33" s="112"/>
      <c r="D33" s="189"/>
      <c r="E33" s="112"/>
      <c r="F33" s="112"/>
      <c r="G33" s="108"/>
      <c r="H33" s="108"/>
      <c r="I33" s="108"/>
      <c r="J33" s="108"/>
      <c r="K33" s="108"/>
      <c r="L33" s="108"/>
    </row>
    <row r="34" spans="1:12">
      <c r="A34" s="84"/>
      <c r="B34" s="112"/>
      <c r="C34" s="112"/>
      <c r="D34" s="189"/>
      <c r="E34" s="112"/>
      <c r="F34" s="112"/>
      <c r="G34" s="108"/>
      <c r="H34" s="108"/>
      <c r="I34" s="108"/>
      <c r="J34" s="108"/>
      <c r="K34" s="108"/>
      <c r="L34" s="108"/>
    </row>
    <row r="35" spans="1:12">
      <c r="A35" s="84"/>
      <c r="B35" s="112"/>
      <c r="C35" s="112"/>
      <c r="D35" s="189"/>
      <c r="E35" s="112"/>
      <c r="F35" s="112"/>
      <c r="G35" s="108"/>
      <c r="H35" s="108"/>
      <c r="I35" s="108"/>
      <c r="J35" s="108"/>
      <c r="K35" s="108"/>
      <c r="L35" s="108"/>
    </row>
    <row r="36" spans="1:12">
      <c r="A36" s="84"/>
      <c r="B36" s="112"/>
      <c r="C36" s="112"/>
      <c r="D36" s="189"/>
      <c r="E36" s="112"/>
      <c r="F36" s="112"/>
      <c r="G36" s="108"/>
      <c r="H36" s="108"/>
      <c r="I36" s="108"/>
      <c r="J36" s="108"/>
      <c r="K36" s="108"/>
      <c r="L36" s="108"/>
    </row>
    <row r="37" spans="1:12">
      <c r="A37" s="84"/>
      <c r="B37" s="112"/>
      <c r="C37" s="112"/>
      <c r="D37" s="189"/>
      <c r="E37" s="112"/>
      <c r="F37" s="112"/>
      <c r="G37" s="108"/>
      <c r="H37" s="108"/>
      <c r="I37" s="108"/>
      <c r="J37" s="108"/>
      <c r="K37" s="108"/>
      <c r="L37" s="108"/>
    </row>
    <row r="38" spans="1:12">
      <c r="A38" s="84"/>
      <c r="B38" s="112"/>
      <c r="C38" s="112"/>
      <c r="D38" s="189"/>
      <c r="E38" s="112"/>
      <c r="F38" s="112"/>
      <c r="G38" s="108"/>
      <c r="H38" s="108"/>
      <c r="I38" s="108"/>
      <c r="J38" s="108"/>
      <c r="K38" s="108"/>
      <c r="L38" s="108"/>
    </row>
    <row r="39" spans="1:12">
      <c r="A39" s="84"/>
      <c r="B39" s="112"/>
      <c r="C39" s="112"/>
      <c r="D39" s="189"/>
      <c r="E39" s="112"/>
      <c r="F39" s="112"/>
      <c r="G39" s="108"/>
      <c r="H39" s="108"/>
      <c r="I39" s="108"/>
      <c r="J39" s="108"/>
      <c r="K39" s="108"/>
      <c r="L39" s="108"/>
    </row>
    <row r="40" spans="1:12">
      <c r="A40" s="84"/>
      <c r="B40" s="112"/>
      <c r="C40" s="112"/>
      <c r="D40" s="189"/>
      <c r="E40" s="112"/>
      <c r="F40" s="112"/>
      <c r="G40" s="108"/>
      <c r="H40" s="108"/>
      <c r="I40" s="108"/>
      <c r="J40" s="108"/>
      <c r="K40" s="108"/>
      <c r="L40" s="108"/>
    </row>
    <row r="41" spans="1:12">
      <c r="A41" s="84"/>
      <c r="B41" s="112"/>
      <c r="C41" s="112"/>
      <c r="D41" s="189"/>
      <c r="E41" s="112"/>
      <c r="F41" s="112"/>
      <c r="G41" s="108"/>
      <c r="H41" s="108"/>
      <c r="I41" s="108"/>
      <c r="J41" s="108"/>
      <c r="K41" s="108"/>
      <c r="L41" s="108"/>
    </row>
    <row r="42" spans="1:12">
      <c r="A42" s="84"/>
      <c r="B42" s="112"/>
      <c r="C42" s="112"/>
      <c r="D42" s="189"/>
      <c r="E42" s="112"/>
      <c r="F42" s="112"/>
      <c r="G42" s="108"/>
      <c r="H42" s="108"/>
      <c r="I42" s="108"/>
      <c r="J42" s="108"/>
      <c r="K42" s="108"/>
      <c r="L42" s="108"/>
    </row>
    <row r="43" spans="1:12">
      <c r="A43" s="84"/>
      <c r="B43" s="112"/>
      <c r="C43" s="112"/>
      <c r="D43" s="189"/>
      <c r="E43" s="112"/>
      <c r="F43" s="112"/>
      <c r="G43" s="108"/>
      <c r="H43" s="108"/>
      <c r="I43" s="108"/>
      <c r="J43" s="108"/>
      <c r="K43" s="108"/>
      <c r="L43" s="108"/>
    </row>
    <row r="44" spans="1:12">
      <c r="A44" s="84"/>
      <c r="B44" s="112"/>
      <c r="C44" s="112"/>
      <c r="D44" s="189"/>
      <c r="E44" s="112"/>
      <c r="F44" s="112"/>
      <c r="G44" s="108"/>
      <c r="H44" s="108"/>
      <c r="I44" s="108"/>
      <c r="J44" s="108"/>
      <c r="K44" s="108"/>
      <c r="L44" s="108"/>
    </row>
    <row r="45" spans="1:12">
      <c r="A45" s="84"/>
      <c r="B45" s="112"/>
      <c r="C45" s="112"/>
      <c r="D45" s="189"/>
      <c r="E45" s="112"/>
      <c r="F45" s="112"/>
      <c r="G45" s="108"/>
      <c r="H45" s="108"/>
      <c r="I45" s="108"/>
      <c r="J45" s="108"/>
      <c r="K45" s="108"/>
      <c r="L45" s="108"/>
    </row>
    <row r="46" spans="1:12">
      <c r="A46" s="84"/>
      <c r="B46" s="112"/>
      <c r="C46" s="112"/>
      <c r="D46" s="189"/>
      <c r="E46" s="112"/>
      <c r="F46" s="112"/>
      <c r="G46" s="108"/>
      <c r="H46" s="108"/>
      <c r="I46" s="108"/>
      <c r="J46" s="108"/>
      <c r="K46" s="108"/>
      <c r="L46" s="108"/>
    </row>
    <row r="47" spans="1:12">
      <c r="A47" s="84"/>
      <c r="B47" s="112"/>
      <c r="C47" s="112"/>
      <c r="D47" s="189"/>
      <c r="E47" s="112"/>
      <c r="F47" s="112"/>
      <c r="G47" s="108"/>
      <c r="H47" s="108"/>
      <c r="I47" s="108"/>
      <c r="J47" s="108"/>
      <c r="K47" s="108"/>
      <c r="L47" s="108"/>
    </row>
    <row r="48" spans="1:12">
      <c r="A48" s="84"/>
      <c r="B48" s="112"/>
      <c r="C48" s="112"/>
      <c r="D48" s="189"/>
      <c r="E48" s="112"/>
      <c r="F48" s="112"/>
      <c r="G48" s="108"/>
      <c r="H48" s="108"/>
      <c r="I48" s="108"/>
      <c r="J48" s="108"/>
      <c r="K48" s="108"/>
      <c r="L48" s="108"/>
    </row>
    <row r="49" spans="1:12">
      <c r="A49" s="84"/>
      <c r="B49" s="112"/>
      <c r="C49" s="112"/>
      <c r="D49" s="189"/>
      <c r="E49" s="112"/>
      <c r="F49" s="112"/>
      <c r="G49" s="108"/>
      <c r="H49" s="108"/>
      <c r="I49" s="108"/>
      <c r="J49" s="108"/>
      <c r="K49" s="108"/>
      <c r="L49" s="108"/>
    </row>
    <row r="50" spans="1:12">
      <c r="A50" s="84"/>
      <c r="B50" s="112"/>
      <c r="C50" s="112"/>
      <c r="D50" s="189"/>
      <c r="E50" s="112"/>
      <c r="F50" s="112"/>
      <c r="G50" s="108"/>
      <c r="H50" s="108"/>
      <c r="I50" s="108"/>
      <c r="J50" s="108"/>
      <c r="K50" s="108"/>
      <c r="L50" s="108"/>
    </row>
    <row r="51" spans="1:12">
      <c r="A51" s="84"/>
      <c r="B51" s="112"/>
      <c r="C51" s="112"/>
      <c r="D51" s="189"/>
      <c r="E51" s="112"/>
      <c r="F51" s="112"/>
      <c r="G51" s="108"/>
    </row>
  </sheetData>
  <mergeCells count="12">
    <mergeCell ref="A27:F27"/>
    <mergeCell ref="F25:G25"/>
    <mergeCell ref="A1:B1"/>
    <mergeCell ref="A2:B2"/>
    <mergeCell ref="C2:G2"/>
    <mergeCell ref="A24:C24"/>
    <mergeCell ref="F22:G22"/>
    <mergeCell ref="A23:B23"/>
    <mergeCell ref="F23:G23"/>
    <mergeCell ref="A3:G3"/>
    <mergeCell ref="B21:C21"/>
    <mergeCell ref="A20:B20"/>
  </mergeCells>
  <pageMargins left="0.44" right="0.33" top="0.35" bottom="0.22" header="0.54" footer="0.21"/>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1"/>
  <sheetViews>
    <sheetView zoomScale="106" zoomScaleNormal="106" zoomScalePageLayoutView="106" workbookViewId="0">
      <pane xSplit="2" ySplit="5" topLeftCell="C41" activePane="bottomRight" state="frozen"/>
      <selection pane="topRight" activeCell="C1" sqref="C1"/>
      <selection pane="bottomLeft" activeCell="A8" sqref="A8"/>
      <selection pane="bottomRight" activeCell="B45" sqref="B45"/>
    </sheetView>
  </sheetViews>
  <sheetFormatPr baseColWidth="10" defaultColWidth="9.1640625" defaultRowHeight="13"/>
  <cols>
    <col min="1" max="1" width="5.1640625" style="85" customWidth="1"/>
    <col min="2" max="2" width="34.1640625" style="113" customWidth="1"/>
    <col min="3" max="3" width="9.83203125" style="113" customWidth="1"/>
    <col min="4" max="4" width="9.5" style="113" customWidth="1"/>
    <col min="5" max="5" width="36.6640625" style="109" customWidth="1"/>
    <col min="6" max="16384" width="9.1640625" style="109"/>
  </cols>
  <sheetData>
    <row r="1" spans="1:5" ht="14.25" customHeight="1">
      <c r="A1" s="1642" t="s">
        <v>137</v>
      </c>
      <c r="B1" s="1642"/>
      <c r="C1" s="104"/>
      <c r="D1" s="104"/>
      <c r="E1" s="41" t="s">
        <v>34</v>
      </c>
    </row>
    <row r="2" spans="1:5" ht="14.25" customHeight="1">
      <c r="A2" s="1656" t="s">
        <v>563</v>
      </c>
      <c r="B2" s="1656"/>
      <c r="C2" s="118"/>
      <c r="D2" s="118"/>
      <c r="E2" s="118"/>
    </row>
    <row r="3" spans="1:5" ht="28.5" customHeight="1">
      <c r="A3" s="1561" t="s">
        <v>932</v>
      </c>
      <c r="B3" s="1561"/>
      <c r="C3" s="1561"/>
      <c r="D3" s="1561"/>
      <c r="E3" s="1561"/>
    </row>
    <row r="4" spans="1:5">
      <c r="A4" s="121"/>
      <c r="B4" s="121"/>
      <c r="C4" s="121"/>
      <c r="D4" s="121"/>
      <c r="E4" s="106"/>
    </row>
    <row r="5" spans="1:5" ht="36.75" customHeight="1">
      <c r="A5" s="243" t="s">
        <v>0</v>
      </c>
      <c r="B5" s="243" t="s">
        <v>9</v>
      </c>
      <c r="C5" s="243" t="s">
        <v>35</v>
      </c>
      <c r="D5" s="243" t="s">
        <v>10</v>
      </c>
      <c r="E5" s="243" t="s">
        <v>70</v>
      </c>
    </row>
    <row r="6" spans="1:5" s="119" customFormat="1" ht="28.5" customHeight="1">
      <c r="A6" s="243"/>
      <c r="B6" s="244" t="s">
        <v>986</v>
      </c>
      <c r="C6" s="243"/>
      <c r="D6" s="243"/>
      <c r="E6" s="243"/>
    </row>
    <row r="7" spans="1:5" s="114" customFormat="1" ht="18.75" customHeight="1">
      <c r="A7" s="243"/>
      <c r="B7" s="244" t="s">
        <v>343</v>
      </c>
      <c r="C7" s="243"/>
      <c r="D7" s="243"/>
      <c r="E7" s="243"/>
    </row>
    <row r="8" spans="1:5" s="114" customFormat="1" ht="18.75" customHeight="1">
      <c r="A8" s="243"/>
      <c r="B8" s="244" t="s">
        <v>987</v>
      </c>
      <c r="C8" s="243"/>
      <c r="D8" s="243"/>
      <c r="E8" s="243"/>
    </row>
    <row r="9" spans="1:5" s="114" customFormat="1" ht="30" customHeight="1">
      <c r="A9" s="243"/>
      <c r="B9" s="245" t="s">
        <v>872</v>
      </c>
      <c r="C9" s="243"/>
      <c r="D9" s="243"/>
      <c r="E9" s="243"/>
    </row>
    <row r="10" spans="1:5" s="114" customFormat="1" ht="29.25" customHeight="1">
      <c r="A10" s="243"/>
      <c r="B10" s="245" t="s">
        <v>863</v>
      </c>
      <c r="C10" s="243"/>
      <c r="D10" s="243"/>
      <c r="E10" s="243"/>
    </row>
    <row r="11" spans="1:5" s="114" customFormat="1" ht="18.75" customHeight="1">
      <c r="A11" s="243"/>
      <c r="B11" s="234" t="s">
        <v>864</v>
      </c>
      <c r="C11" s="243"/>
      <c r="D11" s="243"/>
      <c r="E11" s="243"/>
    </row>
    <row r="12" spans="1:5" s="114" customFormat="1" ht="18.75" customHeight="1">
      <c r="A12" s="243"/>
      <c r="B12" s="246" t="s">
        <v>985</v>
      </c>
      <c r="C12" s="243"/>
      <c r="D12" s="243"/>
      <c r="E12" s="243"/>
    </row>
    <row r="13" spans="1:5" s="114" customFormat="1" ht="25.5" customHeight="1">
      <c r="A13" s="243" t="s">
        <v>7</v>
      </c>
      <c r="B13" s="247" t="s">
        <v>173</v>
      </c>
      <c r="C13" s="243"/>
      <c r="D13" s="243"/>
      <c r="E13" s="243"/>
    </row>
    <row r="14" spans="1:5" s="114" customFormat="1" ht="29" customHeight="1">
      <c r="A14" s="235">
        <v>1</v>
      </c>
      <c r="B14" s="245" t="s">
        <v>358</v>
      </c>
      <c r="C14" s="243"/>
      <c r="D14" s="243"/>
      <c r="E14" s="1093" t="s">
        <v>993</v>
      </c>
    </row>
    <row r="15" spans="1:5" s="114" customFormat="1" ht="26" customHeight="1">
      <c r="A15" s="235">
        <v>2</v>
      </c>
      <c r="B15" s="245" t="s">
        <v>359</v>
      </c>
      <c r="C15" s="243"/>
      <c r="D15" s="243"/>
      <c r="E15" s="1093" t="s">
        <v>993</v>
      </c>
    </row>
    <row r="16" spans="1:5" s="111" customFormat="1" ht="15.75" customHeight="1">
      <c r="A16" s="242" t="s">
        <v>7</v>
      </c>
      <c r="B16" s="236" t="s">
        <v>360</v>
      </c>
      <c r="C16" s="242"/>
      <c r="D16" s="242"/>
      <c r="E16" s="248"/>
    </row>
    <row r="17" spans="1:5" s="111" customFormat="1" ht="15.75" customHeight="1">
      <c r="A17" s="237"/>
      <c r="B17" s="1082" t="s">
        <v>984</v>
      </c>
      <c r="C17" s="1083"/>
      <c r="D17" s="1083"/>
      <c r="E17" s="1084"/>
    </row>
    <row r="18" spans="1:5" s="111" customFormat="1" ht="15.75" customHeight="1">
      <c r="A18" s="237"/>
      <c r="B18" s="1082" t="s">
        <v>859</v>
      </c>
      <c r="C18" s="1083"/>
      <c r="D18" s="1083"/>
      <c r="E18" s="1084"/>
    </row>
    <row r="19" spans="1:5" s="111" customFormat="1" ht="17.25" customHeight="1">
      <c r="A19" s="237"/>
      <c r="B19" s="1082" t="s">
        <v>327</v>
      </c>
      <c r="C19" s="1083" t="s">
        <v>332</v>
      </c>
      <c r="D19" s="1083" t="s">
        <v>362</v>
      </c>
      <c r="E19" s="931" t="s">
        <v>860</v>
      </c>
    </row>
    <row r="20" spans="1:5" s="111" customFormat="1" ht="15.75" customHeight="1">
      <c r="A20" s="237"/>
      <c r="B20" s="1082" t="s">
        <v>363</v>
      </c>
      <c r="C20" s="1083"/>
      <c r="D20" s="1083"/>
      <c r="E20" s="1085"/>
    </row>
    <row r="21" spans="1:5" s="111" customFormat="1" ht="35" customHeight="1">
      <c r="A21" s="237"/>
      <c r="B21" s="1082" t="s">
        <v>995</v>
      </c>
      <c r="C21" s="1083"/>
      <c r="D21" s="1083"/>
      <c r="E21" s="1096" t="s">
        <v>996</v>
      </c>
    </row>
    <row r="22" spans="1:5" s="111" customFormat="1" ht="15.75" customHeight="1">
      <c r="A22" s="497" t="s">
        <v>8</v>
      </c>
      <c r="B22" s="472" t="s">
        <v>364</v>
      </c>
      <c r="C22" s="497"/>
      <c r="D22" s="497"/>
      <c r="E22" s="498"/>
    </row>
    <row r="23" spans="1:5" s="111" customFormat="1" ht="31" customHeight="1">
      <c r="A23" s="474"/>
      <c r="B23" s="1094" t="s">
        <v>997</v>
      </c>
      <c r="C23" s="474"/>
      <c r="D23" s="474"/>
      <c r="E23" s="351"/>
    </row>
    <row r="24" spans="1:5" s="111" customFormat="1" ht="15.75" customHeight="1">
      <c r="A24" s="474"/>
      <c r="B24" s="499" t="s">
        <v>957</v>
      </c>
      <c r="C24" s="474"/>
      <c r="D24" s="474"/>
      <c r="E24" s="351"/>
    </row>
    <row r="25" spans="1:5" s="111" customFormat="1" ht="25" customHeight="1">
      <c r="A25" s="474"/>
      <c r="B25" s="1094" t="s">
        <v>926</v>
      </c>
      <c r="C25" s="1095"/>
      <c r="D25" s="1095" t="s">
        <v>362</v>
      </c>
      <c r="E25" s="1096" t="s">
        <v>994</v>
      </c>
    </row>
    <row r="26" spans="1:5" s="111" customFormat="1" ht="15.75" customHeight="1">
      <c r="A26" s="474"/>
      <c r="B26" s="499" t="s">
        <v>886</v>
      </c>
      <c r="C26" s="474"/>
      <c r="D26" s="474"/>
      <c r="E26" s="351"/>
    </row>
    <row r="27" spans="1:5" s="111" customFormat="1" ht="21" customHeight="1">
      <c r="A27" s="474"/>
      <c r="B27" s="499" t="s">
        <v>885</v>
      </c>
      <c r="C27" s="474"/>
      <c r="D27" s="474"/>
      <c r="E27" s="351"/>
    </row>
    <row r="28" spans="1:5" s="111" customFormat="1" ht="21" customHeight="1">
      <c r="A28" s="484" t="s">
        <v>25</v>
      </c>
      <c r="B28" s="483" t="s">
        <v>294</v>
      </c>
      <c r="C28" s="486"/>
      <c r="D28" s="486"/>
      <c r="E28" s="500"/>
    </row>
    <row r="29" spans="1:5" s="111" customFormat="1" ht="32" customHeight="1">
      <c r="A29" s="1095">
        <v>1</v>
      </c>
      <c r="B29" s="499" t="s">
        <v>925</v>
      </c>
      <c r="C29" s="474"/>
      <c r="D29" s="474"/>
      <c r="E29" s="351"/>
    </row>
    <row r="30" spans="1:5" s="111" customFormat="1" ht="27" customHeight="1">
      <c r="A30" s="1095">
        <v>2</v>
      </c>
      <c r="B30" s="499" t="s">
        <v>365</v>
      </c>
      <c r="C30" s="930"/>
      <c r="D30" s="930"/>
      <c r="E30" s="931"/>
    </row>
    <row r="31" spans="1:5" s="111" customFormat="1" ht="22" customHeight="1">
      <c r="A31" s="1095" t="s">
        <v>131</v>
      </c>
      <c r="B31" s="499" t="s">
        <v>886</v>
      </c>
      <c r="C31" s="930"/>
      <c r="D31" s="930"/>
      <c r="E31" s="931"/>
    </row>
    <row r="32" spans="1:5" s="111" customFormat="1" ht="35" customHeight="1">
      <c r="A32" s="1095">
        <v>3</v>
      </c>
      <c r="B32" s="1094" t="s">
        <v>1004</v>
      </c>
      <c r="C32" s="1095"/>
      <c r="D32" s="1095" t="s">
        <v>366</v>
      </c>
      <c r="E32" s="931"/>
    </row>
    <row r="33" spans="1:5" s="111" customFormat="1" ht="56" customHeight="1">
      <c r="A33" s="1095">
        <v>4</v>
      </c>
      <c r="B33" s="1094" t="s">
        <v>998</v>
      </c>
      <c r="C33" s="1095"/>
      <c r="D33" s="1095"/>
      <c r="E33" s="1096" t="s">
        <v>1005</v>
      </c>
    </row>
    <row r="34" spans="1:5" s="111" customFormat="1" ht="57" customHeight="1">
      <c r="A34" s="1095" t="s">
        <v>999</v>
      </c>
      <c r="B34" s="1094" t="s">
        <v>1000</v>
      </c>
      <c r="C34" s="1095"/>
      <c r="D34" s="1095"/>
      <c r="E34" s="1096" t="s">
        <v>1006</v>
      </c>
    </row>
    <row r="35" spans="1:5" s="111" customFormat="1" ht="67" customHeight="1">
      <c r="A35" s="1095" t="s">
        <v>1001</v>
      </c>
      <c r="B35" s="1094" t="s">
        <v>1002</v>
      </c>
      <c r="C35" s="1095"/>
      <c r="D35" s="1095"/>
      <c r="E35" s="1096" t="s">
        <v>1003</v>
      </c>
    </row>
    <row r="36" spans="1:5" s="111" customFormat="1" ht="15.75" customHeight="1">
      <c r="A36" s="484" t="s">
        <v>36</v>
      </c>
      <c r="B36" s="483" t="s">
        <v>367</v>
      </c>
      <c r="C36" s="486"/>
      <c r="D36" s="486"/>
      <c r="E36" s="500"/>
    </row>
    <row r="37" spans="1:5" s="111" customFormat="1" ht="15.75" customHeight="1">
      <c r="A37" s="1095">
        <v>1</v>
      </c>
      <c r="B37" s="1094" t="s">
        <v>922</v>
      </c>
      <c r="C37" s="1095"/>
      <c r="D37" s="1095"/>
      <c r="E37" s="1096"/>
    </row>
    <row r="38" spans="1:5" s="111" customFormat="1" ht="21" customHeight="1">
      <c r="A38" s="1095">
        <v>2</v>
      </c>
      <c r="B38" s="1094" t="s">
        <v>931</v>
      </c>
      <c r="C38" s="1095"/>
      <c r="D38" s="1095"/>
      <c r="E38" s="1096"/>
    </row>
    <row r="39" spans="1:5" s="111" customFormat="1" ht="25.5" customHeight="1">
      <c r="A39" s="1095" t="s">
        <v>131</v>
      </c>
      <c r="B39" s="1094" t="s">
        <v>342</v>
      </c>
      <c r="C39" s="1095"/>
      <c r="D39" s="1095" t="s">
        <v>362</v>
      </c>
      <c r="E39" s="1096" t="s">
        <v>862</v>
      </c>
    </row>
    <row r="40" spans="1:5" s="111" customFormat="1" ht="25.5" customHeight="1">
      <c r="A40" s="1095">
        <v>3</v>
      </c>
      <c r="B40" s="1094" t="s">
        <v>365</v>
      </c>
      <c r="C40" s="1095"/>
      <c r="D40" s="1095"/>
      <c r="E40" s="1096"/>
    </row>
    <row r="41" spans="1:5" s="111" customFormat="1" ht="28" customHeight="1">
      <c r="A41" s="1095">
        <v>4</v>
      </c>
      <c r="B41" s="1094" t="s">
        <v>1004</v>
      </c>
      <c r="C41" s="1095"/>
      <c r="D41" s="1095"/>
      <c r="E41" s="1096" t="s">
        <v>1007</v>
      </c>
    </row>
    <row r="42" spans="1:5" s="111" customFormat="1" ht="15.75" customHeight="1">
      <c r="A42" s="249" t="s">
        <v>40</v>
      </c>
      <c r="B42" s="483" t="s">
        <v>368</v>
      </c>
      <c r="C42" s="486"/>
      <c r="D42" s="486"/>
      <c r="E42" s="500"/>
    </row>
    <row r="43" spans="1:5" s="111" customFormat="1" ht="22" customHeight="1">
      <c r="A43" s="501"/>
      <c r="B43" s="937" t="s">
        <v>361</v>
      </c>
      <c r="C43" s="930"/>
      <c r="D43" s="930"/>
      <c r="E43" s="931"/>
    </row>
    <row r="44" spans="1:5" s="111" customFormat="1" ht="15.75" customHeight="1">
      <c r="A44" s="501"/>
      <c r="B44" s="937" t="s">
        <v>365</v>
      </c>
      <c r="C44" s="945"/>
      <c r="D44" s="945"/>
      <c r="E44" s="945"/>
    </row>
    <row r="45" spans="1:5" s="111" customFormat="1" ht="59" customHeight="1">
      <c r="A45" s="502"/>
      <c r="B45" s="946" t="s">
        <v>1008</v>
      </c>
      <c r="C45" s="947"/>
      <c r="D45" s="947"/>
      <c r="E45" s="924" t="s">
        <v>971</v>
      </c>
    </row>
    <row r="46" spans="1:5" s="111" customFormat="1" ht="34.5" customHeight="1">
      <c r="A46" s="688" t="s">
        <v>579</v>
      </c>
      <c r="B46" s="685" t="s">
        <v>487</v>
      </c>
      <c r="C46" s="684"/>
      <c r="D46" s="684"/>
      <c r="E46" s="687"/>
    </row>
    <row r="47" spans="1:5" s="111" customFormat="1" ht="34.5" customHeight="1">
      <c r="A47" s="684"/>
      <c r="B47" s="686" t="s">
        <v>754</v>
      </c>
      <c r="C47" s="684"/>
      <c r="D47" s="684"/>
      <c r="E47" s="686" t="s">
        <v>989</v>
      </c>
    </row>
    <row r="48" spans="1:5" s="111" customFormat="1" ht="34.5" customHeight="1">
      <c r="A48" s="684"/>
      <c r="B48" s="686" t="s">
        <v>755</v>
      </c>
      <c r="C48" s="684"/>
      <c r="D48" s="684"/>
      <c r="E48" s="686" t="s">
        <v>881</v>
      </c>
    </row>
    <row r="49" spans="1:6" s="111" customFormat="1" ht="42">
      <c r="A49" s="684"/>
      <c r="B49" s="686" t="s">
        <v>882</v>
      </c>
      <c r="C49" s="684"/>
      <c r="D49" s="684"/>
      <c r="E49" s="686"/>
    </row>
    <row r="50" spans="1:6" s="111" customFormat="1" ht="34.5" customHeight="1">
      <c r="A50" s="684"/>
      <c r="B50" s="503" t="s">
        <v>988</v>
      </c>
      <c r="C50" s="684"/>
      <c r="D50" s="684"/>
      <c r="E50" s="686"/>
    </row>
    <row r="51" spans="1:6" s="111" customFormat="1" ht="36.75" customHeight="1">
      <c r="A51" s="504"/>
      <c r="B51" s="1657" t="s">
        <v>990</v>
      </c>
      <c r="C51" s="1657"/>
      <c r="D51" s="1657"/>
      <c r="E51" s="1657"/>
    </row>
    <row r="52" spans="1:6" ht="18.75" customHeight="1">
      <c r="A52" s="83"/>
      <c r="B52" s="103"/>
      <c r="C52" s="103"/>
      <c r="D52" s="103"/>
      <c r="E52" s="120" t="s">
        <v>972</v>
      </c>
    </row>
    <row r="53" spans="1:6" ht="13.5" customHeight="1">
      <c r="A53" s="83"/>
      <c r="B53" s="104"/>
      <c r="C53" s="103"/>
      <c r="D53" s="103"/>
      <c r="E53" s="52" t="s">
        <v>21</v>
      </c>
    </row>
    <row r="54" spans="1:6" ht="71.25" customHeight="1">
      <c r="A54" s="1655" t="s">
        <v>79</v>
      </c>
      <c r="B54" s="1655"/>
      <c r="C54" s="1655"/>
      <c r="D54" s="1655"/>
      <c r="E54" s="52"/>
    </row>
    <row r="55" spans="1:6" ht="14">
      <c r="A55" s="83"/>
      <c r="B55" s="103"/>
      <c r="C55" s="103"/>
      <c r="D55" s="103"/>
      <c r="E55" s="253" t="s">
        <v>766</v>
      </c>
      <c r="F55" s="104"/>
    </row>
    <row r="56" spans="1:6">
      <c r="A56" s="83"/>
      <c r="B56" s="103"/>
      <c r="C56" s="103"/>
      <c r="D56" s="103"/>
      <c r="E56" s="107"/>
    </row>
    <row r="57" spans="1:6">
      <c r="A57" s="83"/>
      <c r="B57" s="103"/>
      <c r="C57" s="103"/>
      <c r="D57" s="103"/>
      <c r="E57" s="107"/>
    </row>
    <row r="58" spans="1:6">
      <c r="A58" s="83"/>
      <c r="B58" s="103"/>
      <c r="C58" s="103"/>
      <c r="D58" s="103"/>
      <c r="E58" s="107"/>
    </row>
    <row r="59" spans="1:6" ht="13.5" customHeight="1">
      <c r="A59" s="83"/>
      <c r="B59" s="103"/>
      <c r="C59" s="103"/>
      <c r="D59" s="103"/>
      <c r="E59" s="107"/>
    </row>
    <row r="60" spans="1:6">
      <c r="A60" s="83"/>
      <c r="B60" s="103"/>
      <c r="C60" s="103"/>
      <c r="D60" s="103"/>
      <c r="E60" s="107"/>
    </row>
    <row r="61" spans="1:6">
      <c r="A61" s="83"/>
      <c r="B61" s="103"/>
      <c r="C61" s="103"/>
      <c r="D61" s="103"/>
      <c r="E61" s="107"/>
    </row>
    <row r="62" spans="1:6">
      <c r="A62" s="83"/>
      <c r="B62" s="103"/>
      <c r="C62" s="103"/>
      <c r="D62" s="103"/>
      <c r="E62" s="107"/>
    </row>
    <row r="63" spans="1:6">
      <c r="A63" s="83"/>
      <c r="B63" s="103"/>
      <c r="C63" s="103"/>
      <c r="D63" s="103"/>
      <c r="E63" s="107"/>
    </row>
    <row r="64" spans="1:6">
      <c r="A64" s="83"/>
      <c r="B64" s="103"/>
      <c r="C64" s="103"/>
      <c r="D64" s="103"/>
      <c r="E64" s="107"/>
    </row>
    <row r="65" spans="1:5">
      <c r="A65" s="83"/>
      <c r="B65" s="103"/>
      <c r="C65" s="103"/>
      <c r="D65" s="103"/>
      <c r="E65" s="107"/>
    </row>
    <row r="66" spans="1:5">
      <c r="A66" s="83"/>
      <c r="B66" s="103"/>
      <c r="C66" s="103"/>
      <c r="D66" s="103"/>
      <c r="E66" s="107"/>
    </row>
    <row r="67" spans="1:5">
      <c r="A67" s="83"/>
      <c r="B67" s="103"/>
      <c r="C67" s="103"/>
      <c r="D67" s="103"/>
      <c r="E67" s="107"/>
    </row>
    <row r="68" spans="1:5">
      <c r="A68" s="83"/>
      <c r="B68" s="103"/>
      <c r="C68" s="103"/>
      <c r="D68" s="103"/>
      <c r="E68" s="107"/>
    </row>
    <row r="69" spans="1:5">
      <c r="A69" s="83"/>
      <c r="B69" s="103"/>
      <c r="C69" s="103"/>
      <c r="D69" s="103"/>
      <c r="E69" s="107"/>
    </row>
    <row r="70" spans="1:5">
      <c r="A70" s="83"/>
      <c r="B70" s="103"/>
      <c r="C70" s="103"/>
      <c r="D70" s="103"/>
      <c r="E70" s="107"/>
    </row>
    <row r="71" spans="1:5">
      <c r="A71" s="83"/>
      <c r="B71" s="103"/>
      <c r="C71" s="103"/>
      <c r="D71" s="103"/>
      <c r="E71" s="107"/>
    </row>
    <row r="72" spans="1:5">
      <c r="A72" s="83"/>
      <c r="B72" s="103"/>
      <c r="C72" s="103"/>
      <c r="D72" s="103"/>
      <c r="E72" s="107"/>
    </row>
    <row r="73" spans="1:5">
      <c r="A73" s="83"/>
      <c r="B73" s="103"/>
      <c r="C73" s="103"/>
      <c r="D73" s="103"/>
      <c r="E73" s="107"/>
    </row>
    <row r="74" spans="1:5">
      <c r="A74" s="83"/>
      <c r="B74" s="103"/>
      <c r="C74" s="103"/>
      <c r="D74" s="103"/>
      <c r="E74" s="107"/>
    </row>
    <row r="75" spans="1:5">
      <c r="A75" s="83"/>
      <c r="B75" s="103"/>
      <c r="C75" s="103"/>
      <c r="D75" s="103"/>
      <c r="E75" s="107"/>
    </row>
    <row r="76" spans="1:5">
      <c r="A76" s="83"/>
      <c r="B76" s="103"/>
      <c r="C76" s="103"/>
      <c r="D76" s="103"/>
      <c r="E76" s="107"/>
    </row>
    <row r="77" spans="1:5">
      <c r="A77" s="83"/>
      <c r="B77" s="103"/>
      <c r="C77" s="103"/>
      <c r="D77" s="103"/>
      <c r="E77" s="107"/>
    </row>
    <row r="78" spans="1:5">
      <c r="A78" s="83"/>
      <c r="B78" s="103"/>
      <c r="C78" s="103"/>
      <c r="D78" s="103"/>
      <c r="E78" s="107"/>
    </row>
    <row r="79" spans="1:5">
      <c r="A79" s="83"/>
      <c r="B79" s="103"/>
      <c r="C79" s="103"/>
      <c r="D79" s="103"/>
      <c r="E79" s="107"/>
    </row>
    <row r="80" spans="1:5">
      <c r="A80" s="83"/>
      <c r="B80" s="103"/>
      <c r="C80" s="103"/>
      <c r="D80" s="103"/>
      <c r="E80" s="107"/>
    </row>
    <row r="81" spans="1:5">
      <c r="A81" s="84"/>
      <c r="B81" s="112"/>
      <c r="C81" s="112"/>
      <c r="D81" s="112"/>
      <c r="E81" s="108"/>
    </row>
  </sheetData>
  <mergeCells count="5">
    <mergeCell ref="A3:E3"/>
    <mergeCell ref="A54:D54"/>
    <mergeCell ref="A1:B1"/>
    <mergeCell ref="A2:B2"/>
    <mergeCell ref="B51:E51"/>
  </mergeCells>
  <pageMargins left="0.46" right="0.33" top="0.51" bottom="0.42" header="0.51" footer="0.21"/>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36"/>
  <sheetViews>
    <sheetView topLeftCell="A14" workbookViewId="0">
      <selection activeCell="B32" sqref="B32"/>
    </sheetView>
  </sheetViews>
  <sheetFormatPr baseColWidth="10" defaultColWidth="9.1640625" defaultRowHeight="13"/>
  <cols>
    <col min="1" max="1" width="6.6640625" style="6" customWidth="1"/>
    <col min="2" max="2" width="47" style="6" customWidth="1"/>
    <col min="3" max="3" width="21.1640625" style="6" customWidth="1"/>
    <col min="4" max="4" width="14.6640625" style="5" customWidth="1"/>
    <col min="5" max="5" width="14" style="6" customWidth="1"/>
    <col min="6" max="16384" width="9.1640625" style="6"/>
  </cols>
  <sheetData>
    <row r="1" spans="1:5" ht="20" customHeight="1">
      <c r="A1" s="122" t="s">
        <v>137</v>
      </c>
      <c r="B1" s="505"/>
      <c r="C1" s="505"/>
      <c r="D1" s="506"/>
      <c r="E1" s="1088" t="s">
        <v>239</v>
      </c>
    </row>
    <row r="2" spans="1:5" ht="20" customHeight="1">
      <c r="A2" s="507" t="s">
        <v>560</v>
      </c>
      <c r="B2" s="505"/>
      <c r="C2" s="505"/>
      <c r="D2" s="508" t="s">
        <v>523</v>
      </c>
    </row>
    <row r="3" spans="1:5" ht="20" customHeight="1">
      <c r="A3" s="1658" t="s">
        <v>991</v>
      </c>
      <c r="B3" s="1658"/>
      <c r="C3" s="1658"/>
      <c r="D3" s="1658"/>
      <c r="E3" s="1658"/>
    </row>
    <row r="4" spans="1:5" ht="14" thickBot="1">
      <c r="A4" s="1538"/>
      <c r="B4" s="1538"/>
      <c r="C4" s="1538"/>
      <c r="D4" s="1539"/>
      <c r="E4" s="1539"/>
    </row>
    <row r="5" spans="1:5" ht="37.5" customHeight="1" thickTop="1">
      <c r="A5" s="736" t="s">
        <v>0</v>
      </c>
      <c r="B5" s="737" t="s">
        <v>37</v>
      </c>
      <c r="C5" s="737" t="s">
        <v>112</v>
      </c>
      <c r="D5" s="737" t="s">
        <v>38</v>
      </c>
      <c r="E5" s="738" t="s">
        <v>2</v>
      </c>
    </row>
    <row r="6" spans="1:5" ht="33" customHeight="1">
      <c r="A6" s="739" t="s">
        <v>7</v>
      </c>
      <c r="B6" s="730" t="s">
        <v>80</v>
      </c>
      <c r="C6" s="740"/>
      <c r="D6" s="754"/>
      <c r="E6" s="741"/>
    </row>
    <row r="7" spans="1:5" ht="18.75" customHeight="1">
      <c r="A7" s="742">
        <v>1</v>
      </c>
      <c r="B7" s="743" t="s">
        <v>82</v>
      </c>
      <c r="C7" s="743"/>
      <c r="D7" s="1540">
        <v>1150000</v>
      </c>
      <c r="E7" s="744"/>
    </row>
    <row r="8" spans="1:5" ht="50" customHeight="1">
      <c r="A8" s="1541" t="s">
        <v>369</v>
      </c>
      <c r="B8" s="1542" t="s">
        <v>594</v>
      </c>
      <c r="C8" s="1542" t="s">
        <v>595</v>
      </c>
      <c r="D8" s="1543">
        <v>650000</v>
      </c>
      <c r="E8" s="1544">
        <v>0.5</v>
      </c>
    </row>
    <row r="9" spans="1:5" ht="50" customHeight="1">
      <c r="A9" s="1541">
        <v>1.2</v>
      </c>
      <c r="B9" s="1542" t="s">
        <v>1356</v>
      </c>
      <c r="C9" s="1542" t="s">
        <v>719</v>
      </c>
      <c r="D9" s="1543">
        <v>250000</v>
      </c>
      <c r="E9" s="1544">
        <v>0.5</v>
      </c>
    </row>
    <row r="10" spans="1:5" ht="18.75" customHeight="1">
      <c r="A10" s="1545">
        <v>2</v>
      </c>
      <c r="B10" s="1546" t="s">
        <v>81</v>
      </c>
      <c r="C10" s="1546"/>
      <c r="D10" s="1547">
        <v>175000</v>
      </c>
      <c r="E10" s="1548"/>
    </row>
    <row r="11" spans="1:5" ht="46" customHeight="1">
      <c r="A11" s="731">
        <v>2.1</v>
      </c>
      <c r="B11" s="733" t="s">
        <v>792</v>
      </c>
      <c r="C11" s="733" t="s">
        <v>793</v>
      </c>
      <c r="D11" s="756">
        <v>175000</v>
      </c>
      <c r="E11" s="745">
        <v>0.5</v>
      </c>
    </row>
    <row r="12" spans="1:5" ht="18.75" customHeight="1">
      <c r="A12" s="742">
        <v>3</v>
      </c>
      <c r="B12" s="743" t="s">
        <v>83</v>
      </c>
      <c r="C12" s="743"/>
      <c r="D12" s="755"/>
      <c r="E12" s="744"/>
    </row>
    <row r="13" spans="1:5" ht="33.75" customHeight="1">
      <c r="A13" s="746" t="s">
        <v>8</v>
      </c>
      <c r="B13" s="747" t="s">
        <v>113</v>
      </c>
      <c r="C13" s="747"/>
      <c r="D13" s="757"/>
      <c r="E13" s="748"/>
    </row>
    <row r="14" spans="1:5" ht="18.75" customHeight="1">
      <c r="A14" s="729" t="s">
        <v>25</v>
      </c>
      <c r="B14" s="730" t="s">
        <v>794</v>
      </c>
      <c r="C14" s="730"/>
      <c r="D14" s="891">
        <f>SUM(D15:D20)</f>
        <v>60000</v>
      </c>
      <c r="E14" s="749"/>
    </row>
    <row r="15" spans="1:5" ht="30">
      <c r="A15" s="1541">
        <v>3.1</v>
      </c>
      <c r="B15" s="1542" t="s">
        <v>1357</v>
      </c>
      <c r="C15" s="1542" t="s">
        <v>1358</v>
      </c>
      <c r="D15" s="1543">
        <v>10000</v>
      </c>
      <c r="E15" s="1549"/>
    </row>
    <row r="16" spans="1:5" ht="30">
      <c r="A16" s="1541">
        <v>3.2</v>
      </c>
      <c r="B16" s="1542" t="s">
        <v>1359</v>
      </c>
      <c r="C16" s="1542" t="s">
        <v>1360</v>
      </c>
      <c r="D16" s="1543">
        <v>10000</v>
      </c>
      <c r="E16" s="1549"/>
    </row>
    <row r="17" spans="1:5" ht="15">
      <c r="A17" s="887" t="s">
        <v>1361</v>
      </c>
      <c r="B17" s="1550" t="s">
        <v>1362</v>
      </c>
      <c r="C17" s="1550" t="s">
        <v>1363</v>
      </c>
      <c r="D17" s="1551">
        <v>10000</v>
      </c>
      <c r="E17" s="1552"/>
    </row>
    <row r="18" spans="1:5" ht="15">
      <c r="A18" s="887">
        <v>3.4</v>
      </c>
      <c r="B18" s="1550" t="s">
        <v>1364</v>
      </c>
      <c r="C18" s="1550" t="s">
        <v>1363</v>
      </c>
      <c r="D18" s="1551">
        <v>10000</v>
      </c>
      <c r="E18" s="1552"/>
    </row>
    <row r="19" spans="1:5" ht="15">
      <c r="A19" s="887">
        <v>3.5</v>
      </c>
      <c r="B19" s="1550" t="s">
        <v>1365</v>
      </c>
      <c r="C19" s="1550" t="s">
        <v>1363</v>
      </c>
      <c r="D19" s="1551">
        <v>10000</v>
      </c>
      <c r="E19" s="1552"/>
    </row>
    <row r="20" spans="1:5" ht="30">
      <c r="A20" s="887">
        <v>3.6</v>
      </c>
      <c r="B20" s="1550" t="s">
        <v>1366</v>
      </c>
      <c r="C20" s="1550" t="s">
        <v>1363</v>
      </c>
      <c r="D20" s="1551">
        <v>10000</v>
      </c>
      <c r="E20" s="1552"/>
    </row>
    <row r="21" spans="1:5" ht="25" customHeight="1">
      <c r="A21" s="729" t="s">
        <v>36</v>
      </c>
      <c r="B21" s="730" t="s">
        <v>795</v>
      </c>
      <c r="C21" s="730"/>
      <c r="D21" s="891">
        <f>SUM(D22:D28)</f>
        <v>120000</v>
      </c>
      <c r="E21" s="893"/>
    </row>
    <row r="22" spans="1:5" ht="33" customHeight="1">
      <c r="A22" s="734">
        <v>4.0999999999999996</v>
      </c>
      <c r="B22" s="735" t="s">
        <v>933</v>
      </c>
      <c r="C22" s="735" t="s">
        <v>744</v>
      </c>
      <c r="D22" s="759">
        <v>20000</v>
      </c>
      <c r="E22" s="749"/>
    </row>
    <row r="23" spans="1:5" ht="33" customHeight="1">
      <c r="A23" s="731">
        <v>4.2</v>
      </c>
      <c r="B23" s="732" t="s">
        <v>1367</v>
      </c>
      <c r="C23" s="733" t="s">
        <v>743</v>
      </c>
      <c r="D23" s="756">
        <v>20000</v>
      </c>
      <c r="E23" s="749"/>
    </row>
    <row r="24" spans="1:5" ht="33" customHeight="1">
      <c r="A24" s="731">
        <v>4.3</v>
      </c>
      <c r="B24" s="732" t="s">
        <v>1368</v>
      </c>
      <c r="C24" s="733" t="s">
        <v>1369</v>
      </c>
      <c r="D24" s="756">
        <v>20000</v>
      </c>
      <c r="E24" s="749"/>
    </row>
    <row r="25" spans="1:5" ht="33" customHeight="1">
      <c r="A25" s="731">
        <v>4.4000000000000004</v>
      </c>
      <c r="B25" s="732" t="s">
        <v>1370</v>
      </c>
      <c r="C25" s="733" t="s">
        <v>1371</v>
      </c>
      <c r="D25" s="756">
        <v>20000</v>
      </c>
      <c r="E25" s="749"/>
    </row>
    <row r="26" spans="1:5" ht="33" customHeight="1">
      <c r="A26" s="731">
        <v>4.5</v>
      </c>
      <c r="B26" s="732" t="s">
        <v>1372</v>
      </c>
      <c r="C26" s="733" t="s">
        <v>1373</v>
      </c>
      <c r="D26" s="756">
        <v>20000</v>
      </c>
      <c r="E26" s="749"/>
    </row>
    <row r="27" spans="1:5" ht="33" customHeight="1">
      <c r="A27" s="734">
        <v>4.5999999999999996</v>
      </c>
      <c r="B27" s="735" t="s">
        <v>1374</v>
      </c>
      <c r="C27" s="735" t="s">
        <v>1347</v>
      </c>
      <c r="D27" s="759">
        <v>20000</v>
      </c>
      <c r="E27" s="750"/>
    </row>
    <row r="28" spans="1:5" ht="18.75" customHeight="1">
      <c r="A28" s="729" t="s">
        <v>40</v>
      </c>
      <c r="B28" s="730" t="s">
        <v>487</v>
      </c>
      <c r="C28" s="730"/>
      <c r="D28" s="758"/>
      <c r="E28" s="749"/>
    </row>
    <row r="29" spans="1:5" ht="16" thickBot="1">
      <c r="A29" s="751"/>
      <c r="B29" s="752" t="s">
        <v>24</v>
      </c>
      <c r="C29" s="752"/>
      <c r="D29" s="1553">
        <f>D7+D10+D14+D21</f>
        <v>1505000</v>
      </c>
      <c r="E29" s="753"/>
    </row>
    <row r="30" spans="1:5" ht="15" thickTop="1">
      <c r="A30" s="1086"/>
      <c r="B30" s="509"/>
      <c r="C30" s="1660" t="s">
        <v>919</v>
      </c>
      <c r="D30" s="1660"/>
      <c r="E30" s="1660"/>
    </row>
    <row r="31" spans="1:5" ht="23" customHeight="1">
      <c r="B31" s="1087" t="s">
        <v>1375</v>
      </c>
      <c r="C31" s="1661" t="s">
        <v>114</v>
      </c>
      <c r="D31" s="1661"/>
      <c r="E31" s="1661"/>
    </row>
    <row r="32" spans="1:5" ht="42.75" customHeight="1"/>
    <row r="33" spans="1:5">
      <c r="A33" s="5"/>
      <c r="B33" s="7"/>
      <c r="C33" s="7"/>
      <c r="D33" s="510"/>
    </row>
    <row r="34" spans="1:5">
      <c r="A34" s="5"/>
      <c r="B34" s="7"/>
      <c r="C34" s="7"/>
      <c r="D34" s="510"/>
    </row>
    <row r="35" spans="1:5">
      <c r="A35" s="5"/>
      <c r="B35" s="7"/>
      <c r="C35" s="1659" t="s">
        <v>871</v>
      </c>
      <c r="D35" s="1659"/>
      <c r="E35" s="1659"/>
    </row>
    <row r="36" spans="1:5" ht="16">
      <c r="A36" s="1662"/>
      <c r="B36" s="1662"/>
      <c r="C36" s="1662"/>
      <c r="D36" s="1662"/>
      <c r="E36" s="1662"/>
    </row>
  </sheetData>
  <mergeCells count="5">
    <mergeCell ref="A3:E3"/>
    <mergeCell ref="C35:E35"/>
    <mergeCell ref="C30:E30"/>
    <mergeCell ref="C31:E31"/>
    <mergeCell ref="A36:E36"/>
  </mergeCells>
  <pageMargins left="0.35" right="0.4" top="0.47" bottom="0.75" header="0.47"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7"/>
  <sheetViews>
    <sheetView zoomScale="150" zoomScaleNormal="150" workbookViewId="0">
      <selection activeCell="H57" sqref="H57"/>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902</v>
      </c>
      <c r="B3" s="1561"/>
      <c r="C3" s="1561"/>
      <c r="D3" s="1561"/>
      <c r="E3" s="1561"/>
      <c r="F3" s="1561"/>
      <c r="G3" s="1561"/>
      <c r="H3" s="1561"/>
      <c r="I3" s="1561"/>
      <c r="J3" s="6"/>
      <c r="K3" s="6"/>
      <c r="L3" s="6"/>
      <c r="M3" s="6"/>
    </row>
    <row r="4" spans="1:13" ht="14" thickBot="1">
      <c r="A4" s="56"/>
      <c r="B4" s="56"/>
      <c r="C4" s="56"/>
      <c r="D4" s="56"/>
      <c r="E4" s="56"/>
      <c r="F4" s="1556" t="s">
        <v>573</v>
      </c>
      <c r="G4" s="1556"/>
      <c r="H4" s="1556"/>
      <c r="J4" s="6"/>
      <c r="K4" s="6"/>
      <c r="L4" s="6"/>
      <c r="M4" s="6"/>
    </row>
    <row r="5" spans="1:13" ht="37.5" customHeight="1" thickTop="1">
      <c r="A5" s="57" t="s">
        <v>0</v>
      </c>
      <c r="B5" s="58" t="s">
        <v>41</v>
      </c>
      <c r="C5" s="58" t="s">
        <v>1</v>
      </c>
      <c r="D5" s="165" t="s">
        <v>246</v>
      </c>
      <c r="E5" s="165" t="s">
        <v>247</v>
      </c>
      <c r="F5" s="165" t="s">
        <v>248</v>
      </c>
      <c r="G5" s="58" t="s">
        <v>68</v>
      </c>
      <c r="H5" s="59" t="s">
        <v>2</v>
      </c>
      <c r="I5" s="11"/>
      <c r="J5" s="6"/>
      <c r="K5" s="6"/>
      <c r="L5" s="6"/>
      <c r="M5" s="6"/>
    </row>
    <row r="6" spans="1:13" s="1" customFormat="1" ht="14">
      <c r="A6" s="60" t="s">
        <v>115</v>
      </c>
      <c r="B6" s="55" t="s">
        <v>116</v>
      </c>
      <c r="C6" s="55" t="s">
        <v>117</v>
      </c>
      <c r="D6" s="55" t="s">
        <v>118</v>
      </c>
      <c r="E6" s="55" t="s">
        <v>119</v>
      </c>
      <c r="F6" s="55" t="s">
        <v>120</v>
      </c>
      <c r="G6" s="55" t="s">
        <v>121</v>
      </c>
      <c r="H6" s="61" t="s">
        <v>122</v>
      </c>
      <c r="I6" s="51"/>
      <c r="J6" s="5"/>
      <c r="K6" s="5"/>
      <c r="L6" s="5"/>
      <c r="M6" s="5"/>
    </row>
    <row r="7" spans="1:13" s="1" customFormat="1" ht="14">
      <c r="A7" s="159" t="s">
        <v>6</v>
      </c>
      <c r="B7" s="166" t="s">
        <v>213</v>
      </c>
      <c r="C7" s="162"/>
      <c r="D7" s="162">
        <f>D8+D16+D22</f>
        <v>855</v>
      </c>
      <c r="E7" s="162">
        <f>E8+E16+E22</f>
        <v>924</v>
      </c>
      <c r="F7" s="162">
        <f>F8+F16+F22</f>
        <v>665</v>
      </c>
      <c r="G7" s="162">
        <f>G8+G16+G22</f>
        <v>2444</v>
      </c>
      <c r="H7" s="163"/>
      <c r="I7" s="155"/>
      <c r="J7" s="5"/>
      <c r="K7" s="5"/>
      <c r="L7" s="5"/>
      <c r="M7" s="5"/>
    </row>
    <row r="8" spans="1:13" s="39" customFormat="1" ht="32.25" customHeight="1">
      <c r="A8" s="62" t="s">
        <v>7</v>
      </c>
      <c r="B8" s="696" t="s">
        <v>4</v>
      </c>
      <c r="C8" s="76" t="s">
        <v>67</v>
      </c>
      <c r="D8" s="702">
        <f>D9+D15</f>
        <v>778</v>
      </c>
      <c r="E8" s="702">
        <f>E9+E15</f>
        <v>829</v>
      </c>
      <c r="F8" s="702">
        <f>F9+F15</f>
        <v>141</v>
      </c>
      <c r="G8" s="162">
        <f>SUM(D8:F8)</f>
        <v>1748</v>
      </c>
      <c r="H8" s="77"/>
      <c r="I8" s="13"/>
      <c r="J8" s="9"/>
      <c r="K8" s="9"/>
      <c r="L8" s="9"/>
      <c r="M8" s="9"/>
    </row>
    <row r="9" spans="1:13" s="39" customFormat="1" ht="14">
      <c r="A9" s="74" t="s">
        <v>124</v>
      </c>
      <c r="B9" s="75" t="s">
        <v>903</v>
      </c>
      <c r="C9" s="76" t="s">
        <v>67</v>
      </c>
      <c r="D9" s="898">
        <f>SUM(D10:D14)</f>
        <v>598</v>
      </c>
      <c r="E9" s="898">
        <f>SUM(E10:E14)</f>
        <v>629</v>
      </c>
      <c r="F9" s="898">
        <f>SUM(F10:F14)</f>
        <v>91</v>
      </c>
      <c r="G9" s="76">
        <f>SUM(D9:F9)</f>
        <v>1318</v>
      </c>
      <c r="H9" s="77"/>
      <c r="I9" s="13"/>
      <c r="J9" s="9"/>
      <c r="K9" s="9"/>
      <c r="L9" s="9"/>
      <c r="M9" s="9"/>
    </row>
    <row r="10" spans="1:13" s="39" customFormat="1" ht="14">
      <c r="A10" s="74"/>
      <c r="B10" s="75" t="s">
        <v>888</v>
      </c>
      <c r="C10" s="76" t="s">
        <v>67</v>
      </c>
      <c r="D10" s="546">
        <v>77</v>
      </c>
      <c r="E10" s="546">
        <v>82</v>
      </c>
      <c r="F10" s="546">
        <v>17</v>
      </c>
      <c r="G10" s="76">
        <f t="shared" ref="G10:G15" si="0">SUM(D10:F10)</f>
        <v>176</v>
      </c>
      <c r="H10" s="77"/>
      <c r="I10" s="13"/>
      <c r="J10" s="9"/>
      <c r="K10" s="9"/>
      <c r="L10" s="9"/>
      <c r="M10" s="9"/>
    </row>
    <row r="11" spans="1:13" s="39" customFormat="1" ht="14">
      <c r="A11" s="74"/>
      <c r="B11" s="75" t="s">
        <v>760</v>
      </c>
      <c r="C11" s="76" t="s">
        <v>67</v>
      </c>
      <c r="D11" s="779">
        <v>0</v>
      </c>
      <c r="E11" s="779">
        <v>0</v>
      </c>
      <c r="F11" s="779">
        <v>0</v>
      </c>
      <c r="G11" s="76">
        <f t="shared" si="0"/>
        <v>0</v>
      </c>
      <c r="H11" s="77"/>
      <c r="I11" s="13"/>
      <c r="J11" s="9"/>
      <c r="K11" s="9"/>
      <c r="L11" s="9"/>
      <c r="M11" s="9"/>
    </row>
    <row r="12" spans="1:13" s="39" customFormat="1" ht="14">
      <c r="A12" s="74"/>
      <c r="B12" s="75" t="s">
        <v>575</v>
      </c>
      <c r="C12" s="76" t="s">
        <v>67</v>
      </c>
      <c r="D12" s="779">
        <v>168</v>
      </c>
      <c r="E12" s="779">
        <v>122</v>
      </c>
      <c r="F12" s="779">
        <v>30</v>
      </c>
      <c r="G12" s="76">
        <f t="shared" si="0"/>
        <v>320</v>
      </c>
      <c r="H12" s="77"/>
      <c r="I12" s="13"/>
      <c r="J12" s="9"/>
      <c r="K12" s="9"/>
      <c r="L12" s="9"/>
      <c r="M12" s="9"/>
    </row>
    <row r="13" spans="1:13" s="39" customFormat="1" ht="14">
      <c r="A13" s="74"/>
      <c r="B13" s="75" t="s">
        <v>759</v>
      </c>
      <c r="C13" s="76" t="s">
        <v>67</v>
      </c>
      <c r="D13" s="811">
        <v>192</v>
      </c>
      <c r="E13" s="811">
        <v>175</v>
      </c>
      <c r="F13" s="352">
        <v>19</v>
      </c>
      <c r="G13" s="76">
        <f t="shared" si="0"/>
        <v>386</v>
      </c>
      <c r="H13" s="77"/>
      <c r="I13" s="13"/>
      <c r="J13" s="9"/>
      <c r="K13" s="9"/>
      <c r="L13" s="9"/>
      <c r="M13" s="9"/>
    </row>
    <row r="14" spans="1:13" s="39" customFormat="1" ht="14">
      <c r="A14" s="74"/>
      <c r="B14" s="75" t="s">
        <v>889</v>
      </c>
      <c r="C14" s="76" t="s">
        <v>67</v>
      </c>
      <c r="D14" s="561">
        <v>161</v>
      </c>
      <c r="E14" s="561">
        <v>250</v>
      </c>
      <c r="F14" s="561">
        <v>25</v>
      </c>
      <c r="G14" s="76">
        <f t="shared" si="0"/>
        <v>436</v>
      </c>
      <c r="H14" s="77"/>
      <c r="I14" s="13"/>
      <c r="J14" s="9"/>
      <c r="K14" s="9"/>
      <c r="L14" s="9"/>
      <c r="M14" s="9"/>
    </row>
    <row r="15" spans="1:13" s="39" customFormat="1" ht="28">
      <c r="A15" s="74" t="s">
        <v>578</v>
      </c>
      <c r="B15" s="75" t="s">
        <v>914</v>
      </c>
      <c r="C15" s="76" t="s">
        <v>67</v>
      </c>
      <c r="D15" s="76">
        <v>180</v>
      </c>
      <c r="E15" s="76">
        <v>200</v>
      </c>
      <c r="F15" s="76">
        <v>50</v>
      </c>
      <c r="G15" s="76">
        <f t="shared" si="0"/>
        <v>430</v>
      </c>
      <c r="H15" s="77"/>
      <c r="I15" s="13"/>
      <c r="J15" s="9"/>
      <c r="K15" s="9"/>
      <c r="L15" s="9"/>
      <c r="M15" s="9"/>
    </row>
    <row r="16" spans="1:13" s="39" customFormat="1" ht="14">
      <c r="A16" s="80" t="s">
        <v>8</v>
      </c>
      <c r="B16" s="697" t="s">
        <v>217</v>
      </c>
      <c r="C16" s="76" t="s">
        <v>65</v>
      </c>
      <c r="D16" s="703">
        <f>D17+D20</f>
        <v>77</v>
      </c>
      <c r="E16" s="703">
        <f>E17+E20</f>
        <v>95</v>
      </c>
      <c r="F16" s="703">
        <f>F17+F20</f>
        <v>492</v>
      </c>
      <c r="G16" s="105">
        <f>SUM(D16:F16)</f>
        <v>664</v>
      </c>
      <c r="H16" s="77"/>
      <c r="I16" s="13"/>
      <c r="J16" s="9"/>
      <c r="K16" s="9"/>
      <c r="L16" s="9"/>
      <c r="M16" s="9"/>
    </row>
    <row r="17" spans="1:13" s="39" customFormat="1" ht="14">
      <c r="A17" s="74" t="s">
        <v>124</v>
      </c>
      <c r="B17" s="75" t="s">
        <v>893</v>
      </c>
      <c r="C17" s="76" t="s">
        <v>65</v>
      </c>
      <c r="D17" s="896">
        <f>SUM(D18:D19)</f>
        <v>57</v>
      </c>
      <c r="E17" s="896">
        <f>SUM(E18:E19)</f>
        <v>75</v>
      </c>
      <c r="F17" s="896">
        <f>SUM(F18:F19)</f>
        <v>442</v>
      </c>
      <c r="G17" s="76">
        <f>SUM(D17:F17)</f>
        <v>574</v>
      </c>
      <c r="H17" s="77"/>
      <c r="I17" s="13"/>
      <c r="J17" s="9"/>
      <c r="K17" s="9"/>
      <c r="L17" s="9"/>
      <c r="M17" s="9"/>
    </row>
    <row r="18" spans="1:13" s="39" customFormat="1" ht="28">
      <c r="A18" s="74"/>
      <c r="B18" s="75" t="s">
        <v>894</v>
      </c>
      <c r="C18" s="76" t="s">
        <v>65</v>
      </c>
      <c r="D18" s="896">
        <v>43</v>
      </c>
      <c r="E18" s="561">
        <v>35</v>
      </c>
      <c r="F18" s="896">
        <v>302</v>
      </c>
      <c r="G18" s="76">
        <f>SUM(D18:F18)</f>
        <v>380</v>
      </c>
      <c r="H18" s="77"/>
      <c r="I18" s="13"/>
      <c r="J18" s="9"/>
      <c r="K18" s="9"/>
      <c r="L18" s="9"/>
      <c r="M18" s="9"/>
    </row>
    <row r="19" spans="1:13" s="39" customFormat="1" ht="14">
      <c r="A19" s="74"/>
      <c r="B19" s="75" t="s">
        <v>895</v>
      </c>
      <c r="C19" s="76" t="s">
        <v>65</v>
      </c>
      <c r="D19" s="76">
        <v>14</v>
      </c>
      <c r="E19" s="76">
        <v>40</v>
      </c>
      <c r="F19" s="76">
        <v>140</v>
      </c>
      <c r="G19" s="76">
        <f>SUM(D19:F19)</f>
        <v>194</v>
      </c>
      <c r="H19" s="77"/>
      <c r="I19" s="13"/>
      <c r="J19" s="9"/>
      <c r="K19" s="9"/>
      <c r="L19" s="9"/>
      <c r="M19" s="9"/>
    </row>
    <row r="20" spans="1:13" s="39" customFormat="1" ht="14">
      <c r="A20" s="74">
        <v>1.2</v>
      </c>
      <c r="B20" s="75" t="s">
        <v>896</v>
      </c>
      <c r="C20" s="76"/>
      <c r="D20" s="897">
        <v>20</v>
      </c>
      <c r="E20" s="897">
        <v>20</v>
      </c>
      <c r="F20" s="897">
        <v>50</v>
      </c>
      <c r="G20" s="76">
        <f>D20+E20+F20</f>
        <v>90</v>
      </c>
      <c r="H20" s="77"/>
      <c r="I20" s="13"/>
      <c r="J20" s="9"/>
      <c r="K20" s="9"/>
      <c r="L20" s="9"/>
      <c r="M20" s="9"/>
    </row>
    <row r="21" spans="1:13" s="39" customFormat="1" ht="28">
      <c r="A21" s="74">
        <v>1.3</v>
      </c>
      <c r="B21" s="75" t="s">
        <v>897</v>
      </c>
      <c r="C21" s="76" t="s">
        <v>65</v>
      </c>
      <c r="D21" s="76">
        <v>0</v>
      </c>
      <c r="E21" s="230">
        <v>0</v>
      </c>
      <c r="F21" s="76">
        <v>0</v>
      </c>
      <c r="G21" s="76">
        <f>D21+E21+F21</f>
        <v>0</v>
      </c>
      <c r="H21" s="77"/>
      <c r="I21" s="13"/>
      <c r="J21" s="9"/>
      <c r="K21" s="9"/>
      <c r="L21" s="9"/>
      <c r="M21" s="9"/>
    </row>
    <row r="22" spans="1:13" s="39" customFormat="1" ht="14">
      <c r="A22" s="80" t="s">
        <v>25</v>
      </c>
      <c r="B22" s="697" t="s">
        <v>66</v>
      </c>
      <c r="C22" s="76" t="s">
        <v>65</v>
      </c>
      <c r="D22" s="105">
        <f>D23+D28</f>
        <v>0</v>
      </c>
      <c r="E22" s="105">
        <f>E23+E28</f>
        <v>0</v>
      </c>
      <c r="F22" s="105">
        <f>F23+F28</f>
        <v>32</v>
      </c>
      <c r="G22" s="105">
        <f t="shared" ref="G22:G28" si="1">SUM(D22:F22)</f>
        <v>32</v>
      </c>
      <c r="H22" s="77"/>
      <c r="I22" s="13"/>
      <c r="J22" s="9"/>
      <c r="K22" s="9"/>
      <c r="L22" s="9"/>
      <c r="M22" s="9"/>
    </row>
    <row r="23" spans="1:13" s="39" customFormat="1" ht="14">
      <c r="A23" s="74" t="s">
        <v>124</v>
      </c>
      <c r="B23" s="75" t="s">
        <v>898</v>
      </c>
      <c r="C23" s="76" t="s">
        <v>65</v>
      </c>
      <c r="D23" s="76">
        <f>SUM(D24:D27)</f>
        <v>0</v>
      </c>
      <c r="E23" s="76">
        <f>SUM(E24:E27)</f>
        <v>0</v>
      </c>
      <c r="F23" s="76">
        <f>SUM(F24:F27)</f>
        <v>29</v>
      </c>
      <c r="G23" s="76">
        <f t="shared" si="1"/>
        <v>29</v>
      </c>
      <c r="H23" s="77"/>
      <c r="I23" s="13"/>
      <c r="J23" s="9"/>
      <c r="K23" s="9"/>
      <c r="L23" s="9"/>
      <c r="M23" s="9"/>
    </row>
    <row r="24" spans="1:13" s="39" customFormat="1" ht="14">
      <c r="A24" s="74"/>
      <c r="B24" s="75" t="s">
        <v>899</v>
      </c>
      <c r="C24" s="76" t="s">
        <v>65</v>
      </c>
      <c r="D24" s="76">
        <v>0</v>
      </c>
      <c r="E24" s="76">
        <v>0</v>
      </c>
      <c r="F24" s="76">
        <v>9</v>
      </c>
      <c r="G24" s="76">
        <f t="shared" si="1"/>
        <v>9</v>
      </c>
      <c r="H24" s="77"/>
      <c r="I24" s="13"/>
      <c r="J24" s="9"/>
      <c r="K24" s="9"/>
      <c r="L24" s="9"/>
      <c r="M24" s="9"/>
    </row>
    <row r="25" spans="1:13" s="39" customFormat="1" ht="14">
      <c r="A25" s="74"/>
      <c r="B25" s="75" t="s">
        <v>576</v>
      </c>
      <c r="C25" s="76" t="s">
        <v>65</v>
      </c>
      <c r="D25" s="76">
        <v>0</v>
      </c>
      <c r="E25" s="76">
        <v>0</v>
      </c>
      <c r="F25" s="76">
        <v>10</v>
      </c>
      <c r="G25" s="76">
        <f t="shared" si="1"/>
        <v>10</v>
      </c>
      <c r="H25" s="77"/>
      <c r="I25" s="13"/>
      <c r="J25" s="9"/>
      <c r="K25" s="9"/>
      <c r="L25" s="9"/>
      <c r="M25" s="9"/>
    </row>
    <row r="26" spans="1:13" s="39" customFormat="1" ht="14">
      <c r="A26" s="74"/>
      <c r="B26" s="75" t="s">
        <v>762</v>
      </c>
      <c r="C26" s="76" t="s">
        <v>65</v>
      </c>
      <c r="D26" s="76">
        <v>0</v>
      </c>
      <c r="E26" s="76">
        <v>0</v>
      </c>
      <c r="F26" s="76">
        <v>5</v>
      </c>
      <c r="G26" s="76">
        <f t="shared" si="1"/>
        <v>5</v>
      </c>
      <c r="H26" s="77"/>
      <c r="I26" s="13"/>
      <c r="J26" s="9"/>
      <c r="K26" s="9"/>
      <c r="L26" s="9"/>
      <c r="M26" s="9"/>
    </row>
    <row r="27" spans="1:13" s="39" customFormat="1" ht="14">
      <c r="A27" s="74"/>
      <c r="B27" s="75" t="s">
        <v>900</v>
      </c>
      <c r="C27" s="76" t="s">
        <v>65</v>
      </c>
      <c r="D27" s="76">
        <v>0</v>
      </c>
      <c r="E27" s="76">
        <v>0</v>
      </c>
      <c r="F27" s="76">
        <v>5</v>
      </c>
      <c r="G27" s="76">
        <f t="shared" si="1"/>
        <v>5</v>
      </c>
      <c r="H27" s="77"/>
      <c r="I27" s="13"/>
      <c r="J27" s="9"/>
      <c r="K27" s="9"/>
      <c r="L27" s="9"/>
      <c r="M27" s="9"/>
    </row>
    <row r="28" spans="1:13" s="39" customFormat="1" ht="14">
      <c r="A28" s="74" t="s">
        <v>578</v>
      </c>
      <c r="B28" s="75" t="s">
        <v>901</v>
      </c>
      <c r="C28" s="76" t="s">
        <v>218</v>
      </c>
      <c r="D28" s="76">
        <f>D29+D32</f>
        <v>0</v>
      </c>
      <c r="E28" s="76">
        <f>E29+E32</f>
        <v>0</v>
      </c>
      <c r="F28" s="76">
        <v>3</v>
      </c>
      <c r="G28" s="76">
        <f t="shared" si="1"/>
        <v>3</v>
      </c>
      <c r="H28" s="77"/>
      <c r="I28" s="13"/>
      <c r="J28" s="9"/>
      <c r="K28" s="9"/>
      <c r="L28" s="9"/>
      <c r="M28" s="9"/>
    </row>
    <row r="29" spans="1:13" s="39" customFormat="1" ht="14">
      <c r="A29" s="80" t="s">
        <v>36</v>
      </c>
      <c r="B29" s="160" t="s">
        <v>214</v>
      </c>
      <c r="C29" s="76" t="s">
        <v>218</v>
      </c>
      <c r="D29" s="76">
        <f>D30+D31</f>
        <v>0</v>
      </c>
      <c r="E29" s="76">
        <f>E30+E31</f>
        <v>0</v>
      </c>
      <c r="F29" s="76">
        <f>F30+F31</f>
        <v>0</v>
      </c>
      <c r="G29" s="76">
        <f>G30+G31</f>
        <v>0</v>
      </c>
      <c r="H29" s="77"/>
      <c r="I29" s="13"/>
      <c r="J29" s="9"/>
      <c r="K29" s="9"/>
      <c r="L29" s="9"/>
      <c r="M29" s="9"/>
    </row>
    <row r="30" spans="1:13" s="39" customFormat="1" ht="28">
      <c r="A30" s="74" t="s">
        <v>124</v>
      </c>
      <c r="B30" s="75" t="s">
        <v>904</v>
      </c>
      <c r="C30" s="76" t="s">
        <v>218</v>
      </c>
      <c r="D30" s="76">
        <v>0</v>
      </c>
      <c r="E30" s="76">
        <v>0</v>
      </c>
      <c r="F30" s="76">
        <v>0</v>
      </c>
      <c r="G30" s="76">
        <v>0</v>
      </c>
      <c r="H30" s="77"/>
      <c r="I30" s="13"/>
      <c r="J30" s="9"/>
      <c r="K30" s="9"/>
      <c r="L30" s="9"/>
      <c r="M30" s="9"/>
    </row>
    <row r="31" spans="1:13" s="39" customFormat="1" ht="14">
      <c r="A31" s="74"/>
      <c r="B31" s="75" t="s">
        <v>905</v>
      </c>
      <c r="C31" s="76" t="s">
        <v>218</v>
      </c>
      <c r="D31" s="76">
        <v>0</v>
      </c>
      <c r="E31" s="76">
        <v>0</v>
      </c>
      <c r="F31" s="76">
        <v>0</v>
      </c>
      <c r="G31" s="76">
        <v>0</v>
      </c>
      <c r="H31" s="77"/>
      <c r="I31" s="13"/>
      <c r="J31" s="9"/>
      <c r="K31" s="9"/>
      <c r="L31" s="9"/>
      <c r="M31" s="9"/>
    </row>
    <row r="32" spans="1:13" s="39" customFormat="1" ht="14">
      <c r="A32" s="74"/>
      <c r="B32" s="75" t="s">
        <v>906</v>
      </c>
      <c r="C32" s="76" t="s">
        <v>218</v>
      </c>
      <c r="D32" s="76">
        <v>0</v>
      </c>
      <c r="E32" s="76">
        <v>0</v>
      </c>
      <c r="F32" s="76">
        <v>0</v>
      </c>
      <c r="G32" s="76">
        <v>0</v>
      </c>
      <c r="H32" s="77"/>
      <c r="I32" s="13"/>
      <c r="J32" s="9"/>
      <c r="K32" s="9"/>
      <c r="L32" s="9"/>
      <c r="M32" s="9"/>
    </row>
    <row r="33" spans="1:13" s="39" customFormat="1" ht="14">
      <c r="A33" s="74" t="s">
        <v>578</v>
      </c>
      <c r="B33" s="75" t="s">
        <v>907</v>
      </c>
      <c r="C33" s="76" t="s">
        <v>218</v>
      </c>
      <c r="D33" s="105">
        <f>D34+D37</f>
        <v>0</v>
      </c>
      <c r="E33" s="105">
        <f>E34+E37</f>
        <v>0</v>
      </c>
      <c r="F33" s="105">
        <f>F34+F37</f>
        <v>0</v>
      </c>
      <c r="G33" s="105">
        <f>G34+G37</f>
        <v>0</v>
      </c>
      <c r="H33" s="105"/>
      <c r="I33" s="13"/>
      <c r="J33" s="9"/>
      <c r="K33" s="9"/>
      <c r="L33" s="9"/>
      <c r="M33" s="9"/>
    </row>
    <row r="34" spans="1:13" s="39" customFormat="1" ht="14">
      <c r="A34" s="80" t="s">
        <v>40</v>
      </c>
      <c r="B34" s="160" t="s">
        <v>577</v>
      </c>
      <c r="C34" s="76" t="s">
        <v>218</v>
      </c>
      <c r="D34" s="76">
        <f t="shared" ref="D34:G38" si="2">D35+D36</f>
        <v>0</v>
      </c>
      <c r="E34" s="76">
        <f t="shared" si="2"/>
        <v>0</v>
      </c>
      <c r="F34" s="76">
        <f t="shared" si="2"/>
        <v>0</v>
      </c>
      <c r="G34" s="76">
        <f t="shared" si="2"/>
        <v>0</v>
      </c>
      <c r="H34" s="76"/>
      <c r="I34" s="13"/>
      <c r="J34" s="9"/>
      <c r="K34" s="9"/>
      <c r="L34" s="9"/>
      <c r="M34" s="9"/>
    </row>
    <row r="35" spans="1:13" s="39" customFormat="1" ht="28">
      <c r="A35" s="74" t="s">
        <v>124</v>
      </c>
      <c r="B35" s="75" t="s">
        <v>904</v>
      </c>
      <c r="C35" s="76" t="s">
        <v>218</v>
      </c>
      <c r="D35" s="76">
        <f t="shared" si="2"/>
        <v>0</v>
      </c>
      <c r="E35" s="76">
        <f t="shared" si="2"/>
        <v>0</v>
      </c>
      <c r="F35" s="76">
        <f t="shared" si="2"/>
        <v>0</v>
      </c>
      <c r="G35" s="76">
        <f t="shared" si="2"/>
        <v>0</v>
      </c>
      <c r="H35" s="76"/>
      <c r="I35" s="13"/>
      <c r="J35" s="9"/>
      <c r="K35" s="9"/>
      <c r="L35" s="9"/>
      <c r="M35" s="9"/>
    </row>
    <row r="36" spans="1:13" s="39" customFormat="1" ht="14">
      <c r="A36" s="74"/>
      <c r="B36" s="75" t="s">
        <v>905</v>
      </c>
      <c r="C36" s="76" t="s">
        <v>218</v>
      </c>
      <c r="D36" s="76">
        <f t="shared" si="2"/>
        <v>0</v>
      </c>
      <c r="E36" s="76">
        <f t="shared" si="2"/>
        <v>0</v>
      </c>
      <c r="F36" s="76">
        <f t="shared" si="2"/>
        <v>0</v>
      </c>
      <c r="G36" s="76">
        <f t="shared" si="2"/>
        <v>0</v>
      </c>
      <c r="H36" s="76"/>
      <c r="I36" s="13"/>
      <c r="J36" s="9"/>
      <c r="K36" s="9"/>
      <c r="L36" s="9"/>
      <c r="M36" s="9"/>
    </row>
    <row r="37" spans="1:13" s="39" customFormat="1" ht="14">
      <c r="A37" s="74"/>
      <c r="B37" s="75" t="s">
        <v>906</v>
      </c>
      <c r="C37" s="76" t="s">
        <v>218</v>
      </c>
      <c r="D37" s="76">
        <v>0</v>
      </c>
      <c r="E37" s="76">
        <v>0</v>
      </c>
      <c r="F37" s="76">
        <v>0</v>
      </c>
      <c r="G37" s="76">
        <v>0</v>
      </c>
      <c r="H37" s="76"/>
      <c r="I37" s="13"/>
      <c r="J37" s="9"/>
      <c r="K37" s="9"/>
      <c r="L37" s="9"/>
      <c r="M37" s="9"/>
    </row>
    <row r="38" spans="1:13" s="39" customFormat="1" ht="14">
      <c r="A38" s="74" t="s">
        <v>578</v>
      </c>
      <c r="B38" s="75" t="s">
        <v>907</v>
      </c>
      <c r="C38" s="76" t="s">
        <v>219</v>
      </c>
      <c r="D38" s="76">
        <f t="shared" si="2"/>
        <v>0</v>
      </c>
      <c r="E38" s="76">
        <f t="shared" si="2"/>
        <v>0</v>
      </c>
      <c r="F38" s="76">
        <f t="shared" si="2"/>
        <v>0</v>
      </c>
      <c r="G38" s="76">
        <f t="shared" si="2"/>
        <v>0</v>
      </c>
      <c r="H38" s="77"/>
      <c r="I38" s="13"/>
      <c r="J38" s="9"/>
      <c r="K38" s="9"/>
      <c r="L38" s="9"/>
      <c r="M38" s="9"/>
    </row>
    <row r="39" spans="1:13" s="39" customFormat="1" ht="14">
      <c r="A39" s="80" t="s">
        <v>579</v>
      </c>
      <c r="B39" s="160" t="s">
        <v>215</v>
      </c>
      <c r="C39" s="76"/>
      <c r="D39" s="81"/>
      <c r="E39" s="81"/>
      <c r="F39" s="81"/>
      <c r="G39" s="76"/>
      <c r="H39" s="77"/>
      <c r="I39" s="13"/>
      <c r="J39" s="9"/>
      <c r="K39" s="9"/>
      <c r="L39" s="9"/>
      <c r="M39" s="9"/>
    </row>
    <row r="40" spans="1:13" s="39" customFormat="1" ht="28">
      <c r="A40" s="74"/>
      <c r="B40" s="75" t="s">
        <v>763</v>
      </c>
      <c r="C40" s="899"/>
      <c r="D40" s="919">
        <v>0</v>
      </c>
      <c r="E40" s="919">
        <v>0</v>
      </c>
      <c r="F40" s="919">
        <v>0</v>
      </c>
      <c r="G40" s="917">
        <v>0</v>
      </c>
      <c r="H40" s="77"/>
      <c r="I40" s="13"/>
      <c r="J40" s="9"/>
      <c r="K40" s="9"/>
      <c r="L40" s="9"/>
      <c r="M40" s="9"/>
    </row>
    <row r="41" spans="1:13" s="4" customFormat="1" ht="14">
      <c r="A41" s="80" t="s">
        <v>19</v>
      </c>
      <c r="B41" s="160" t="s">
        <v>216</v>
      </c>
      <c r="C41" s="899"/>
      <c r="D41" s="920">
        <f>D42+D50+D57</f>
        <v>8200</v>
      </c>
      <c r="E41" s="920">
        <f>E42+E50+E57</f>
        <v>9178</v>
      </c>
      <c r="F41" s="920">
        <f>F42+F50+F57</f>
        <v>0</v>
      </c>
      <c r="G41" s="918">
        <f>G42+G50+G57</f>
        <v>17378</v>
      </c>
      <c r="H41" s="77"/>
      <c r="I41" s="13"/>
      <c r="J41" s="9"/>
      <c r="K41" s="9"/>
      <c r="L41" s="9"/>
      <c r="M41" s="9"/>
    </row>
    <row r="42" spans="1:13" s="4" customFormat="1" ht="27.75" customHeight="1">
      <c r="A42" s="78" t="s">
        <v>7</v>
      </c>
      <c r="B42" s="698" t="s">
        <v>764</v>
      </c>
      <c r="C42" s="899" t="s">
        <v>67</v>
      </c>
      <c r="D42" s="918">
        <f>D43+D49</f>
        <v>8200</v>
      </c>
      <c r="E42" s="918">
        <f>E43+E49</f>
        <v>9178</v>
      </c>
      <c r="F42" s="918">
        <f>F43+F49</f>
        <v>0</v>
      </c>
      <c r="G42" s="918">
        <f>G43+G49</f>
        <v>17378</v>
      </c>
      <c r="H42" s="77"/>
      <c r="I42" s="13"/>
      <c r="J42" s="9"/>
      <c r="K42" s="9"/>
      <c r="L42" s="9"/>
      <c r="M42" s="9"/>
    </row>
    <row r="43" spans="1:13" s="4" customFormat="1" ht="14">
      <c r="A43" s="79" t="s">
        <v>124</v>
      </c>
      <c r="B43" s="75" t="s">
        <v>903</v>
      </c>
      <c r="C43" s="899" t="s">
        <v>67</v>
      </c>
      <c r="D43" s="918">
        <f>SUM(D44:D48)</f>
        <v>7500</v>
      </c>
      <c r="E43" s="918">
        <f>SUM(E44:E48)</f>
        <v>8378</v>
      </c>
      <c r="F43" s="918">
        <f>SUM(F44:F48)</f>
        <v>0</v>
      </c>
      <c r="G43" s="918">
        <f>SUM(G44:G48)</f>
        <v>15878</v>
      </c>
      <c r="H43" s="77"/>
      <c r="I43" s="13"/>
      <c r="J43" s="9"/>
      <c r="K43" s="9"/>
      <c r="L43" s="9"/>
      <c r="M43" s="9"/>
    </row>
    <row r="44" spans="1:13" s="4" customFormat="1" ht="14">
      <c r="A44" s="79"/>
      <c r="B44" s="75" t="s">
        <v>149</v>
      </c>
      <c r="C44" s="899" t="s">
        <v>67</v>
      </c>
      <c r="D44" s="919">
        <v>1584</v>
      </c>
      <c r="E44" s="919">
        <v>588</v>
      </c>
      <c r="F44" s="921">
        <v>0</v>
      </c>
      <c r="G44" s="917">
        <f>SUM(D44:F44)</f>
        <v>2172</v>
      </c>
      <c r="H44" s="77"/>
      <c r="I44" s="13"/>
      <c r="J44" s="9"/>
      <c r="K44" s="9"/>
      <c r="L44" s="9"/>
      <c r="M44" s="9"/>
    </row>
    <row r="45" spans="1:13" s="4" customFormat="1" ht="14">
      <c r="A45" s="79"/>
      <c r="B45" s="75" t="s">
        <v>575</v>
      </c>
      <c r="C45" s="899" t="s">
        <v>67</v>
      </c>
      <c r="D45" s="919">
        <v>1475</v>
      </c>
      <c r="E45" s="919">
        <v>946</v>
      </c>
      <c r="F45" s="921">
        <v>0</v>
      </c>
      <c r="G45" s="917">
        <f>SUM(D45:F45)</f>
        <v>2421</v>
      </c>
      <c r="H45" s="77"/>
      <c r="I45" s="13"/>
      <c r="J45" s="9"/>
      <c r="K45" s="9"/>
      <c r="L45" s="9"/>
      <c r="M45" s="9"/>
    </row>
    <row r="46" spans="1:13" s="4" customFormat="1" ht="14">
      <c r="A46" s="79"/>
      <c r="B46" s="75" t="s">
        <v>759</v>
      </c>
      <c r="C46" s="899" t="s">
        <v>67</v>
      </c>
      <c r="D46" s="919">
        <v>1812</v>
      </c>
      <c r="E46" s="919">
        <v>1725</v>
      </c>
      <c r="F46" s="921">
        <v>0</v>
      </c>
      <c r="G46" s="917">
        <f>SUM(D46:F46)</f>
        <v>3537</v>
      </c>
      <c r="H46" s="77"/>
      <c r="I46" s="13"/>
      <c r="J46" s="9"/>
      <c r="K46" s="9"/>
      <c r="L46" s="9"/>
      <c r="M46" s="9"/>
    </row>
    <row r="47" spans="1:13" s="4" customFormat="1" ht="27" customHeight="1">
      <c r="A47" s="79"/>
      <c r="B47" s="75" t="s">
        <v>889</v>
      </c>
      <c r="C47" s="899" t="s">
        <v>67</v>
      </c>
      <c r="D47" s="922">
        <v>1130</v>
      </c>
      <c r="E47" s="922">
        <v>3157</v>
      </c>
      <c r="F47" s="922">
        <v>0</v>
      </c>
      <c r="G47" s="917">
        <f>SUM(D47:F47)</f>
        <v>4287</v>
      </c>
      <c r="H47" s="77"/>
      <c r="I47" s="13"/>
      <c r="J47" s="9"/>
      <c r="K47" s="9"/>
      <c r="L47" s="9"/>
      <c r="M47" s="9"/>
    </row>
    <row r="48" spans="1:13" s="4" customFormat="1" ht="27" customHeight="1">
      <c r="A48" s="79"/>
      <c r="B48" s="75" t="s">
        <v>909</v>
      </c>
      <c r="C48" s="899" t="s">
        <v>67</v>
      </c>
      <c r="D48" s="922">
        <v>1499</v>
      </c>
      <c r="E48" s="922">
        <v>1962</v>
      </c>
      <c r="F48" s="922">
        <v>0</v>
      </c>
      <c r="G48" s="917">
        <f>SUM(D48:F48)</f>
        <v>3461</v>
      </c>
      <c r="H48" s="77"/>
      <c r="I48" s="13"/>
      <c r="J48" s="9"/>
      <c r="K48" s="9"/>
      <c r="L48" s="9"/>
      <c r="M48" s="9"/>
    </row>
    <row r="49" spans="1:13" s="4" customFormat="1" ht="12.75" customHeight="1">
      <c r="A49" s="74" t="s">
        <v>578</v>
      </c>
      <c r="B49" s="75" t="s">
        <v>892</v>
      </c>
      <c r="C49" s="899"/>
      <c r="D49" s="920">
        <v>700</v>
      </c>
      <c r="E49" s="920">
        <v>800</v>
      </c>
      <c r="F49" s="920">
        <v>0</v>
      </c>
      <c r="G49" s="918">
        <f>D49+E49+F49</f>
        <v>1500</v>
      </c>
      <c r="H49" s="77"/>
      <c r="I49" s="13"/>
      <c r="J49" s="9"/>
      <c r="K49" s="9"/>
      <c r="L49" s="9"/>
      <c r="M49" s="9"/>
    </row>
    <row r="50" spans="1:13" s="4" customFormat="1" ht="14">
      <c r="A50" s="80" t="s">
        <v>8</v>
      </c>
      <c r="B50" s="697" t="s">
        <v>85</v>
      </c>
      <c r="C50" s="76" t="s">
        <v>67</v>
      </c>
      <c r="D50" s="92">
        <f>D51+D56</f>
        <v>0</v>
      </c>
      <c r="E50" s="92">
        <f>SUM(E51:E55)</f>
        <v>0</v>
      </c>
      <c r="F50" s="92">
        <f t="shared" ref="F50:G50" si="3">SUM(F51:F55)</f>
        <v>0</v>
      </c>
      <c r="G50" s="92">
        <f t="shared" si="3"/>
        <v>0</v>
      </c>
      <c r="H50" s="77"/>
      <c r="I50" s="13"/>
      <c r="J50" s="9"/>
      <c r="K50" s="9"/>
      <c r="L50" s="9"/>
      <c r="M50" s="9"/>
    </row>
    <row r="51" spans="1:13" s="4" customFormat="1" ht="14">
      <c r="A51" s="74" t="s">
        <v>124</v>
      </c>
      <c r="B51" s="75" t="s">
        <v>903</v>
      </c>
      <c r="C51" s="76" t="s">
        <v>67</v>
      </c>
      <c r="D51" s="105">
        <f>SUM(D52:D55)</f>
        <v>0</v>
      </c>
      <c r="E51" s="105">
        <f>SUM(E52:E55)</f>
        <v>0</v>
      </c>
      <c r="F51" s="105">
        <f>SUM(F52:F55)</f>
        <v>0</v>
      </c>
      <c r="G51" s="105">
        <f>D51+E51+F51</f>
        <v>0</v>
      </c>
      <c r="H51" s="77"/>
      <c r="I51" s="13"/>
      <c r="J51" s="9"/>
      <c r="K51" s="9"/>
      <c r="L51" s="9"/>
      <c r="M51" s="9"/>
    </row>
    <row r="52" spans="1:13" s="4" customFormat="1" ht="14">
      <c r="A52" s="74"/>
      <c r="B52" s="75" t="s">
        <v>765</v>
      </c>
      <c r="C52" s="76" t="s">
        <v>67</v>
      </c>
      <c r="D52" s="81">
        <v>0</v>
      </c>
      <c r="E52" s="81">
        <v>0</v>
      </c>
      <c r="F52" s="81">
        <v>0</v>
      </c>
      <c r="G52" s="907">
        <f>D52+E52+F52</f>
        <v>0</v>
      </c>
      <c r="H52" s="77"/>
      <c r="I52" s="13"/>
      <c r="J52" s="9"/>
      <c r="K52" s="9"/>
      <c r="L52" s="9"/>
      <c r="M52" s="9"/>
    </row>
    <row r="53" spans="1:13" s="4" customFormat="1" ht="14">
      <c r="A53" s="74"/>
      <c r="B53" s="75" t="s">
        <v>149</v>
      </c>
      <c r="C53" s="899" t="s">
        <v>67</v>
      </c>
      <c r="D53" s="908">
        <v>0</v>
      </c>
      <c r="E53" s="908">
        <v>0</v>
      </c>
      <c r="F53" s="811">
        <v>0</v>
      </c>
      <c r="G53" s="813">
        <v>0</v>
      </c>
      <c r="H53" s="903"/>
      <c r="I53" s="13"/>
      <c r="J53" s="9"/>
      <c r="K53" s="9"/>
      <c r="L53" s="9"/>
      <c r="M53" s="9"/>
    </row>
    <row r="54" spans="1:13" s="4" customFormat="1" ht="14">
      <c r="A54" s="74"/>
      <c r="B54" s="75" t="s">
        <v>575</v>
      </c>
      <c r="C54" s="899" t="s">
        <v>67</v>
      </c>
      <c r="D54" s="908">
        <v>0</v>
      </c>
      <c r="E54" s="908">
        <v>0</v>
      </c>
      <c r="F54" s="811">
        <v>0</v>
      </c>
      <c r="G54" s="813">
        <v>0</v>
      </c>
      <c r="H54" s="903"/>
      <c r="I54" s="13"/>
      <c r="J54" s="9"/>
      <c r="K54" s="9"/>
      <c r="L54" s="9"/>
      <c r="M54" s="9"/>
    </row>
    <row r="55" spans="1:13" s="4" customFormat="1" ht="14">
      <c r="A55" s="74"/>
      <c r="B55" s="75" t="s">
        <v>759</v>
      </c>
      <c r="C55" s="899" t="s">
        <v>67</v>
      </c>
      <c r="D55" s="908">
        <v>0</v>
      </c>
      <c r="E55" s="908">
        <v>0</v>
      </c>
      <c r="F55" s="811">
        <v>0</v>
      </c>
      <c r="G55" s="909">
        <v>0</v>
      </c>
      <c r="H55" s="903"/>
      <c r="I55" s="13"/>
      <c r="J55" s="9"/>
      <c r="K55" s="9"/>
      <c r="L55" s="9"/>
      <c r="M55" s="9"/>
    </row>
    <row r="56" spans="1:13" s="4" customFormat="1" ht="14">
      <c r="A56" s="74" t="s">
        <v>578</v>
      </c>
      <c r="B56" s="75" t="s">
        <v>761</v>
      </c>
      <c r="C56" s="900" t="s">
        <v>220</v>
      </c>
      <c r="D56" s="811">
        <v>0</v>
      </c>
      <c r="E56" s="811">
        <f>SUM(E57:E57)</f>
        <v>0</v>
      </c>
      <c r="F56" s="811">
        <f>SUM(F57:F57)</f>
        <v>0</v>
      </c>
      <c r="G56" s="811">
        <f>D56+E56+F56</f>
        <v>0</v>
      </c>
      <c r="H56" s="904"/>
      <c r="I56" s="13"/>
      <c r="J56" s="9"/>
      <c r="K56" s="9"/>
      <c r="L56" s="9"/>
      <c r="M56" s="9"/>
    </row>
    <row r="57" spans="1:13" s="4" customFormat="1" ht="14">
      <c r="A57" s="161" t="s">
        <v>25</v>
      </c>
      <c r="B57" s="699" t="s">
        <v>53</v>
      </c>
      <c r="C57" s="901"/>
      <c r="D57" s="813">
        <v>0</v>
      </c>
      <c r="E57" s="813">
        <v>0</v>
      </c>
      <c r="F57" s="813">
        <v>0</v>
      </c>
      <c r="G57" s="813">
        <v>0</v>
      </c>
      <c r="H57" s="905"/>
      <c r="I57" s="13"/>
      <c r="J57" s="9"/>
      <c r="K57" s="9"/>
      <c r="L57" s="9"/>
      <c r="M57" s="9"/>
    </row>
    <row r="58" spans="1:13" ht="43" thickBot="1">
      <c r="A58" s="801"/>
      <c r="B58" s="82" t="s">
        <v>908</v>
      </c>
      <c r="C58" s="902"/>
      <c r="D58" s="910">
        <f>D41+D7</f>
        <v>9055</v>
      </c>
      <c r="E58" s="910">
        <f>E41+E7</f>
        <v>10102</v>
      </c>
      <c r="F58" s="910">
        <f>F41+F7</f>
        <v>665</v>
      </c>
      <c r="G58" s="910">
        <f>G41+G7</f>
        <v>19822</v>
      </c>
      <c r="H58" s="906"/>
      <c r="I58" s="11"/>
      <c r="J58" s="6"/>
      <c r="K58" s="6"/>
      <c r="L58" s="6"/>
      <c r="M58" s="6"/>
    </row>
    <row r="59" spans="1:13" ht="14" thickTop="1">
      <c r="A59" s="29"/>
      <c r="B59" s="10"/>
      <c r="C59" s="10"/>
      <c r="D59" s="10"/>
      <c r="E59" s="10"/>
      <c r="F59" s="10"/>
      <c r="G59" s="11"/>
      <c r="H59" s="11"/>
      <c r="I59" s="11"/>
      <c r="J59" s="6"/>
      <c r="K59" s="6"/>
      <c r="L59" s="6"/>
      <c r="M59" s="6"/>
    </row>
    <row r="60" spans="1:13">
      <c r="A60" s="29"/>
      <c r="B60" s="10"/>
      <c r="C60" s="10"/>
      <c r="D60" s="10"/>
      <c r="E60" s="10"/>
      <c r="F60" s="10"/>
      <c r="G60" s="11"/>
      <c r="H60" s="11"/>
      <c r="I60" s="11"/>
      <c r="J60" s="6"/>
      <c r="K60" s="6"/>
      <c r="L60" s="6"/>
      <c r="M60" s="6"/>
    </row>
    <row r="61" spans="1:13">
      <c r="A61" s="29"/>
      <c r="B61" s="10"/>
      <c r="C61" s="10"/>
      <c r="D61" s="10"/>
      <c r="E61" s="10"/>
      <c r="F61" s="10"/>
      <c r="G61" s="11"/>
      <c r="H61" s="11"/>
      <c r="I61" s="11"/>
      <c r="J61" s="6"/>
      <c r="K61" s="6"/>
      <c r="L61" s="6"/>
      <c r="M61" s="6"/>
    </row>
    <row r="62" spans="1:13">
      <c r="A62" s="29"/>
      <c r="B62" s="10"/>
      <c r="C62" s="10"/>
      <c r="D62" s="10"/>
      <c r="E62" s="10"/>
      <c r="F62" s="10"/>
      <c r="G62" s="11"/>
      <c r="H62" s="11"/>
      <c r="I62" s="11"/>
      <c r="J62" s="6"/>
      <c r="K62" s="6"/>
      <c r="L62" s="6"/>
      <c r="M62" s="6"/>
    </row>
    <row r="63" spans="1:13">
      <c r="A63" s="29"/>
      <c r="B63" s="10"/>
      <c r="C63" s="10"/>
      <c r="D63" s="10"/>
      <c r="E63" s="10"/>
      <c r="F63" s="10"/>
      <c r="G63" s="11"/>
      <c r="H63" s="11"/>
      <c r="I63" s="11"/>
      <c r="J63" s="6"/>
      <c r="K63" s="6"/>
      <c r="L63" s="6"/>
      <c r="M63" s="6"/>
    </row>
    <row r="64" spans="1:13">
      <c r="A64" s="29"/>
      <c r="B64" s="10"/>
      <c r="C64" s="10"/>
      <c r="D64" s="10"/>
      <c r="E64" s="10"/>
      <c r="F64" s="10"/>
      <c r="G64" s="11"/>
      <c r="H64" s="11"/>
      <c r="I64" s="11"/>
      <c r="J64" s="6"/>
      <c r="K64" s="6"/>
      <c r="L64" s="6"/>
      <c r="M64" s="6"/>
    </row>
    <row r="65" spans="1:13">
      <c r="A65" s="29"/>
      <c r="B65" s="10"/>
      <c r="C65" s="10"/>
      <c r="D65" s="10"/>
      <c r="E65" s="10"/>
      <c r="F65" s="10"/>
      <c r="G65" s="11"/>
      <c r="H65" s="11"/>
      <c r="I65" s="11"/>
      <c r="J65" s="6"/>
      <c r="K65" s="6"/>
      <c r="L65" s="6"/>
      <c r="M65" s="6"/>
    </row>
    <row r="66" spans="1:13">
      <c r="A66" s="29"/>
      <c r="B66" s="10"/>
      <c r="C66" s="10"/>
      <c r="D66" s="10"/>
      <c r="E66" s="10"/>
      <c r="F66" s="10"/>
      <c r="G66" s="11"/>
      <c r="H66" s="11"/>
      <c r="I66" s="11"/>
      <c r="J66" s="6"/>
      <c r="K66" s="6"/>
      <c r="L66" s="6"/>
      <c r="M66" s="6"/>
    </row>
    <row r="67" spans="1:13">
      <c r="A67" s="29"/>
      <c r="B67" s="10"/>
      <c r="C67" s="10"/>
      <c r="D67" s="10"/>
      <c r="E67" s="10"/>
      <c r="F67" s="10"/>
      <c r="G67" s="11"/>
      <c r="H67" s="11"/>
      <c r="I67" s="11"/>
      <c r="J67" s="6"/>
      <c r="K67" s="6"/>
      <c r="L67" s="6"/>
      <c r="M67" s="6"/>
    </row>
    <row r="68" spans="1:13">
      <c r="A68" s="29"/>
      <c r="B68" s="10"/>
      <c r="C68" s="10"/>
      <c r="D68" s="10"/>
      <c r="E68" s="10"/>
      <c r="F68" s="10"/>
      <c r="G68" s="11"/>
      <c r="H68" s="11"/>
      <c r="I68" s="11"/>
      <c r="J68" s="6"/>
      <c r="K68" s="6"/>
      <c r="L68" s="6"/>
      <c r="M68" s="6"/>
    </row>
    <row r="69" spans="1:13">
      <c r="A69" s="29"/>
      <c r="B69" s="10"/>
      <c r="C69" s="10"/>
      <c r="D69" s="10"/>
      <c r="E69" s="10"/>
      <c r="F69" s="10"/>
      <c r="G69" s="11"/>
      <c r="H69" s="11"/>
      <c r="I69" s="11"/>
      <c r="J69" s="6"/>
      <c r="K69" s="6"/>
      <c r="L69" s="6"/>
      <c r="M69" s="6"/>
    </row>
    <row r="70" spans="1:13">
      <c r="A70" s="29"/>
      <c r="B70" s="10"/>
      <c r="C70" s="10"/>
      <c r="D70" s="10"/>
      <c r="E70" s="10"/>
      <c r="F70" s="10"/>
      <c r="G70" s="11"/>
      <c r="H70" s="11"/>
      <c r="I70" s="11"/>
      <c r="J70" s="6"/>
      <c r="K70" s="6"/>
      <c r="L70" s="6"/>
      <c r="M70" s="6"/>
    </row>
    <row r="71" spans="1:13">
      <c r="A71" s="29"/>
      <c r="B71" s="10"/>
      <c r="C71" s="10"/>
      <c r="D71" s="10"/>
      <c r="E71" s="10"/>
      <c r="F71" s="10"/>
      <c r="G71" s="11"/>
      <c r="H71" s="11"/>
      <c r="I71" s="11"/>
      <c r="J71" s="6"/>
      <c r="K71" s="6"/>
      <c r="L71" s="6"/>
      <c r="M71" s="6"/>
    </row>
    <row r="72" spans="1:13">
      <c r="A72" s="29"/>
      <c r="B72" s="10"/>
      <c r="C72" s="10"/>
      <c r="D72" s="10"/>
      <c r="E72" s="10"/>
      <c r="F72" s="10"/>
      <c r="G72" s="11"/>
      <c r="H72" s="11"/>
      <c r="I72" s="11"/>
      <c r="J72" s="6"/>
      <c r="K72" s="6"/>
      <c r="L72" s="6"/>
      <c r="M72" s="6"/>
    </row>
    <row r="73" spans="1:13">
      <c r="A73" s="29"/>
      <c r="B73" s="10"/>
      <c r="C73" s="10"/>
      <c r="D73" s="10"/>
      <c r="E73" s="10"/>
      <c r="F73" s="10"/>
      <c r="G73" s="11"/>
      <c r="H73" s="11"/>
      <c r="I73" s="11"/>
      <c r="J73" s="6"/>
      <c r="K73" s="6"/>
      <c r="L73" s="6"/>
      <c r="M73" s="6"/>
    </row>
    <row r="74" spans="1:13">
      <c r="A74" s="29"/>
      <c r="B74" s="10"/>
      <c r="C74" s="10"/>
      <c r="D74" s="10"/>
      <c r="E74" s="10"/>
      <c r="F74" s="10"/>
      <c r="G74" s="11"/>
      <c r="H74" s="11"/>
      <c r="I74" s="11"/>
      <c r="J74" s="6"/>
      <c r="K74" s="6"/>
      <c r="L74" s="6"/>
      <c r="M74" s="6"/>
    </row>
    <row r="75" spans="1:13">
      <c r="A75" s="29"/>
      <c r="B75" s="10"/>
      <c r="C75" s="10"/>
      <c r="D75" s="10"/>
      <c r="E75" s="10"/>
      <c r="F75" s="10"/>
      <c r="G75" s="11"/>
      <c r="H75" s="11"/>
      <c r="I75" s="11"/>
      <c r="J75" s="6"/>
      <c r="K75" s="6"/>
      <c r="L75" s="6"/>
      <c r="M75" s="6"/>
    </row>
    <row r="76" spans="1:13">
      <c r="A76" s="29"/>
      <c r="B76" s="10"/>
      <c r="C76" s="10"/>
      <c r="D76" s="10"/>
      <c r="E76" s="10"/>
      <c r="F76" s="10"/>
      <c r="G76" s="11"/>
      <c r="H76" s="11"/>
      <c r="I76" s="11"/>
      <c r="J76" s="6"/>
      <c r="K76" s="6"/>
      <c r="L76" s="6"/>
      <c r="M76" s="6"/>
    </row>
    <row r="77" spans="1:13">
      <c r="A77" s="5"/>
      <c r="B77" s="7"/>
      <c r="C77" s="7"/>
      <c r="D77" s="7"/>
      <c r="E77" s="7"/>
      <c r="F77" s="7"/>
      <c r="G77" s="6"/>
      <c r="H77" s="6"/>
      <c r="I77" s="6"/>
      <c r="J77" s="6"/>
      <c r="K77" s="6"/>
      <c r="L77" s="6"/>
      <c r="M77" s="6"/>
    </row>
  </sheetData>
  <mergeCells count="4">
    <mergeCell ref="A1:B1"/>
    <mergeCell ref="A2:B2"/>
    <mergeCell ref="A3:I3"/>
    <mergeCell ref="F4:H4"/>
  </mergeCells>
  <pageMargins left="0.64" right="0.27" top="0.42" bottom="0.53" header="0.42"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7BD9-6DF3-1C40-B4E6-82571B027C69}">
  <dimension ref="A1:J17"/>
  <sheetViews>
    <sheetView workbookViewId="0">
      <selection activeCell="C12" sqref="C12:J12"/>
    </sheetView>
  </sheetViews>
  <sheetFormatPr baseColWidth="10" defaultColWidth="9.1640625" defaultRowHeight="13"/>
  <cols>
    <col min="1" max="1" width="6.1640625" style="1517" customWidth="1"/>
    <col min="2" max="2" width="33.33203125" style="1517" customWidth="1"/>
    <col min="3" max="3" width="18.6640625" style="1517" customWidth="1"/>
    <col min="4" max="4" width="10.1640625" style="1517" customWidth="1"/>
    <col min="5" max="5" width="10.6640625" style="1517" customWidth="1"/>
    <col min="6" max="7" width="9.1640625" style="1517"/>
    <col min="8" max="8" width="18.33203125" style="1517" customWidth="1"/>
    <col min="9" max="9" width="19.83203125" style="1517" customWidth="1"/>
    <col min="10" max="10" width="25" style="1517" customWidth="1"/>
    <col min="11" max="256" width="9.1640625" style="1517"/>
    <col min="257" max="257" width="6.1640625" style="1517" customWidth="1"/>
    <col min="258" max="258" width="33.33203125" style="1517" customWidth="1"/>
    <col min="259" max="259" width="18.6640625" style="1517" customWidth="1"/>
    <col min="260" max="260" width="10.1640625" style="1517" customWidth="1"/>
    <col min="261" max="261" width="10.6640625" style="1517" customWidth="1"/>
    <col min="262" max="263" width="9.1640625" style="1517"/>
    <col min="264" max="264" width="18.33203125" style="1517" customWidth="1"/>
    <col min="265" max="265" width="19.83203125" style="1517" customWidth="1"/>
    <col min="266" max="266" width="25" style="1517" customWidth="1"/>
    <col min="267" max="512" width="9.1640625" style="1517"/>
    <col min="513" max="513" width="6.1640625" style="1517" customWidth="1"/>
    <col min="514" max="514" width="33.33203125" style="1517" customWidth="1"/>
    <col min="515" max="515" width="18.6640625" style="1517" customWidth="1"/>
    <col min="516" max="516" width="10.1640625" style="1517" customWidth="1"/>
    <col min="517" max="517" width="10.6640625" style="1517" customWidth="1"/>
    <col min="518" max="519" width="9.1640625" style="1517"/>
    <col min="520" max="520" width="18.33203125" style="1517" customWidth="1"/>
    <col min="521" max="521" width="19.83203125" style="1517" customWidth="1"/>
    <col min="522" max="522" width="25" style="1517" customWidth="1"/>
    <col min="523" max="768" width="9.1640625" style="1517"/>
    <col min="769" max="769" width="6.1640625" style="1517" customWidth="1"/>
    <col min="770" max="770" width="33.33203125" style="1517" customWidth="1"/>
    <col min="771" max="771" width="18.6640625" style="1517" customWidth="1"/>
    <col min="772" max="772" width="10.1640625" style="1517" customWidth="1"/>
    <col min="773" max="773" width="10.6640625" style="1517" customWidth="1"/>
    <col min="774" max="775" width="9.1640625" style="1517"/>
    <col min="776" max="776" width="18.33203125" style="1517" customWidth="1"/>
    <col min="777" max="777" width="19.83203125" style="1517" customWidth="1"/>
    <col min="778" max="778" width="25" style="1517" customWidth="1"/>
    <col min="779" max="1024" width="9.1640625" style="1517"/>
    <col min="1025" max="1025" width="6.1640625" style="1517" customWidth="1"/>
    <col min="1026" max="1026" width="33.33203125" style="1517" customWidth="1"/>
    <col min="1027" max="1027" width="18.6640625" style="1517" customWidth="1"/>
    <col min="1028" max="1028" width="10.1640625" style="1517" customWidth="1"/>
    <col min="1029" max="1029" width="10.6640625" style="1517" customWidth="1"/>
    <col min="1030" max="1031" width="9.1640625" style="1517"/>
    <col min="1032" max="1032" width="18.33203125" style="1517" customWidth="1"/>
    <col min="1033" max="1033" width="19.83203125" style="1517" customWidth="1"/>
    <col min="1034" max="1034" width="25" style="1517" customWidth="1"/>
    <col min="1035" max="1280" width="9.1640625" style="1517"/>
    <col min="1281" max="1281" width="6.1640625" style="1517" customWidth="1"/>
    <col min="1282" max="1282" width="33.33203125" style="1517" customWidth="1"/>
    <col min="1283" max="1283" width="18.6640625" style="1517" customWidth="1"/>
    <col min="1284" max="1284" width="10.1640625" style="1517" customWidth="1"/>
    <col min="1285" max="1285" width="10.6640625" style="1517" customWidth="1"/>
    <col min="1286" max="1287" width="9.1640625" style="1517"/>
    <col min="1288" max="1288" width="18.33203125" style="1517" customWidth="1"/>
    <col min="1289" max="1289" width="19.83203125" style="1517" customWidth="1"/>
    <col min="1290" max="1290" width="25" style="1517" customWidth="1"/>
    <col min="1291" max="1536" width="9.1640625" style="1517"/>
    <col min="1537" max="1537" width="6.1640625" style="1517" customWidth="1"/>
    <col min="1538" max="1538" width="33.33203125" style="1517" customWidth="1"/>
    <col min="1539" max="1539" width="18.6640625" style="1517" customWidth="1"/>
    <col min="1540" max="1540" width="10.1640625" style="1517" customWidth="1"/>
    <col min="1541" max="1541" width="10.6640625" style="1517" customWidth="1"/>
    <col min="1542" max="1543" width="9.1640625" style="1517"/>
    <col min="1544" max="1544" width="18.33203125" style="1517" customWidth="1"/>
    <col min="1545" max="1545" width="19.83203125" style="1517" customWidth="1"/>
    <col min="1546" max="1546" width="25" style="1517" customWidth="1"/>
    <col min="1547" max="1792" width="9.1640625" style="1517"/>
    <col min="1793" max="1793" width="6.1640625" style="1517" customWidth="1"/>
    <col min="1794" max="1794" width="33.33203125" style="1517" customWidth="1"/>
    <col min="1795" max="1795" width="18.6640625" style="1517" customWidth="1"/>
    <col min="1796" max="1796" width="10.1640625" style="1517" customWidth="1"/>
    <col min="1797" max="1797" width="10.6640625" style="1517" customWidth="1"/>
    <col min="1798" max="1799" width="9.1640625" style="1517"/>
    <col min="1800" max="1800" width="18.33203125" style="1517" customWidth="1"/>
    <col min="1801" max="1801" width="19.83203125" style="1517" customWidth="1"/>
    <col min="1802" max="1802" width="25" style="1517" customWidth="1"/>
    <col min="1803" max="2048" width="9.1640625" style="1517"/>
    <col min="2049" max="2049" width="6.1640625" style="1517" customWidth="1"/>
    <col min="2050" max="2050" width="33.33203125" style="1517" customWidth="1"/>
    <col min="2051" max="2051" width="18.6640625" style="1517" customWidth="1"/>
    <col min="2052" max="2052" width="10.1640625" style="1517" customWidth="1"/>
    <col min="2053" max="2053" width="10.6640625" style="1517" customWidth="1"/>
    <col min="2054" max="2055" width="9.1640625" style="1517"/>
    <col min="2056" max="2056" width="18.33203125" style="1517" customWidth="1"/>
    <col min="2057" max="2057" width="19.83203125" style="1517" customWidth="1"/>
    <col min="2058" max="2058" width="25" style="1517" customWidth="1"/>
    <col min="2059" max="2304" width="9.1640625" style="1517"/>
    <col min="2305" max="2305" width="6.1640625" style="1517" customWidth="1"/>
    <col min="2306" max="2306" width="33.33203125" style="1517" customWidth="1"/>
    <col min="2307" max="2307" width="18.6640625" style="1517" customWidth="1"/>
    <col min="2308" max="2308" width="10.1640625" style="1517" customWidth="1"/>
    <col min="2309" max="2309" width="10.6640625" style="1517" customWidth="1"/>
    <col min="2310" max="2311" width="9.1640625" style="1517"/>
    <col min="2312" max="2312" width="18.33203125" style="1517" customWidth="1"/>
    <col min="2313" max="2313" width="19.83203125" style="1517" customWidth="1"/>
    <col min="2314" max="2314" width="25" style="1517" customWidth="1"/>
    <col min="2315" max="2560" width="9.1640625" style="1517"/>
    <col min="2561" max="2561" width="6.1640625" style="1517" customWidth="1"/>
    <col min="2562" max="2562" width="33.33203125" style="1517" customWidth="1"/>
    <col min="2563" max="2563" width="18.6640625" style="1517" customWidth="1"/>
    <col min="2564" max="2564" width="10.1640625" style="1517" customWidth="1"/>
    <col min="2565" max="2565" width="10.6640625" style="1517" customWidth="1"/>
    <col min="2566" max="2567" width="9.1640625" style="1517"/>
    <col min="2568" max="2568" width="18.33203125" style="1517" customWidth="1"/>
    <col min="2569" max="2569" width="19.83203125" style="1517" customWidth="1"/>
    <col min="2570" max="2570" width="25" style="1517" customWidth="1"/>
    <col min="2571" max="2816" width="9.1640625" style="1517"/>
    <col min="2817" max="2817" width="6.1640625" style="1517" customWidth="1"/>
    <col min="2818" max="2818" width="33.33203125" style="1517" customWidth="1"/>
    <col min="2819" max="2819" width="18.6640625" style="1517" customWidth="1"/>
    <col min="2820" max="2820" width="10.1640625" style="1517" customWidth="1"/>
    <col min="2821" max="2821" width="10.6640625" style="1517" customWidth="1"/>
    <col min="2822" max="2823" width="9.1640625" style="1517"/>
    <col min="2824" max="2824" width="18.33203125" style="1517" customWidth="1"/>
    <col min="2825" max="2825" width="19.83203125" style="1517" customWidth="1"/>
    <col min="2826" max="2826" width="25" style="1517" customWidth="1"/>
    <col min="2827" max="3072" width="9.1640625" style="1517"/>
    <col min="3073" max="3073" width="6.1640625" style="1517" customWidth="1"/>
    <col min="3074" max="3074" width="33.33203125" style="1517" customWidth="1"/>
    <col min="3075" max="3075" width="18.6640625" style="1517" customWidth="1"/>
    <col min="3076" max="3076" width="10.1640625" style="1517" customWidth="1"/>
    <col min="3077" max="3077" width="10.6640625" style="1517" customWidth="1"/>
    <col min="3078" max="3079" width="9.1640625" style="1517"/>
    <col min="3080" max="3080" width="18.33203125" style="1517" customWidth="1"/>
    <col min="3081" max="3081" width="19.83203125" style="1517" customWidth="1"/>
    <col min="3082" max="3082" width="25" style="1517" customWidth="1"/>
    <col min="3083" max="3328" width="9.1640625" style="1517"/>
    <col min="3329" max="3329" width="6.1640625" style="1517" customWidth="1"/>
    <col min="3330" max="3330" width="33.33203125" style="1517" customWidth="1"/>
    <col min="3331" max="3331" width="18.6640625" style="1517" customWidth="1"/>
    <col min="3332" max="3332" width="10.1640625" style="1517" customWidth="1"/>
    <col min="3333" max="3333" width="10.6640625" style="1517" customWidth="1"/>
    <col min="3334" max="3335" width="9.1640625" style="1517"/>
    <col min="3336" max="3336" width="18.33203125" style="1517" customWidth="1"/>
    <col min="3337" max="3337" width="19.83203125" style="1517" customWidth="1"/>
    <col min="3338" max="3338" width="25" style="1517" customWidth="1"/>
    <col min="3339" max="3584" width="9.1640625" style="1517"/>
    <col min="3585" max="3585" width="6.1640625" style="1517" customWidth="1"/>
    <col min="3586" max="3586" width="33.33203125" style="1517" customWidth="1"/>
    <col min="3587" max="3587" width="18.6640625" style="1517" customWidth="1"/>
    <col min="3588" max="3588" width="10.1640625" style="1517" customWidth="1"/>
    <col min="3589" max="3589" width="10.6640625" style="1517" customWidth="1"/>
    <col min="3590" max="3591" width="9.1640625" style="1517"/>
    <col min="3592" max="3592" width="18.33203125" style="1517" customWidth="1"/>
    <col min="3593" max="3593" width="19.83203125" style="1517" customWidth="1"/>
    <col min="3594" max="3594" width="25" style="1517" customWidth="1"/>
    <col min="3595" max="3840" width="9.1640625" style="1517"/>
    <col min="3841" max="3841" width="6.1640625" style="1517" customWidth="1"/>
    <col min="3842" max="3842" width="33.33203125" style="1517" customWidth="1"/>
    <col min="3843" max="3843" width="18.6640625" style="1517" customWidth="1"/>
    <col min="3844" max="3844" width="10.1640625" style="1517" customWidth="1"/>
    <col min="3845" max="3845" width="10.6640625" style="1517" customWidth="1"/>
    <col min="3846" max="3847" width="9.1640625" style="1517"/>
    <col min="3848" max="3848" width="18.33203125" style="1517" customWidth="1"/>
    <col min="3849" max="3849" width="19.83203125" style="1517" customWidth="1"/>
    <col min="3850" max="3850" width="25" style="1517" customWidth="1"/>
    <col min="3851" max="4096" width="9.1640625" style="1517"/>
    <col min="4097" max="4097" width="6.1640625" style="1517" customWidth="1"/>
    <col min="4098" max="4098" width="33.33203125" style="1517" customWidth="1"/>
    <col min="4099" max="4099" width="18.6640625" style="1517" customWidth="1"/>
    <col min="4100" max="4100" width="10.1640625" style="1517" customWidth="1"/>
    <col min="4101" max="4101" width="10.6640625" style="1517" customWidth="1"/>
    <col min="4102" max="4103" width="9.1640625" style="1517"/>
    <col min="4104" max="4104" width="18.33203125" style="1517" customWidth="1"/>
    <col min="4105" max="4105" width="19.83203125" style="1517" customWidth="1"/>
    <col min="4106" max="4106" width="25" style="1517" customWidth="1"/>
    <col min="4107" max="4352" width="9.1640625" style="1517"/>
    <col min="4353" max="4353" width="6.1640625" style="1517" customWidth="1"/>
    <col min="4354" max="4354" width="33.33203125" style="1517" customWidth="1"/>
    <col min="4355" max="4355" width="18.6640625" style="1517" customWidth="1"/>
    <col min="4356" max="4356" width="10.1640625" style="1517" customWidth="1"/>
    <col min="4357" max="4357" width="10.6640625" style="1517" customWidth="1"/>
    <col min="4358" max="4359" width="9.1640625" style="1517"/>
    <col min="4360" max="4360" width="18.33203125" style="1517" customWidth="1"/>
    <col min="4361" max="4361" width="19.83203125" style="1517" customWidth="1"/>
    <col min="4362" max="4362" width="25" style="1517" customWidth="1"/>
    <col min="4363" max="4608" width="9.1640625" style="1517"/>
    <col min="4609" max="4609" width="6.1640625" style="1517" customWidth="1"/>
    <col min="4610" max="4610" width="33.33203125" style="1517" customWidth="1"/>
    <col min="4611" max="4611" width="18.6640625" style="1517" customWidth="1"/>
    <col min="4612" max="4612" width="10.1640625" style="1517" customWidth="1"/>
    <col min="4613" max="4613" width="10.6640625" style="1517" customWidth="1"/>
    <col min="4614" max="4615" width="9.1640625" style="1517"/>
    <col min="4616" max="4616" width="18.33203125" style="1517" customWidth="1"/>
    <col min="4617" max="4617" width="19.83203125" style="1517" customWidth="1"/>
    <col min="4618" max="4618" width="25" style="1517" customWidth="1"/>
    <col min="4619" max="4864" width="9.1640625" style="1517"/>
    <col min="4865" max="4865" width="6.1640625" style="1517" customWidth="1"/>
    <col min="4866" max="4866" width="33.33203125" style="1517" customWidth="1"/>
    <col min="4867" max="4867" width="18.6640625" style="1517" customWidth="1"/>
    <col min="4868" max="4868" width="10.1640625" style="1517" customWidth="1"/>
    <col min="4869" max="4869" width="10.6640625" style="1517" customWidth="1"/>
    <col min="4870" max="4871" width="9.1640625" style="1517"/>
    <col min="4872" max="4872" width="18.33203125" style="1517" customWidth="1"/>
    <col min="4873" max="4873" width="19.83203125" style="1517" customWidth="1"/>
    <col min="4874" max="4874" width="25" style="1517" customWidth="1"/>
    <col min="4875" max="5120" width="9.1640625" style="1517"/>
    <col min="5121" max="5121" width="6.1640625" style="1517" customWidth="1"/>
    <col min="5122" max="5122" width="33.33203125" style="1517" customWidth="1"/>
    <col min="5123" max="5123" width="18.6640625" style="1517" customWidth="1"/>
    <col min="5124" max="5124" width="10.1640625" style="1517" customWidth="1"/>
    <col min="5125" max="5125" width="10.6640625" style="1517" customWidth="1"/>
    <col min="5126" max="5127" width="9.1640625" style="1517"/>
    <col min="5128" max="5128" width="18.33203125" style="1517" customWidth="1"/>
    <col min="5129" max="5129" width="19.83203125" style="1517" customWidth="1"/>
    <col min="5130" max="5130" width="25" style="1517" customWidth="1"/>
    <col min="5131" max="5376" width="9.1640625" style="1517"/>
    <col min="5377" max="5377" width="6.1640625" style="1517" customWidth="1"/>
    <col min="5378" max="5378" width="33.33203125" style="1517" customWidth="1"/>
    <col min="5379" max="5379" width="18.6640625" style="1517" customWidth="1"/>
    <col min="5380" max="5380" width="10.1640625" style="1517" customWidth="1"/>
    <col min="5381" max="5381" width="10.6640625" style="1517" customWidth="1"/>
    <col min="5382" max="5383" width="9.1640625" style="1517"/>
    <col min="5384" max="5384" width="18.33203125" style="1517" customWidth="1"/>
    <col min="5385" max="5385" width="19.83203125" style="1517" customWidth="1"/>
    <col min="5386" max="5386" width="25" style="1517" customWidth="1"/>
    <col min="5387" max="5632" width="9.1640625" style="1517"/>
    <col min="5633" max="5633" width="6.1640625" style="1517" customWidth="1"/>
    <col min="5634" max="5634" width="33.33203125" style="1517" customWidth="1"/>
    <col min="5635" max="5635" width="18.6640625" style="1517" customWidth="1"/>
    <col min="5636" max="5636" width="10.1640625" style="1517" customWidth="1"/>
    <col min="5637" max="5637" width="10.6640625" style="1517" customWidth="1"/>
    <col min="5638" max="5639" width="9.1640625" style="1517"/>
    <col min="5640" max="5640" width="18.33203125" style="1517" customWidth="1"/>
    <col min="5641" max="5641" width="19.83203125" style="1517" customWidth="1"/>
    <col min="5642" max="5642" width="25" style="1517" customWidth="1"/>
    <col min="5643" max="5888" width="9.1640625" style="1517"/>
    <col min="5889" max="5889" width="6.1640625" style="1517" customWidth="1"/>
    <col min="5890" max="5890" width="33.33203125" style="1517" customWidth="1"/>
    <col min="5891" max="5891" width="18.6640625" style="1517" customWidth="1"/>
    <col min="5892" max="5892" width="10.1640625" style="1517" customWidth="1"/>
    <col min="5893" max="5893" width="10.6640625" style="1517" customWidth="1"/>
    <col min="5894" max="5895" width="9.1640625" style="1517"/>
    <col min="5896" max="5896" width="18.33203125" style="1517" customWidth="1"/>
    <col min="5897" max="5897" width="19.83203125" style="1517" customWidth="1"/>
    <col min="5898" max="5898" width="25" style="1517" customWidth="1"/>
    <col min="5899" max="6144" width="9.1640625" style="1517"/>
    <col min="6145" max="6145" width="6.1640625" style="1517" customWidth="1"/>
    <col min="6146" max="6146" width="33.33203125" style="1517" customWidth="1"/>
    <col min="6147" max="6147" width="18.6640625" style="1517" customWidth="1"/>
    <col min="6148" max="6148" width="10.1640625" style="1517" customWidth="1"/>
    <col min="6149" max="6149" width="10.6640625" style="1517" customWidth="1"/>
    <col min="6150" max="6151" width="9.1640625" style="1517"/>
    <col min="6152" max="6152" width="18.33203125" style="1517" customWidth="1"/>
    <col min="6153" max="6153" width="19.83203125" style="1517" customWidth="1"/>
    <col min="6154" max="6154" width="25" style="1517" customWidth="1"/>
    <col min="6155" max="6400" width="9.1640625" style="1517"/>
    <col min="6401" max="6401" width="6.1640625" style="1517" customWidth="1"/>
    <col min="6402" max="6402" width="33.33203125" style="1517" customWidth="1"/>
    <col min="6403" max="6403" width="18.6640625" style="1517" customWidth="1"/>
    <col min="6404" max="6404" width="10.1640625" style="1517" customWidth="1"/>
    <col min="6405" max="6405" width="10.6640625" style="1517" customWidth="1"/>
    <col min="6406" max="6407" width="9.1640625" style="1517"/>
    <col min="6408" max="6408" width="18.33203125" style="1517" customWidth="1"/>
    <col min="6409" max="6409" width="19.83203125" style="1517" customWidth="1"/>
    <col min="6410" max="6410" width="25" style="1517" customWidth="1"/>
    <col min="6411" max="6656" width="9.1640625" style="1517"/>
    <col min="6657" max="6657" width="6.1640625" style="1517" customWidth="1"/>
    <col min="6658" max="6658" width="33.33203125" style="1517" customWidth="1"/>
    <col min="6659" max="6659" width="18.6640625" style="1517" customWidth="1"/>
    <col min="6660" max="6660" width="10.1640625" style="1517" customWidth="1"/>
    <col min="6661" max="6661" width="10.6640625" style="1517" customWidth="1"/>
    <col min="6662" max="6663" width="9.1640625" style="1517"/>
    <col min="6664" max="6664" width="18.33203125" style="1517" customWidth="1"/>
    <col min="6665" max="6665" width="19.83203125" style="1517" customWidth="1"/>
    <col min="6666" max="6666" width="25" style="1517" customWidth="1"/>
    <col min="6667" max="6912" width="9.1640625" style="1517"/>
    <col min="6913" max="6913" width="6.1640625" style="1517" customWidth="1"/>
    <col min="6914" max="6914" width="33.33203125" style="1517" customWidth="1"/>
    <col min="6915" max="6915" width="18.6640625" style="1517" customWidth="1"/>
    <col min="6916" max="6916" width="10.1640625" style="1517" customWidth="1"/>
    <col min="6917" max="6917" width="10.6640625" style="1517" customWidth="1"/>
    <col min="6918" max="6919" width="9.1640625" style="1517"/>
    <col min="6920" max="6920" width="18.33203125" style="1517" customWidth="1"/>
    <col min="6921" max="6921" width="19.83203125" style="1517" customWidth="1"/>
    <col min="6922" max="6922" width="25" style="1517" customWidth="1"/>
    <col min="6923" max="7168" width="9.1640625" style="1517"/>
    <col min="7169" max="7169" width="6.1640625" style="1517" customWidth="1"/>
    <col min="7170" max="7170" width="33.33203125" style="1517" customWidth="1"/>
    <col min="7171" max="7171" width="18.6640625" style="1517" customWidth="1"/>
    <col min="7172" max="7172" width="10.1640625" style="1517" customWidth="1"/>
    <col min="7173" max="7173" width="10.6640625" style="1517" customWidth="1"/>
    <col min="7174" max="7175" width="9.1640625" style="1517"/>
    <col min="7176" max="7176" width="18.33203125" style="1517" customWidth="1"/>
    <col min="7177" max="7177" width="19.83203125" style="1517" customWidth="1"/>
    <col min="7178" max="7178" width="25" style="1517" customWidth="1"/>
    <col min="7179" max="7424" width="9.1640625" style="1517"/>
    <col min="7425" max="7425" width="6.1640625" style="1517" customWidth="1"/>
    <col min="7426" max="7426" width="33.33203125" style="1517" customWidth="1"/>
    <col min="7427" max="7427" width="18.6640625" style="1517" customWidth="1"/>
    <col min="7428" max="7428" width="10.1640625" style="1517" customWidth="1"/>
    <col min="7429" max="7429" width="10.6640625" style="1517" customWidth="1"/>
    <col min="7430" max="7431" width="9.1640625" style="1517"/>
    <col min="7432" max="7432" width="18.33203125" style="1517" customWidth="1"/>
    <col min="7433" max="7433" width="19.83203125" style="1517" customWidth="1"/>
    <col min="7434" max="7434" width="25" style="1517" customWidth="1"/>
    <col min="7435" max="7680" width="9.1640625" style="1517"/>
    <col min="7681" max="7681" width="6.1640625" style="1517" customWidth="1"/>
    <col min="7682" max="7682" width="33.33203125" style="1517" customWidth="1"/>
    <col min="7683" max="7683" width="18.6640625" style="1517" customWidth="1"/>
    <col min="7684" max="7684" width="10.1640625" style="1517" customWidth="1"/>
    <col min="7685" max="7685" width="10.6640625" style="1517" customWidth="1"/>
    <col min="7686" max="7687" width="9.1640625" style="1517"/>
    <col min="7688" max="7688" width="18.33203125" style="1517" customWidth="1"/>
    <col min="7689" max="7689" width="19.83203125" style="1517" customWidth="1"/>
    <col min="7690" max="7690" width="25" style="1517" customWidth="1"/>
    <col min="7691" max="7936" width="9.1640625" style="1517"/>
    <col min="7937" max="7937" width="6.1640625" style="1517" customWidth="1"/>
    <col min="7938" max="7938" width="33.33203125" style="1517" customWidth="1"/>
    <col min="7939" max="7939" width="18.6640625" style="1517" customWidth="1"/>
    <col min="7940" max="7940" width="10.1640625" style="1517" customWidth="1"/>
    <col min="7941" max="7941" width="10.6640625" style="1517" customWidth="1"/>
    <col min="7942" max="7943" width="9.1640625" style="1517"/>
    <col min="7944" max="7944" width="18.33203125" style="1517" customWidth="1"/>
    <col min="7945" max="7945" width="19.83203125" style="1517" customWidth="1"/>
    <col min="7946" max="7946" width="25" style="1517" customWidth="1"/>
    <col min="7947" max="8192" width="9.1640625" style="1517"/>
    <col min="8193" max="8193" width="6.1640625" style="1517" customWidth="1"/>
    <col min="8194" max="8194" width="33.33203125" style="1517" customWidth="1"/>
    <col min="8195" max="8195" width="18.6640625" style="1517" customWidth="1"/>
    <col min="8196" max="8196" width="10.1640625" style="1517" customWidth="1"/>
    <col min="8197" max="8197" width="10.6640625" style="1517" customWidth="1"/>
    <col min="8198" max="8199" width="9.1640625" style="1517"/>
    <col min="8200" max="8200" width="18.33203125" style="1517" customWidth="1"/>
    <col min="8201" max="8201" width="19.83203125" style="1517" customWidth="1"/>
    <col min="8202" max="8202" width="25" style="1517" customWidth="1"/>
    <col min="8203" max="8448" width="9.1640625" style="1517"/>
    <col min="8449" max="8449" width="6.1640625" style="1517" customWidth="1"/>
    <col min="8450" max="8450" width="33.33203125" style="1517" customWidth="1"/>
    <col min="8451" max="8451" width="18.6640625" style="1517" customWidth="1"/>
    <col min="8452" max="8452" width="10.1640625" style="1517" customWidth="1"/>
    <col min="8453" max="8453" width="10.6640625" style="1517" customWidth="1"/>
    <col min="8454" max="8455" width="9.1640625" style="1517"/>
    <col min="8456" max="8456" width="18.33203125" style="1517" customWidth="1"/>
    <col min="8457" max="8457" width="19.83203125" style="1517" customWidth="1"/>
    <col min="8458" max="8458" width="25" style="1517" customWidth="1"/>
    <col min="8459" max="8704" width="9.1640625" style="1517"/>
    <col min="8705" max="8705" width="6.1640625" style="1517" customWidth="1"/>
    <col min="8706" max="8706" width="33.33203125" style="1517" customWidth="1"/>
    <col min="8707" max="8707" width="18.6640625" style="1517" customWidth="1"/>
    <col min="8708" max="8708" width="10.1640625" style="1517" customWidth="1"/>
    <col min="8709" max="8709" width="10.6640625" style="1517" customWidth="1"/>
    <col min="8710" max="8711" width="9.1640625" style="1517"/>
    <col min="8712" max="8712" width="18.33203125" style="1517" customWidth="1"/>
    <col min="8713" max="8713" width="19.83203125" style="1517" customWidth="1"/>
    <col min="8714" max="8714" width="25" style="1517" customWidth="1"/>
    <col min="8715" max="8960" width="9.1640625" style="1517"/>
    <col min="8961" max="8961" width="6.1640625" style="1517" customWidth="1"/>
    <col min="8962" max="8962" width="33.33203125" style="1517" customWidth="1"/>
    <col min="8963" max="8963" width="18.6640625" style="1517" customWidth="1"/>
    <col min="8964" max="8964" width="10.1640625" style="1517" customWidth="1"/>
    <col min="8965" max="8965" width="10.6640625" style="1517" customWidth="1"/>
    <col min="8966" max="8967" width="9.1640625" style="1517"/>
    <col min="8968" max="8968" width="18.33203125" style="1517" customWidth="1"/>
    <col min="8969" max="8969" width="19.83203125" style="1517" customWidth="1"/>
    <col min="8970" max="8970" width="25" style="1517" customWidth="1"/>
    <col min="8971" max="9216" width="9.1640625" style="1517"/>
    <col min="9217" max="9217" width="6.1640625" style="1517" customWidth="1"/>
    <col min="9218" max="9218" width="33.33203125" style="1517" customWidth="1"/>
    <col min="9219" max="9219" width="18.6640625" style="1517" customWidth="1"/>
    <col min="9220" max="9220" width="10.1640625" style="1517" customWidth="1"/>
    <col min="9221" max="9221" width="10.6640625" style="1517" customWidth="1"/>
    <col min="9222" max="9223" width="9.1640625" style="1517"/>
    <col min="9224" max="9224" width="18.33203125" style="1517" customWidth="1"/>
    <col min="9225" max="9225" width="19.83203125" style="1517" customWidth="1"/>
    <col min="9226" max="9226" width="25" style="1517" customWidth="1"/>
    <col min="9227" max="9472" width="9.1640625" style="1517"/>
    <col min="9473" max="9473" width="6.1640625" style="1517" customWidth="1"/>
    <col min="9474" max="9474" width="33.33203125" style="1517" customWidth="1"/>
    <col min="9475" max="9475" width="18.6640625" style="1517" customWidth="1"/>
    <col min="9476" max="9476" width="10.1640625" style="1517" customWidth="1"/>
    <col min="9477" max="9477" width="10.6640625" style="1517" customWidth="1"/>
    <col min="9478" max="9479" width="9.1640625" style="1517"/>
    <col min="9480" max="9480" width="18.33203125" style="1517" customWidth="1"/>
    <col min="9481" max="9481" width="19.83203125" style="1517" customWidth="1"/>
    <col min="9482" max="9482" width="25" style="1517" customWidth="1"/>
    <col min="9483" max="9728" width="9.1640625" style="1517"/>
    <col min="9729" max="9729" width="6.1640625" style="1517" customWidth="1"/>
    <col min="9730" max="9730" width="33.33203125" style="1517" customWidth="1"/>
    <col min="9731" max="9731" width="18.6640625" style="1517" customWidth="1"/>
    <col min="9732" max="9732" width="10.1640625" style="1517" customWidth="1"/>
    <col min="9733" max="9733" width="10.6640625" style="1517" customWidth="1"/>
    <col min="9734" max="9735" width="9.1640625" style="1517"/>
    <col min="9736" max="9736" width="18.33203125" style="1517" customWidth="1"/>
    <col min="9737" max="9737" width="19.83203125" style="1517" customWidth="1"/>
    <col min="9738" max="9738" width="25" style="1517" customWidth="1"/>
    <col min="9739" max="9984" width="9.1640625" style="1517"/>
    <col min="9985" max="9985" width="6.1640625" style="1517" customWidth="1"/>
    <col min="9986" max="9986" width="33.33203125" style="1517" customWidth="1"/>
    <col min="9987" max="9987" width="18.6640625" style="1517" customWidth="1"/>
    <col min="9988" max="9988" width="10.1640625" style="1517" customWidth="1"/>
    <col min="9989" max="9989" width="10.6640625" style="1517" customWidth="1"/>
    <col min="9990" max="9991" width="9.1640625" style="1517"/>
    <col min="9992" max="9992" width="18.33203125" style="1517" customWidth="1"/>
    <col min="9993" max="9993" width="19.83203125" style="1517" customWidth="1"/>
    <col min="9994" max="9994" width="25" style="1517" customWidth="1"/>
    <col min="9995" max="10240" width="9.1640625" style="1517"/>
    <col min="10241" max="10241" width="6.1640625" style="1517" customWidth="1"/>
    <col min="10242" max="10242" width="33.33203125" style="1517" customWidth="1"/>
    <col min="10243" max="10243" width="18.6640625" style="1517" customWidth="1"/>
    <col min="10244" max="10244" width="10.1640625" style="1517" customWidth="1"/>
    <col min="10245" max="10245" width="10.6640625" style="1517" customWidth="1"/>
    <col min="10246" max="10247" width="9.1640625" style="1517"/>
    <col min="10248" max="10248" width="18.33203125" style="1517" customWidth="1"/>
    <col min="10249" max="10249" width="19.83203125" style="1517" customWidth="1"/>
    <col min="10250" max="10250" width="25" style="1517" customWidth="1"/>
    <col min="10251" max="10496" width="9.1640625" style="1517"/>
    <col min="10497" max="10497" width="6.1640625" style="1517" customWidth="1"/>
    <col min="10498" max="10498" width="33.33203125" style="1517" customWidth="1"/>
    <col min="10499" max="10499" width="18.6640625" style="1517" customWidth="1"/>
    <col min="10500" max="10500" width="10.1640625" style="1517" customWidth="1"/>
    <col min="10501" max="10501" width="10.6640625" style="1517" customWidth="1"/>
    <col min="10502" max="10503" width="9.1640625" style="1517"/>
    <col min="10504" max="10504" width="18.33203125" style="1517" customWidth="1"/>
    <col min="10505" max="10505" width="19.83203125" style="1517" customWidth="1"/>
    <col min="10506" max="10506" width="25" style="1517" customWidth="1"/>
    <col min="10507" max="10752" width="9.1640625" style="1517"/>
    <col min="10753" max="10753" width="6.1640625" style="1517" customWidth="1"/>
    <col min="10754" max="10754" width="33.33203125" style="1517" customWidth="1"/>
    <col min="10755" max="10755" width="18.6640625" style="1517" customWidth="1"/>
    <col min="10756" max="10756" width="10.1640625" style="1517" customWidth="1"/>
    <col min="10757" max="10757" width="10.6640625" style="1517" customWidth="1"/>
    <col min="10758" max="10759" width="9.1640625" style="1517"/>
    <col min="10760" max="10760" width="18.33203125" style="1517" customWidth="1"/>
    <col min="10761" max="10761" width="19.83203125" style="1517" customWidth="1"/>
    <col min="10762" max="10762" width="25" style="1517" customWidth="1"/>
    <col min="10763" max="11008" width="9.1640625" style="1517"/>
    <col min="11009" max="11009" width="6.1640625" style="1517" customWidth="1"/>
    <col min="11010" max="11010" width="33.33203125" style="1517" customWidth="1"/>
    <col min="11011" max="11011" width="18.6640625" style="1517" customWidth="1"/>
    <col min="11012" max="11012" width="10.1640625" style="1517" customWidth="1"/>
    <col min="11013" max="11013" width="10.6640625" style="1517" customWidth="1"/>
    <col min="11014" max="11015" width="9.1640625" style="1517"/>
    <col min="11016" max="11016" width="18.33203125" style="1517" customWidth="1"/>
    <col min="11017" max="11017" width="19.83203125" style="1517" customWidth="1"/>
    <col min="11018" max="11018" width="25" style="1517" customWidth="1"/>
    <col min="11019" max="11264" width="9.1640625" style="1517"/>
    <col min="11265" max="11265" width="6.1640625" style="1517" customWidth="1"/>
    <col min="11266" max="11266" width="33.33203125" style="1517" customWidth="1"/>
    <col min="11267" max="11267" width="18.6640625" style="1517" customWidth="1"/>
    <col min="11268" max="11268" width="10.1640625" style="1517" customWidth="1"/>
    <col min="11269" max="11269" width="10.6640625" style="1517" customWidth="1"/>
    <col min="11270" max="11271" width="9.1640625" style="1517"/>
    <col min="11272" max="11272" width="18.33203125" style="1517" customWidth="1"/>
    <col min="11273" max="11273" width="19.83203125" style="1517" customWidth="1"/>
    <col min="11274" max="11274" width="25" style="1517" customWidth="1"/>
    <col min="11275" max="11520" width="9.1640625" style="1517"/>
    <col min="11521" max="11521" width="6.1640625" style="1517" customWidth="1"/>
    <col min="11522" max="11522" width="33.33203125" style="1517" customWidth="1"/>
    <col min="11523" max="11523" width="18.6640625" style="1517" customWidth="1"/>
    <col min="11524" max="11524" width="10.1640625" style="1517" customWidth="1"/>
    <col min="11525" max="11525" width="10.6640625" style="1517" customWidth="1"/>
    <col min="11526" max="11527" width="9.1640625" style="1517"/>
    <col min="11528" max="11528" width="18.33203125" style="1517" customWidth="1"/>
    <col min="11529" max="11529" width="19.83203125" style="1517" customWidth="1"/>
    <col min="11530" max="11530" width="25" style="1517" customWidth="1"/>
    <col min="11531" max="11776" width="9.1640625" style="1517"/>
    <col min="11777" max="11777" width="6.1640625" style="1517" customWidth="1"/>
    <col min="11778" max="11778" width="33.33203125" style="1517" customWidth="1"/>
    <col min="11779" max="11779" width="18.6640625" style="1517" customWidth="1"/>
    <col min="11780" max="11780" width="10.1640625" style="1517" customWidth="1"/>
    <col min="11781" max="11781" width="10.6640625" style="1517" customWidth="1"/>
    <col min="11782" max="11783" width="9.1640625" style="1517"/>
    <col min="11784" max="11784" width="18.33203125" style="1517" customWidth="1"/>
    <col min="11785" max="11785" width="19.83203125" style="1517" customWidth="1"/>
    <col min="11786" max="11786" width="25" style="1517" customWidth="1"/>
    <col min="11787" max="12032" width="9.1640625" style="1517"/>
    <col min="12033" max="12033" width="6.1640625" style="1517" customWidth="1"/>
    <col min="12034" max="12034" width="33.33203125" style="1517" customWidth="1"/>
    <col min="12035" max="12035" width="18.6640625" style="1517" customWidth="1"/>
    <col min="12036" max="12036" width="10.1640625" style="1517" customWidth="1"/>
    <col min="12037" max="12037" width="10.6640625" style="1517" customWidth="1"/>
    <col min="12038" max="12039" width="9.1640625" style="1517"/>
    <col min="12040" max="12040" width="18.33203125" style="1517" customWidth="1"/>
    <col min="12041" max="12041" width="19.83203125" style="1517" customWidth="1"/>
    <col min="12042" max="12042" width="25" style="1517" customWidth="1"/>
    <col min="12043" max="12288" width="9.1640625" style="1517"/>
    <col min="12289" max="12289" width="6.1640625" style="1517" customWidth="1"/>
    <col min="12290" max="12290" width="33.33203125" style="1517" customWidth="1"/>
    <col min="12291" max="12291" width="18.6640625" style="1517" customWidth="1"/>
    <col min="12292" max="12292" width="10.1640625" style="1517" customWidth="1"/>
    <col min="12293" max="12293" width="10.6640625" style="1517" customWidth="1"/>
    <col min="12294" max="12295" width="9.1640625" style="1517"/>
    <col min="12296" max="12296" width="18.33203125" style="1517" customWidth="1"/>
    <col min="12297" max="12297" width="19.83203125" style="1517" customWidth="1"/>
    <col min="12298" max="12298" width="25" style="1517" customWidth="1"/>
    <col min="12299" max="12544" width="9.1640625" style="1517"/>
    <col min="12545" max="12545" width="6.1640625" style="1517" customWidth="1"/>
    <col min="12546" max="12546" width="33.33203125" style="1517" customWidth="1"/>
    <col min="12547" max="12547" width="18.6640625" style="1517" customWidth="1"/>
    <col min="12548" max="12548" width="10.1640625" style="1517" customWidth="1"/>
    <col min="12549" max="12549" width="10.6640625" style="1517" customWidth="1"/>
    <col min="12550" max="12551" width="9.1640625" style="1517"/>
    <col min="12552" max="12552" width="18.33203125" style="1517" customWidth="1"/>
    <col min="12553" max="12553" width="19.83203125" style="1517" customWidth="1"/>
    <col min="12554" max="12554" width="25" style="1517" customWidth="1"/>
    <col min="12555" max="12800" width="9.1640625" style="1517"/>
    <col min="12801" max="12801" width="6.1640625" style="1517" customWidth="1"/>
    <col min="12802" max="12802" width="33.33203125" style="1517" customWidth="1"/>
    <col min="12803" max="12803" width="18.6640625" style="1517" customWidth="1"/>
    <col min="12804" max="12804" width="10.1640625" style="1517" customWidth="1"/>
    <col min="12805" max="12805" width="10.6640625" style="1517" customWidth="1"/>
    <col min="12806" max="12807" width="9.1640625" style="1517"/>
    <col min="12808" max="12808" width="18.33203125" style="1517" customWidth="1"/>
    <col min="12809" max="12809" width="19.83203125" style="1517" customWidth="1"/>
    <col min="12810" max="12810" width="25" style="1517" customWidth="1"/>
    <col min="12811" max="13056" width="9.1640625" style="1517"/>
    <col min="13057" max="13057" width="6.1640625" style="1517" customWidth="1"/>
    <col min="13058" max="13058" width="33.33203125" style="1517" customWidth="1"/>
    <col min="13059" max="13059" width="18.6640625" style="1517" customWidth="1"/>
    <col min="13060" max="13060" width="10.1640625" style="1517" customWidth="1"/>
    <col min="13061" max="13061" width="10.6640625" style="1517" customWidth="1"/>
    <col min="13062" max="13063" width="9.1640625" style="1517"/>
    <col min="13064" max="13064" width="18.33203125" style="1517" customWidth="1"/>
    <col min="13065" max="13065" width="19.83203125" style="1517" customWidth="1"/>
    <col min="13066" max="13066" width="25" style="1517" customWidth="1"/>
    <col min="13067" max="13312" width="9.1640625" style="1517"/>
    <col min="13313" max="13313" width="6.1640625" style="1517" customWidth="1"/>
    <col min="13314" max="13314" width="33.33203125" style="1517" customWidth="1"/>
    <col min="13315" max="13315" width="18.6640625" style="1517" customWidth="1"/>
    <col min="13316" max="13316" width="10.1640625" style="1517" customWidth="1"/>
    <col min="13317" max="13317" width="10.6640625" style="1517" customWidth="1"/>
    <col min="13318" max="13319" width="9.1640625" style="1517"/>
    <col min="13320" max="13320" width="18.33203125" style="1517" customWidth="1"/>
    <col min="13321" max="13321" width="19.83203125" style="1517" customWidth="1"/>
    <col min="13322" max="13322" width="25" style="1517" customWidth="1"/>
    <col min="13323" max="13568" width="9.1640625" style="1517"/>
    <col min="13569" max="13569" width="6.1640625" style="1517" customWidth="1"/>
    <col min="13570" max="13570" width="33.33203125" style="1517" customWidth="1"/>
    <col min="13571" max="13571" width="18.6640625" style="1517" customWidth="1"/>
    <col min="13572" max="13572" width="10.1640625" style="1517" customWidth="1"/>
    <col min="13573" max="13573" width="10.6640625" style="1517" customWidth="1"/>
    <col min="13574" max="13575" width="9.1640625" style="1517"/>
    <col min="13576" max="13576" width="18.33203125" style="1517" customWidth="1"/>
    <col min="13577" max="13577" width="19.83203125" style="1517" customWidth="1"/>
    <col min="13578" max="13578" width="25" style="1517" customWidth="1"/>
    <col min="13579" max="13824" width="9.1640625" style="1517"/>
    <col min="13825" max="13825" width="6.1640625" style="1517" customWidth="1"/>
    <col min="13826" max="13826" width="33.33203125" style="1517" customWidth="1"/>
    <col min="13827" max="13827" width="18.6640625" style="1517" customWidth="1"/>
    <col min="13828" max="13828" width="10.1640625" style="1517" customWidth="1"/>
    <col min="13829" max="13829" width="10.6640625" style="1517" customWidth="1"/>
    <col min="13830" max="13831" width="9.1640625" style="1517"/>
    <col min="13832" max="13832" width="18.33203125" style="1517" customWidth="1"/>
    <col min="13833" max="13833" width="19.83203125" style="1517" customWidth="1"/>
    <col min="13834" max="13834" width="25" style="1517" customWidth="1"/>
    <col min="13835" max="14080" width="9.1640625" style="1517"/>
    <col min="14081" max="14081" width="6.1640625" style="1517" customWidth="1"/>
    <col min="14082" max="14082" width="33.33203125" style="1517" customWidth="1"/>
    <col min="14083" max="14083" width="18.6640625" style="1517" customWidth="1"/>
    <col min="14084" max="14084" width="10.1640625" style="1517" customWidth="1"/>
    <col min="14085" max="14085" width="10.6640625" style="1517" customWidth="1"/>
    <col min="14086" max="14087" width="9.1640625" style="1517"/>
    <col min="14088" max="14088" width="18.33203125" style="1517" customWidth="1"/>
    <col min="14089" max="14089" width="19.83203125" style="1517" customWidth="1"/>
    <col min="14090" max="14090" width="25" style="1517" customWidth="1"/>
    <col min="14091" max="14336" width="9.1640625" style="1517"/>
    <col min="14337" max="14337" width="6.1640625" style="1517" customWidth="1"/>
    <col min="14338" max="14338" width="33.33203125" style="1517" customWidth="1"/>
    <col min="14339" max="14339" width="18.6640625" style="1517" customWidth="1"/>
    <col min="14340" max="14340" width="10.1640625" style="1517" customWidth="1"/>
    <col min="14341" max="14341" width="10.6640625" style="1517" customWidth="1"/>
    <col min="14342" max="14343" width="9.1640625" style="1517"/>
    <col min="14344" max="14344" width="18.33203125" style="1517" customWidth="1"/>
    <col min="14345" max="14345" width="19.83203125" style="1517" customWidth="1"/>
    <col min="14346" max="14346" width="25" style="1517" customWidth="1"/>
    <col min="14347" max="14592" width="9.1640625" style="1517"/>
    <col min="14593" max="14593" width="6.1640625" style="1517" customWidth="1"/>
    <col min="14594" max="14594" width="33.33203125" style="1517" customWidth="1"/>
    <col min="14595" max="14595" width="18.6640625" style="1517" customWidth="1"/>
    <col min="14596" max="14596" width="10.1640625" style="1517" customWidth="1"/>
    <col min="14597" max="14597" width="10.6640625" style="1517" customWidth="1"/>
    <col min="14598" max="14599" width="9.1640625" style="1517"/>
    <col min="14600" max="14600" width="18.33203125" style="1517" customWidth="1"/>
    <col min="14601" max="14601" width="19.83203125" style="1517" customWidth="1"/>
    <col min="14602" max="14602" width="25" style="1517" customWidth="1"/>
    <col min="14603" max="14848" width="9.1640625" style="1517"/>
    <col min="14849" max="14849" width="6.1640625" style="1517" customWidth="1"/>
    <col min="14850" max="14850" width="33.33203125" style="1517" customWidth="1"/>
    <col min="14851" max="14851" width="18.6640625" style="1517" customWidth="1"/>
    <col min="14852" max="14852" width="10.1640625" style="1517" customWidth="1"/>
    <col min="14853" max="14853" width="10.6640625" style="1517" customWidth="1"/>
    <col min="14854" max="14855" width="9.1640625" style="1517"/>
    <col min="14856" max="14856" width="18.33203125" style="1517" customWidth="1"/>
    <col min="14857" max="14857" width="19.83203125" style="1517" customWidth="1"/>
    <col min="14858" max="14858" width="25" style="1517" customWidth="1"/>
    <col min="14859" max="15104" width="9.1640625" style="1517"/>
    <col min="15105" max="15105" width="6.1640625" style="1517" customWidth="1"/>
    <col min="15106" max="15106" width="33.33203125" style="1517" customWidth="1"/>
    <col min="15107" max="15107" width="18.6640625" style="1517" customWidth="1"/>
    <col min="15108" max="15108" width="10.1640625" style="1517" customWidth="1"/>
    <col min="15109" max="15109" width="10.6640625" style="1517" customWidth="1"/>
    <col min="15110" max="15111" width="9.1640625" style="1517"/>
    <col min="15112" max="15112" width="18.33203125" style="1517" customWidth="1"/>
    <col min="15113" max="15113" width="19.83203125" style="1517" customWidth="1"/>
    <col min="15114" max="15114" width="25" style="1517" customWidth="1"/>
    <col min="15115" max="15360" width="9.1640625" style="1517"/>
    <col min="15361" max="15361" width="6.1640625" style="1517" customWidth="1"/>
    <col min="15362" max="15362" width="33.33203125" style="1517" customWidth="1"/>
    <col min="15363" max="15363" width="18.6640625" style="1517" customWidth="1"/>
    <col min="15364" max="15364" width="10.1640625" style="1517" customWidth="1"/>
    <col min="15365" max="15365" width="10.6640625" style="1517" customWidth="1"/>
    <col min="15366" max="15367" width="9.1640625" style="1517"/>
    <col min="15368" max="15368" width="18.33203125" style="1517" customWidth="1"/>
    <col min="15369" max="15369" width="19.83203125" style="1517" customWidth="1"/>
    <col min="15370" max="15370" width="25" style="1517" customWidth="1"/>
    <col min="15371" max="15616" width="9.1640625" style="1517"/>
    <col min="15617" max="15617" width="6.1640625" style="1517" customWidth="1"/>
    <col min="15618" max="15618" width="33.33203125" style="1517" customWidth="1"/>
    <col min="15619" max="15619" width="18.6640625" style="1517" customWidth="1"/>
    <col min="15620" max="15620" width="10.1640625" style="1517" customWidth="1"/>
    <col min="15621" max="15621" width="10.6640625" style="1517" customWidth="1"/>
    <col min="15622" max="15623" width="9.1640625" style="1517"/>
    <col min="15624" max="15624" width="18.33203125" style="1517" customWidth="1"/>
    <col min="15625" max="15625" width="19.83203125" style="1517" customWidth="1"/>
    <col min="15626" max="15626" width="25" style="1517" customWidth="1"/>
    <col min="15627" max="15872" width="9.1640625" style="1517"/>
    <col min="15873" max="15873" width="6.1640625" style="1517" customWidth="1"/>
    <col min="15874" max="15874" width="33.33203125" style="1517" customWidth="1"/>
    <col min="15875" max="15875" width="18.6640625" style="1517" customWidth="1"/>
    <col min="15876" max="15876" width="10.1640625" style="1517" customWidth="1"/>
    <col min="15877" max="15877" width="10.6640625" style="1517" customWidth="1"/>
    <col min="15878" max="15879" width="9.1640625" style="1517"/>
    <col min="15880" max="15880" width="18.33203125" style="1517" customWidth="1"/>
    <col min="15881" max="15881" width="19.83203125" style="1517" customWidth="1"/>
    <col min="15882" max="15882" width="25" style="1517" customWidth="1"/>
    <col min="15883" max="16128" width="9.1640625" style="1517"/>
    <col min="16129" max="16129" width="6.1640625" style="1517" customWidth="1"/>
    <col min="16130" max="16130" width="33.33203125" style="1517" customWidth="1"/>
    <col min="16131" max="16131" width="18.6640625" style="1517" customWidth="1"/>
    <col min="16132" max="16132" width="10.1640625" style="1517" customWidth="1"/>
    <col min="16133" max="16133" width="10.6640625" style="1517" customWidth="1"/>
    <col min="16134" max="16135" width="9.1640625" style="1517"/>
    <col min="16136" max="16136" width="18.33203125" style="1517" customWidth="1"/>
    <col min="16137" max="16137" width="19.83203125" style="1517" customWidth="1"/>
    <col min="16138" max="16138" width="25" style="1517" customWidth="1"/>
    <col min="16139" max="16384" width="9.1640625" style="1517"/>
  </cols>
  <sheetData>
    <row r="1" spans="1:10" ht="16">
      <c r="A1" s="1514"/>
      <c r="B1" s="1514"/>
      <c r="C1" s="1515"/>
      <c r="D1" s="1514"/>
      <c r="E1" s="1516"/>
      <c r="F1" s="1514"/>
      <c r="G1" s="1514"/>
      <c r="H1" s="1514"/>
      <c r="I1" s="1514"/>
      <c r="J1" s="1514"/>
    </row>
    <row r="2" spans="1:10" ht="16">
      <c r="A2" s="1664" t="s">
        <v>136</v>
      </c>
      <c r="B2" s="1664"/>
      <c r="C2" s="1665" t="s">
        <v>1329</v>
      </c>
      <c r="D2" s="1665"/>
      <c r="E2" s="1665"/>
      <c r="F2" s="1665"/>
      <c r="G2" s="1665"/>
      <c r="H2" s="1665"/>
      <c r="I2" s="1665"/>
      <c r="J2" s="1518" t="s">
        <v>371</v>
      </c>
    </row>
    <row r="3" spans="1:10" ht="18">
      <c r="A3" s="1666" t="s">
        <v>1330</v>
      </c>
      <c r="B3" s="1666"/>
      <c r="C3" s="1665"/>
      <c r="D3" s="1665"/>
      <c r="E3" s="1665"/>
      <c r="F3" s="1665"/>
      <c r="G3" s="1665"/>
      <c r="H3" s="1665"/>
      <c r="I3" s="1665"/>
      <c r="J3" s="1519"/>
    </row>
    <row r="4" spans="1:10" ht="19" thickBot="1">
      <c r="A4" s="1519"/>
      <c r="B4" s="1519"/>
      <c r="C4" s="1519"/>
      <c r="D4" s="1519"/>
      <c r="E4" s="1519"/>
      <c r="F4" s="1519"/>
      <c r="G4" s="1519"/>
      <c r="H4" s="1519"/>
      <c r="I4" s="1519"/>
      <c r="J4" s="1519"/>
    </row>
    <row r="5" spans="1:10" ht="51">
      <c r="A5" s="1520" t="s">
        <v>51</v>
      </c>
      <c r="B5" s="1521" t="s">
        <v>796</v>
      </c>
      <c r="C5" s="1521" t="s">
        <v>749</v>
      </c>
      <c r="D5" s="1522" t="s">
        <v>797</v>
      </c>
      <c r="E5" s="1522" t="s">
        <v>750</v>
      </c>
      <c r="F5" s="1522" t="s">
        <v>751</v>
      </c>
      <c r="G5" s="1522" t="s">
        <v>1331</v>
      </c>
      <c r="H5" s="1522" t="s">
        <v>1332</v>
      </c>
      <c r="I5" s="1522" t="s">
        <v>1333</v>
      </c>
      <c r="J5" s="1523" t="s">
        <v>1334</v>
      </c>
    </row>
    <row r="6" spans="1:10" s="1530" customFormat="1" ht="34">
      <c r="A6" s="1524">
        <v>1</v>
      </c>
      <c r="B6" s="1525" t="s">
        <v>1335</v>
      </c>
      <c r="C6" s="1525" t="s">
        <v>1335</v>
      </c>
      <c r="D6" s="1526" t="s">
        <v>1336</v>
      </c>
      <c r="E6" s="1525" t="s">
        <v>1337</v>
      </c>
      <c r="F6" s="1527">
        <v>3</v>
      </c>
      <c r="G6" s="1525" t="s">
        <v>1338</v>
      </c>
      <c r="H6" s="1528" t="s">
        <v>1339</v>
      </c>
      <c r="I6" s="1528" t="s">
        <v>595</v>
      </c>
      <c r="J6" s="1529" t="s">
        <v>1340</v>
      </c>
    </row>
    <row r="7" spans="1:10" s="1530" customFormat="1" ht="51">
      <c r="A7" s="1524">
        <v>2</v>
      </c>
      <c r="B7" s="1525" t="s">
        <v>1341</v>
      </c>
      <c r="C7" s="1525" t="s">
        <v>1341</v>
      </c>
      <c r="D7" s="1526" t="s">
        <v>798</v>
      </c>
      <c r="E7" s="1525" t="s">
        <v>1342</v>
      </c>
      <c r="F7" s="1527">
        <v>5</v>
      </c>
      <c r="G7" s="1525" t="s">
        <v>1343</v>
      </c>
      <c r="H7" s="1528" t="s">
        <v>722</v>
      </c>
      <c r="I7" s="1528" t="s">
        <v>1344</v>
      </c>
      <c r="J7" s="1529" t="s">
        <v>1340</v>
      </c>
    </row>
    <row r="8" spans="1:10" s="1530" customFormat="1" ht="51">
      <c r="A8" s="1531">
        <v>3</v>
      </c>
      <c r="B8" s="1525" t="s">
        <v>1345</v>
      </c>
      <c r="C8" s="1525" t="s">
        <v>1345</v>
      </c>
      <c r="D8" s="1527" t="s">
        <v>798</v>
      </c>
      <c r="E8" s="1525" t="s">
        <v>1346</v>
      </c>
      <c r="F8" s="1527">
        <v>5</v>
      </c>
      <c r="G8" s="1525" t="s">
        <v>1343</v>
      </c>
      <c r="H8" s="1528" t="s">
        <v>1347</v>
      </c>
      <c r="I8" s="1528" t="s">
        <v>1348</v>
      </c>
      <c r="J8" s="1529" t="s">
        <v>1340</v>
      </c>
    </row>
    <row r="9" spans="1:10" s="1530" customFormat="1" ht="34">
      <c r="A9" s="1531">
        <v>4</v>
      </c>
      <c r="B9" s="1525" t="s">
        <v>1349</v>
      </c>
      <c r="C9" s="1525" t="s">
        <v>1349</v>
      </c>
      <c r="D9" s="1527" t="s">
        <v>798</v>
      </c>
      <c r="E9" s="1525" t="s">
        <v>1350</v>
      </c>
      <c r="F9" s="1527">
        <v>5</v>
      </c>
      <c r="G9" s="1525" t="s">
        <v>1351</v>
      </c>
      <c r="H9" s="1528" t="s">
        <v>1352</v>
      </c>
      <c r="I9" s="1528" t="s">
        <v>1353</v>
      </c>
      <c r="J9" s="1529" t="s">
        <v>1340</v>
      </c>
    </row>
    <row r="10" spans="1:10" s="1530" customFormat="1" ht="34">
      <c r="A10" s="1531">
        <v>5</v>
      </c>
      <c r="B10" s="1525" t="s">
        <v>644</v>
      </c>
      <c r="C10" s="1532" t="s">
        <v>644</v>
      </c>
      <c r="D10" s="1527" t="s">
        <v>798</v>
      </c>
      <c r="E10" s="1525" t="s">
        <v>875</v>
      </c>
      <c r="F10" s="1527">
        <v>4</v>
      </c>
      <c r="G10" s="1525" t="s">
        <v>1351</v>
      </c>
      <c r="H10" s="1528" t="s">
        <v>293</v>
      </c>
      <c r="I10" s="1528" t="s">
        <v>662</v>
      </c>
      <c r="J10" s="1533" t="s">
        <v>1340</v>
      </c>
    </row>
    <row r="11" spans="1:10" s="1530" customFormat="1" ht="17">
      <c r="A11" s="1754"/>
      <c r="B11" s="1755" t="s">
        <v>353</v>
      </c>
      <c r="C11" s="1756"/>
      <c r="D11" s="1757"/>
      <c r="E11" s="1758"/>
      <c r="F11" s="1757">
        <f>SUM(F6:F10)</f>
        <v>22</v>
      </c>
      <c r="G11" s="1758"/>
      <c r="H11" s="1759"/>
      <c r="I11" s="1759"/>
      <c r="J11" s="1760"/>
    </row>
    <row r="12" spans="1:10" ht="17" thickBot="1">
      <c r="A12" s="1534"/>
      <c r="B12" s="1535"/>
      <c r="C12" s="1667" t="s">
        <v>1354</v>
      </c>
      <c r="D12" s="1668"/>
      <c r="E12" s="1668"/>
      <c r="F12" s="1668"/>
      <c r="G12" s="1668"/>
      <c r="H12" s="1668"/>
      <c r="I12" s="1668"/>
      <c r="J12" s="1669"/>
    </row>
    <row r="13" spans="1:10" ht="18">
      <c r="A13" s="1519"/>
      <c r="B13" s="1519"/>
      <c r="C13" s="1515"/>
      <c r="D13" s="1536"/>
      <c r="E13" s="1536"/>
      <c r="F13" s="1670" t="s">
        <v>972</v>
      </c>
      <c r="G13" s="1670"/>
      <c r="H13" s="1670"/>
      <c r="I13" s="1670"/>
      <c r="J13" s="1670"/>
    </row>
    <row r="14" spans="1:10" ht="18">
      <c r="A14" s="1519"/>
      <c r="B14" s="1519"/>
      <c r="C14" s="1515"/>
      <c r="D14" s="1537"/>
      <c r="E14" s="1537"/>
      <c r="F14" s="1671" t="s">
        <v>799</v>
      </c>
      <c r="G14" s="1671"/>
      <c r="H14" s="1671"/>
      <c r="I14" s="1671"/>
      <c r="J14" s="1671"/>
    </row>
    <row r="15" spans="1:10" ht="16">
      <c r="A15" s="1515"/>
      <c r="B15" s="1515"/>
      <c r="C15" s="1514"/>
      <c r="D15" s="1516"/>
      <c r="E15" s="1514"/>
      <c r="F15" s="1514"/>
      <c r="G15" s="1514"/>
      <c r="H15" s="1514"/>
      <c r="I15" s="1514"/>
      <c r="J15" s="1515"/>
    </row>
    <row r="16" spans="1:10" ht="16">
      <c r="A16" s="1515"/>
      <c r="B16" s="1515"/>
      <c r="C16" s="1514"/>
      <c r="D16" s="1516"/>
      <c r="E16" s="1514"/>
      <c r="F16" s="1663" t="s">
        <v>1355</v>
      </c>
      <c r="G16" s="1663"/>
      <c r="H16" s="1663"/>
      <c r="I16" s="1663"/>
      <c r="J16" s="1663"/>
    </row>
    <row r="17" spans="1:10" ht="16">
      <c r="A17" s="1515"/>
      <c r="B17" s="1515"/>
      <c r="C17" s="1514"/>
      <c r="D17" s="1516"/>
      <c r="E17" s="1514"/>
      <c r="F17" s="1514"/>
      <c r="G17" s="1514"/>
      <c r="H17" s="1514"/>
      <c r="I17" s="1514"/>
      <c r="J17" s="1515"/>
    </row>
  </sheetData>
  <mergeCells count="7">
    <mergeCell ref="F16:J16"/>
    <mergeCell ref="A2:B2"/>
    <mergeCell ref="C2:I3"/>
    <mergeCell ref="A3:B3"/>
    <mergeCell ref="C12:J12"/>
    <mergeCell ref="F13:J13"/>
    <mergeCell ref="F14:J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activeCell="D31" sqref="D31"/>
    </sheetView>
  </sheetViews>
  <sheetFormatPr baseColWidth="10" defaultColWidth="9.1640625" defaultRowHeight="16"/>
  <cols>
    <col min="1" max="1" width="5.83203125" style="31" customWidth="1"/>
    <col min="2" max="2" width="39.33203125" style="31" customWidth="1"/>
    <col min="3" max="3" width="10.6640625" style="31" customWidth="1"/>
    <col min="4" max="5" width="12.5" style="31" customWidth="1"/>
    <col min="6" max="6" width="13.1640625" style="31" customWidth="1"/>
    <col min="7" max="7" width="16" style="31" customWidth="1"/>
    <col min="8" max="16384" width="9.1640625" style="31"/>
  </cols>
  <sheetData>
    <row r="1" spans="1:7" ht="17" customHeight="1">
      <c r="A1" s="1672" t="s">
        <v>3</v>
      </c>
      <c r="B1" s="1672"/>
      <c r="C1" s="1501"/>
      <c r="G1" s="1503" t="s">
        <v>240</v>
      </c>
    </row>
    <row r="2" spans="1:7" ht="17" customHeight="1">
      <c r="A2" s="1620" t="s">
        <v>498</v>
      </c>
      <c r="B2" s="1620"/>
      <c r="C2" s="1500"/>
    </row>
    <row r="3" spans="1:7" ht="23.25" customHeight="1">
      <c r="A3" s="1620" t="s">
        <v>178</v>
      </c>
      <c r="B3" s="1620"/>
      <c r="C3" s="1620"/>
      <c r="D3" s="1620"/>
      <c r="E3" s="1620"/>
      <c r="F3" s="1620"/>
      <c r="G3" s="1620"/>
    </row>
    <row r="4" spans="1:7">
      <c r="F4" s="1715" t="s">
        <v>84</v>
      </c>
      <c r="G4" s="1715"/>
    </row>
    <row r="5" spans="1:7" s="1500" customFormat="1" ht="51">
      <c r="A5" s="1716" t="s">
        <v>51</v>
      </c>
      <c r="B5" s="1716" t="s">
        <v>179</v>
      </c>
      <c r="C5" s="1717" t="s">
        <v>184</v>
      </c>
      <c r="D5" s="1717" t="s">
        <v>183</v>
      </c>
      <c r="E5" s="1717" t="s">
        <v>185</v>
      </c>
      <c r="F5" s="1717" t="s">
        <v>29</v>
      </c>
      <c r="G5" s="1716" t="s">
        <v>2</v>
      </c>
    </row>
    <row r="6" spans="1:7" s="33" customFormat="1" ht="34">
      <c r="A6" s="1718" t="s">
        <v>7</v>
      </c>
      <c r="B6" s="360" t="s">
        <v>180</v>
      </c>
      <c r="C6" s="1719"/>
      <c r="D6" s="886"/>
      <c r="E6" s="886"/>
      <c r="F6" s="1719"/>
      <c r="G6" s="1719"/>
    </row>
    <row r="7" spans="1:7" ht="31" customHeight="1">
      <c r="A7" s="1718" t="s">
        <v>8</v>
      </c>
      <c r="B7" s="1720" t="s">
        <v>181</v>
      </c>
      <c r="C7" s="1720"/>
      <c r="D7" s="1721"/>
      <c r="E7" s="1721"/>
      <c r="F7" s="1722"/>
      <c r="G7" s="1722"/>
    </row>
    <row r="8" spans="1:7" ht="26" customHeight="1">
      <c r="A8" s="1718" t="s">
        <v>25</v>
      </c>
      <c r="B8" s="1719" t="s">
        <v>182</v>
      </c>
      <c r="C8" s="33"/>
      <c r="F8" s="1722"/>
      <c r="G8" s="1722"/>
    </row>
    <row r="9" spans="1:7" ht="30.75" customHeight="1">
      <c r="A9" s="886"/>
      <c r="B9" s="878" t="s">
        <v>876</v>
      </c>
      <c r="C9" s="879">
        <v>500</v>
      </c>
      <c r="D9" s="879">
        <v>3500</v>
      </c>
      <c r="E9" s="1723">
        <v>200</v>
      </c>
      <c r="F9" s="879">
        <f>C9*(D9+E9)*0.65</f>
        <v>1202500</v>
      </c>
      <c r="G9" s="1724"/>
    </row>
    <row r="10" spans="1:7" ht="30.75" customHeight="1">
      <c r="A10" s="886"/>
      <c r="B10" s="251" t="s">
        <v>1376</v>
      </c>
      <c r="C10" s="1725">
        <v>5000</v>
      </c>
      <c r="D10" s="1726">
        <v>2600</v>
      </c>
      <c r="E10" s="1723">
        <v>200</v>
      </c>
      <c r="F10" s="879">
        <f t="shared" ref="F10:F17" si="0">C10*(D10+E10)*0.65</f>
        <v>9100000</v>
      </c>
      <c r="G10" s="1722" t="s">
        <v>1377</v>
      </c>
    </row>
    <row r="11" spans="1:7" ht="37.5" customHeight="1">
      <c r="A11" s="886"/>
      <c r="B11" s="251" t="s">
        <v>1376</v>
      </c>
      <c r="C11" s="879">
        <v>2000</v>
      </c>
      <c r="D11" s="880">
        <v>2600</v>
      </c>
      <c r="E11" s="1723">
        <v>200</v>
      </c>
      <c r="F11" s="879">
        <f>C11*(D11+E11)*0.3</f>
        <v>1680000</v>
      </c>
      <c r="G11" s="1722" t="s">
        <v>877</v>
      </c>
    </row>
    <row r="12" spans="1:7" ht="37.5" customHeight="1">
      <c r="A12" s="1502"/>
      <c r="B12" s="251" t="s">
        <v>1378</v>
      </c>
      <c r="C12" s="880">
        <v>2500</v>
      </c>
      <c r="D12" s="880">
        <v>2600</v>
      </c>
      <c r="E12" s="1723">
        <v>200</v>
      </c>
      <c r="F12" s="879">
        <f t="shared" si="0"/>
        <v>4550000</v>
      </c>
      <c r="G12" s="25"/>
    </row>
    <row r="13" spans="1:7" ht="37.5" customHeight="1">
      <c r="A13" s="1502"/>
      <c r="B13" s="251" t="s">
        <v>1379</v>
      </c>
      <c r="C13" s="880">
        <v>500</v>
      </c>
      <c r="D13" s="880">
        <v>3000</v>
      </c>
      <c r="E13" s="1723">
        <v>200</v>
      </c>
      <c r="F13" s="879">
        <f t="shared" si="0"/>
        <v>1040000</v>
      </c>
      <c r="G13" s="25"/>
    </row>
    <row r="14" spans="1:7" ht="37.5" customHeight="1">
      <c r="A14" s="1502"/>
      <c r="B14" s="251" t="s">
        <v>1380</v>
      </c>
      <c r="C14" s="880">
        <v>1400</v>
      </c>
      <c r="D14" s="880">
        <v>3000</v>
      </c>
      <c r="E14" s="1723">
        <v>200</v>
      </c>
      <c r="F14" s="879">
        <f t="shared" si="0"/>
        <v>2912000</v>
      </c>
      <c r="G14" s="25"/>
    </row>
    <row r="15" spans="1:7" ht="17">
      <c r="A15" s="1502"/>
      <c r="B15" s="251" t="s">
        <v>1381</v>
      </c>
      <c r="C15" s="880">
        <v>500</v>
      </c>
      <c r="D15" s="880">
        <v>2600</v>
      </c>
      <c r="E15" s="1723">
        <v>200</v>
      </c>
      <c r="F15" s="879">
        <f t="shared" si="0"/>
        <v>910000</v>
      </c>
      <c r="G15" s="25"/>
    </row>
    <row r="16" spans="1:7" ht="15.75" customHeight="1">
      <c r="A16" s="1502"/>
      <c r="B16" s="251" t="s">
        <v>1382</v>
      </c>
      <c r="C16" s="880">
        <v>500</v>
      </c>
      <c r="D16" s="880">
        <v>2600</v>
      </c>
      <c r="E16" s="1723">
        <v>200</v>
      </c>
      <c r="F16" s="879">
        <f t="shared" si="0"/>
        <v>910000</v>
      </c>
      <c r="G16" s="25"/>
    </row>
    <row r="17" spans="1:8" ht="16" customHeight="1">
      <c r="A17" s="1502"/>
      <c r="B17" s="251" t="s">
        <v>878</v>
      </c>
      <c r="C17" s="880">
        <v>1000</v>
      </c>
      <c r="D17" s="880">
        <v>3000</v>
      </c>
      <c r="E17" s="1723">
        <v>200</v>
      </c>
      <c r="F17" s="879">
        <f t="shared" si="0"/>
        <v>2080000</v>
      </c>
      <c r="G17" s="25"/>
    </row>
    <row r="18" spans="1:8" ht="85.5" customHeight="1">
      <c r="A18" s="357"/>
      <c r="B18" s="358" t="s">
        <v>353</v>
      </c>
      <c r="C18" s="1727">
        <f>SUM(C9:C17)</f>
        <v>13900</v>
      </c>
      <c r="D18" s="1727">
        <f>SUM(D9:D17)</f>
        <v>25500</v>
      </c>
      <c r="E18" s="1727">
        <f>SUM(E9:E17)</f>
        <v>1800</v>
      </c>
      <c r="F18" s="1727">
        <f>SUM(F9:F17)</f>
        <v>24384500</v>
      </c>
      <c r="G18" s="359"/>
    </row>
    <row r="19" spans="1:8" s="123" customFormat="1" ht="15.75" customHeight="1">
      <c r="D19" s="1728" t="s">
        <v>1009</v>
      </c>
      <c r="E19" s="1728"/>
      <c r="F19" s="1728"/>
      <c r="G19" s="1728"/>
    </row>
    <row r="20" spans="1:8">
      <c r="B20" s="1729" t="s">
        <v>1383</v>
      </c>
      <c r="C20" s="1729"/>
      <c r="D20" s="1729"/>
      <c r="F20" s="1615" t="s">
        <v>114</v>
      </c>
      <c r="G20" s="1615"/>
      <c r="H20" s="1466"/>
    </row>
    <row r="21" spans="1:8">
      <c r="A21" s="33" t="s">
        <v>146</v>
      </c>
      <c r="F21" s="1672" t="s">
        <v>766</v>
      </c>
      <c r="G21" s="1672"/>
    </row>
    <row r="22" spans="1:8">
      <c r="A22" s="31" t="s">
        <v>865</v>
      </c>
    </row>
    <row r="23" spans="1:8">
      <c r="A23" s="31" t="s">
        <v>866</v>
      </c>
    </row>
  </sheetData>
  <mergeCells count="8">
    <mergeCell ref="D19:G19"/>
    <mergeCell ref="B20:D20"/>
    <mergeCell ref="F20:G20"/>
    <mergeCell ref="F21:G21"/>
    <mergeCell ref="A1:B1"/>
    <mergeCell ref="A2:B2"/>
    <mergeCell ref="A3:G3"/>
    <mergeCell ref="F4:G4"/>
  </mergeCells>
  <pageMargins left="0.54" right="0.27" top="0.55000000000000004" bottom="0.27" header="0.55000000000000004" footer="0.22"/>
  <pageSetup scale="9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topLeftCell="A13" zoomScale="95" zoomScaleNormal="95" zoomScalePageLayoutView="95" workbookViewId="0">
      <selection activeCell="F22" sqref="F22"/>
    </sheetView>
  </sheetViews>
  <sheetFormatPr baseColWidth="10" defaultColWidth="9.1640625" defaultRowHeight="16"/>
  <cols>
    <col min="1" max="1" width="5.83203125" style="31" customWidth="1"/>
    <col min="2" max="2" width="42.5" style="31" customWidth="1"/>
    <col min="3" max="3" width="10.6640625" style="31" customWidth="1"/>
    <col min="4" max="4" width="12.5" style="31" customWidth="1"/>
    <col min="5" max="5" width="16.33203125" style="200" customWidth="1"/>
    <col min="6" max="6" width="13.1640625" style="31" customWidth="1"/>
    <col min="7" max="16384" width="9.1640625" style="31"/>
  </cols>
  <sheetData>
    <row r="1" spans="1:6" ht="17" customHeight="1">
      <c r="A1" s="1672" t="s">
        <v>3</v>
      </c>
      <c r="B1" s="1672"/>
      <c r="C1" s="54"/>
      <c r="F1" s="41" t="s">
        <v>241</v>
      </c>
    </row>
    <row r="2" spans="1:6" ht="17" customHeight="1">
      <c r="A2" s="1620" t="s">
        <v>498</v>
      </c>
      <c r="B2" s="1620"/>
      <c r="C2" s="54"/>
    </row>
    <row r="3" spans="1:6" ht="23.25" customHeight="1">
      <c r="A3" s="1620" t="s">
        <v>1384</v>
      </c>
      <c r="B3" s="1620"/>
      <c r="C3" s="1620"/>
      <c r="D3" s="1620"/>
      <c r="E3" s="1620"/>
      <c r="F3" s="1620"/>
    </row>
    <row r="4" spans="1:6">
      <c r="E4" s="1673" t="s">
        <v>84</v>
      </c>
      <c r="F4" s="1673"/>
    </row>
    <row r="5" spans="1:6" s="54" customFormat="1" ht="67.5" customHeight="1">
      <c r="A5" s="355" t="s">
        <v>51</v>
      </c>
      <c r="B5" s="355" t="s">
        <v>41</v>
      </c>
      <c r="C5" s="356" t="s">
        <v>221</v>
      </c>
      <c r="D5" s="356" t="s">
        <v>222</v>
      </c>
      <c r="E5" s="361" t="s">
        <v>29</v>
      </c>
      <c r="F5" s="355" t="s">
        <v>2</v>
      </c>
    </row>
    <row r="6" spans="1:6" s="33" customFormat="1">
      <c r="A6" s="34"/>
      <c r="B6" s="34" t="s">
        <v>50</v>
      </c>
      <c r="C6" s="34"/>
      <c r="D6" s="24"/>
      <c r="E6" s="201"/>
      <c r="F6" s="34"/>
    </row>
    <row r="7" spans="1:6" s="33" customFormat="1">
      <c r="A7" s="28" t="s">
        <v>7</v>
      </c>
      <c r="B7" s="36" t="s">
        <v>49</v>
      </c>
      <c r="C7" s="36"/>
      <c r="D7" s="26"/>
      <c r="E7" s="207">
        <f>SUM(E9:E29)</f>
        <v>47893166</v>
      </c>
      <c r="F7" s="36"/>
    </row>
    <row r="8" spans="1:6" ht="17">
      <c r="A8" s="28">
        <v>1</v>
      </c>
      <c r="B8" s="151" t="s">
        <v>96</v>
      </c>
      <c r="C8" s="27"/>
      <c r="D8" s="40"/>
      <c r="F8" s="27"/>
    </row>
    <row r="9" spans="1:6" ht="85">
      <c r="A9" s="26"/>
      <c r="B9" s="38" t="s">
        <v>176</v>
      </c>
      <c r="C9" s="27">
        <f>Bieu2!H293</f>
        <v>49463</v>
      </c>
      <c r="D9" s="369">
        <v>370</v>
      </c>
      <c r="E9" s="208">
        <f>C9*D9</f>
        <v>18301310</v>
      </c>
      <c r="F9" s="881" t="s">
        <v>1424</v>
      </c>
    </row>
    <row r="10" spans="1:6" ht="17">
      <c r="A10" s="28">
        <v>2</v>
      </c>
      <c r="B10" s="151" t="s">
        <v>97</v>
      </c>
      <c r="C10" s="27"/>
      <c r="D10" s="369"/>
      <c r="E10" s="208">
        <f t="shared" ref="E10:E22" si="0">C10*D10</f>
        <v>0</v>
      </c>
      <c r="F10" s="27"/>
    </row>
    <row r="11" spans="1:6" ht="30.75" customHeight="1">
      <c r="A11" s="26"/>
      <c r="B11" s="38" t="s">
        <v>174</v>
      </c>
      <c r="C11" s="150"/>
      <c r="D11" s="1721">
        <v>450</v>
      </c>
      <c r="E11" s="208">
        <f t="shared" si="0"/>
        <v>0</v>
      </c>
      <c r="F11" s="27"/>
    </row>
    <row r="12" spans="1:6" ht="85">
      <c r="A12" s="26"/>
      <c r="B12" s="38" t="s">
        <v>175</v>
      </c>
      <c r="C12" s="150">
        <f>Bieu2!H296</f>
        <v>58940</v>
      </c>
      <c r="D12" s="1721">
        <v>370</v>
      </c>
      <c r="E12" s="208">
        <f t="shared" si="0"/>
        <v>21807800</v>
      </c>
      <c r="F12" s="881" t="s">
        <v>1424</v>
      </c>
    </row>
    <row r="13" spans="1:6" ht="17">
      <c r="A13" s="28">
        <v>3</v>
      </c>
      <c r="B13" s="151" t="s">
        <v>98</v>
      </c>
      <c r="C13" s="150"/>
      <c r="D13" s="1721"/>
      <c r="E13" s="208">
        <f t="shared" si="0"/>
        <v>0</v>
      </c>
      <c r="F13" s="27"/>
    </row>
    <row r="14" spans="1:6" ht="17">
      <c r="A14" s="26"/>
      <c r="B14" s="38" t="s">
        <v>174</v>
      </c>
      <c r="C14" s="150"/>
      <c r="D14" s="1721">
        <v>315</v>
      </c>
      <c r="E14" s="208">
        <f t="shared" si="0"/>
        <v>0</v>
      </c>
      <c r="F14" s="27"/>
    </row>
    <row r="15" spans="1:6" ht="17">
      <c r="A15" s="26"/>
      <c r="B15" s="38" t="s">
        <v>175</v>
      </c>
      <c r="C15" s="150">
        <v>0</v>
      </c>
      <c r="D15" s="1721">
        <v>259</v>
      </c>
      <c r="E15" s="208">
        <f t="shared" si="0"/>
        <v>0</v>
      </c>
      <c r="F15" s="27"/>
    </row>
    <row r="16" spans="1:6" ht="17">
      <c r="A16" s="28">
        <v>4</v>
      </c>
      <c r="B16" s="151" t="s">
        <v>99</v>
      </c>
      <c r="C16" s="150"/>
      <c r="D16" s="1721"/>
      <c r="E16" s="208">
        <f t="shared" si="0"/>
        <v>0</v>
      </c>
      <c r="F16" s="27"/>
    </row>
    <row r="17" spans="1:6" ht="17">
      <c r="A17" s="26"/>
      <c r="B17" s="38" t="s">
        <v>174</v>
      </c>
      <c r="C17" s="150"/>
      <c r="D17" s="1721">
        <v>752</v>
      </c>
      <c r="E17" s="208">
        <f t="shared" si="0"/>
        <v>0</v>
      </c>
      <c r="F17" s="27"/>
    </row>
    <row r="18" spans="1:6" ht="85">
      <c r="A18" s="26"/>
      <c r="B18" s="38" t="s">
        <v>175</v>
      </c>
      <c r="C18" s="27">
        <f>Bieu2!H294</f>
        <v>10836</v>
      </c>
      <c r="D18" s="1721">
        <v>646</v>
      </c>
      <c r="E18" s="208">
        <f t="shared" si="0"/>
        <v>7000056</v>
      </c>
      <c r="F18" s="38" t="s">
        <v>1424</v>
      </c>
    </row>
    <row r="19" spans="1:6" ht="17">
      <c r="A19" s="28">
        <v>5</v>
      </c>
      <c r="B19" s="151" t="s">
        <v>100</v>
      </c>
      <c r="C19" s="27"/>
      <c r="D19" s="369"/>
      <c r="E19" s="208">
        <f t="shared" si="0"/>
        <v>0</v>
      </c>
      <c r="F19" s="27"/>
    </row>
    <row r="20" spans="1:6" ht="17">
      <c r="A20" s="26"/>
      <c r="B20" s="38" t="s">
        <v>174</v>
      </c>
      <c r="C20" s="27"/>
      <c r="D20" s="879">
        <v>29250</v>
      </c>
      <c r="E20" s="208">
        <f t="shared" si="0"/>
        <v>0</v>
      </c>
      <c r="F20" s="27"/>
    </row>
    <row r="21" spans="1:6" ht="85">
      <c r="A21" s="26"/>
      <c r="B21" s="38" t="s">
        <v>175</v>
      </c>
      <c r="C21" s="27">
        <f>Bieu1!G22</f>
        <v>32</v>
      </c>
      <c r="D21" s="879">
        <v>24500</v>
      </c>
      <c r="E21" s="208">
        <f t="shared" si="0"/>
        <v>784000</v>
      </c>
      <c r="F21" s="38" t="s">
        <v>1425</v>
      </c>
    </row>
    <row r="22" spans="1:6" ht="17">
      <c r="A22" s="26">
        <v>6</v>
      </c>
      <c r="B22" s="38" t="s">
        <v>90</v>
      </c>
      <c r="C22" s="27"/>
      <c r="D22" s="370"/>
      <c r="E22" s="208">
        <f t="shared" si="0"/>
        <v>0</v>
      </c>
      <c r="F22" s="27"/>
    </row>
    <row r="23" spans="1:6">
      <c r="A23" s="116">
        <v>7</v>
      </c>
      <c r="B23" s="27" t="s">
        <v>177</v>
      </c>
      <c r="C23" s="27"/>
      <c r="D23" s="370"/>
      <c r="E23" s="208"/>
      <c r="F23" s="27"/>
    </row>
    <row r="24" spans="1:6">
      <c r="A24" s="116">
        <v>8</v>
      </c>
      <c r="B24" s="27" t="s">
        <v>91</v>
      </c>
      <c r="C24" s="27"/>
      <c r="D24" s="371"/>
      <c r="E24" s="208"/>
      <c r="F24" s="27"/>
    </row>
    <row r="25" spans="1:6">
      <c r="A25" s="116"/>
      <c r="B25" s="27" t="s">
        <v>92</v>
      </c>
      <c r="C25" s="27"/>
      <c r="D25" s="370"/>
      <c r="E25" s="208"/>
      <c r="F25" s="27"/>
    </row>
    <row r="26" spans="1:6">
      <c r="A26" s="116"/>
      <c r="B26" s="27" t="s">
        <v>93</v>
      </c>
      <c r="C26" s="27"/>
      <c r="D26" s="370"/>
      <c r="E26" s="208"/>
      <c r="F26" s="27"/>
    </row>
    <row r="27" spans="1:6">
      <c r="A27" s="116"/>
      <c r="B27" s="27" t="s">
        <v>94</v>
      </c>
      <c r="C27" s="27"/>
      <c r="D27" s="370"/>
      <c r="E27" s="208"/>
      <c r="F27" s="27"/>
    </row>
    <row r="28" spans="1:6">
      <c r="A28" s="116"/>
      <c r="B28" s="27" t="s">
        <v>95</v>
      </c>
      <c r="C28" s="27"/>
      <c r="D28" s="370"/>
      <c r="E28" s="208"/>
      <c r="F28" s="27"/>
    </row>
    <row r="29" spans="1:6">
      <c r="A29" s="116">
        <v>9</v>
      </c>
      <c r="B29" s="27" t="s">
        <v>53</v>
      </c>
      <c r="C29" s="27"/>
      <c r="D29" s="370"/>
      <c r="E29" s="208"/>
      <c r="F29" s="27"/>
    </row>
    <row r="30" spans="1:6">
      <c r="A30" s="28" t="s">
        <v>8</v>
      </c>
      <c r="B30" s="36" t="s">
        <v>48</v>
      </c>
      <c r="C30" s="36"/>
      <c r="D30" s="26"/>
      <c r="E30" s="207"/>
      <c r="F30" s="27"/>
    </row>
    <row r="31" spans="1:6">
      <c r="A31" s="26"/>
      <c r="B31" s="27" t="s">
        <v>52</v>
      </c>
      <c r="C31" s="27"/>
      <c r="D31" s="26"/>
      <c r="E31" s="208"/>
      <c r="F31" s="27"/>
    </row>
    <row r="32" spans="1:6">
      <c r="A32" s="26"/>
      <c r="B32" s="27" t="s">
        <v>111</v>
      </c>
      <c r="C32" s="27"/>
      <c r="D32" s="26"/>
      <c r="E32" s="208"/>
      <c r="F32" s="27"/>
    </row>
    <row r="33" spans="1:7" s="33" customFormat="1">
      <c r="A33" s="28" t="s">
        <v>25</v>
      </c>
      <c r="B33" s="36" t="s">
        <v>46</v>
      </c>
      <c r="C33" s="210">
        <f>SUM(C34:C34)</f>
        <v>0</v>
      </c>
      <c r="D33" s="210">
        <f>SUM(D34:D34)</f>
        <v>0</v>
      </c>
      <c r="E33" s="210">
        <f>SUM(E34:E35)</f>
        <v>25709500</v>
      </c>
    </row>
    <row r="34" spans="1:7" s="33" customFormat="1">
      <c r="A34" s="26">
        <v>1</v>
      </c>
      <c r="B34" s="27" t="s">
        <v>1385</v>
      </c>
      <c r="C34" s="27"/>
      <c r="D34" s="28"/>
      <c r="E34" s="208">
        <f>'Bieu 8'!F18</f>
        <v>24384500</v>
      </c>
      <c r="F34" s="27" t="s">
        <v>240</v>
      </c>
    </row>
    <row r="35" spans="1:7" s="33" customFormat="1" ht="51">
      <c r="A35" s="886">
        <v>2</v>
      </c>
      <c r="B35" s="362" t="s">
        <v>1386</v>
      </c>
      <c r="C35" s="149">
        <v>0</v>
      </c>
      <c r="D35" s="254"/>
      <c r="E35" s="209">
        <f>'Bieu 7 NCKH'!D7+'Bieu 7 NCKH'!D10</f>
        <v>1325000</v>
      </c>
      <c r="F35" s="25" t="s">
        <v>564</v>
      </c>
    </row>
    <row r="36" spans="1:7" s="33" customFormat="1">
      <c r="A36" s="26"/>
      <c r="B36" s="363" t="s">
        <v>488</v>
      </c>
      <c r="C36" s="358"/>
      <c r="D36" s="364"/>
      <c r="E36" s="365">
        <f>E7+E30+E33</f>
        <v>73602666</v>
      </c>
      <c r="F36" s="359"/>
    </row>
    <row r="37" spans="1:7" s="33" customFormat="1">
      <c r="A37" s="123"/>
      <c r="B37" s="123"/>
      <c r="C37" s="1674" t="s">
        <v>1009</v>
      </c>
      <c r="D37" s="1674"/>
      <c r="E37" s="1674"/>
    </row>
    <row r="38" spans="1:7" s="33" customFormat="1" ht="16" customHeight="1">
      <c r="A38" s="1730" t="s">
        <v>1387</v>
      </c>
      <c r="B38" s="1730"/>
      <c r="C38" s="1730"/>
      <c r="D38" s="1730"/>
      <c r="E38" s="250" t="s">
        <v>114</v>
      </c>
    </row>
    <row r="39" spans="1:7">
      <c r="D39" s="200"/>
      <c r="E39" s="31"/>
    </row>
    <row r="40" spans="1:7">
      <c r="D40" s="200"/>
      <c r="E40" s="31"/>
    </row>
    <row r="41" spans="1:7">
      <c r="D41" s="200"/>
      <c r="E41" s="31"/>
    </row>
    <row r="42" spans="1:7" s="123" customFormat="1" ht="15.75" customHeight="1">
      <c r="B42" s="31"/>
      <c r="C42" s="31"/>
      <c r="D42" s="1675" t="s">
        <v>766</v>
      </c>
      <c r="E42" s="1675"/>
      <c r="F42" s="1675"/>
    </row>
    <row r="43" spans="1:7">
      <c r="G43" s="250"/>
    </row>
    <row r="44" spans="1:7" ht="15" customHeight="1"/>
  </sheetData>
  <mergeCells count="7">
    <mergeCell ref="C37:E37"/>
    <mergeCell ref="A1:B1"/>
    <mergeCell ref="A2:B2"/>
    <mergeCell ref="A3:F3"/>
    <mergeCell ref="E4:F4"/>
    <mergeCell ref="D42:F42"/>
    <mergeCell ref="A38:D38"/>
  </mergeCells>
  <pageMargins left="0.49" right="0.35" top="0.36" bottom="0.32" header="0.19" footer="0.22"/>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7"/>
  <sheetViews>
    <sheetView topLeftCell="A19" zoomScale="96" zoomScaleNormal="96" zoomScalePageLayoutView="96" workbookViewId="0">
      <selection activeCell="D52" sqref="D52"/>
    </sheetView>
  </sheetViews>
  <sheetFormatPr baseColWidth="10" defaultColWidth="9.1640625" defaultRowHeight="18"/>
  <cols>
    <col min="1" max="1" width="5.83203125" style="30" customWidth="1"/>
    <col min="2" max="2" width="61" style="30" customWidth="1"/>
    <col min="3" max="3" width="16" style="199" customWidth="1"/>
    <col min="4" max="4" width="21.5" style="30" customWidth="1"/>
    <col min="5" max="5" width="14.6640625" style="30" hidden="1" customWidth="1"/>
    <col min="6" max="7" width="0" style="30" hidden="1" customWidth="1"/>
    <col min="8" max="16384" width="9.1640625" style="30"/>
  </cols>
  <sheetData>
    <row r="1" spans="1:7">
      <c r="A1" s="1678" t="s">
        <v>138</v>
      </c>
      <c r="B1" s="1678"/>
      <c r="C1" s="1680" t="s">
        <v>242</v>
      </c>
      <c r="D1" s="1680"/>
      <c r="E1" s="42"/>
      <c r="F1" s="42"/>
      <c r="G1" s="42"/>
    </row>
    <row r="2" spans="1:7">
      <c r="A2" s="1679" t="s">
        <v>522</v>
      </c>
      <c r="B2" s="1679"/>
      <c r="C2" s="193"/>
      <c r="D2" s="42"/>
      <c r="E2" s="42"/>
      <c r="F2" s="42"/>
      <c r="G2" s="42"/>
    </row>
    <row r="3" spans="1:7" ht="8.25" customHeight="1">
      <c r="A3" s="42"/>
      <c r="B3" s="42"/>
      <c r="C3" s="193"/>
      <c r="D3" s="42"/>
      <c r="E3" s="42"/>
      <c r="F3" s="42"/>
      <c r="G3" s="42"/>
    </row>
    <row r="4" spans="1:7" ht="30" customHeight="1">
      <c r="A4" s="1681" t="s">
        <v>1388</v>
      </c>
      <c r="B4" s="1681"/>
      <c r="C4" s="1681"/>
      <c r="D4" s="1681"/>
      <c r="E4" s="42"/>
      <c r="F4" s="42"/>
      <c r="G4" s="42"/>
    </row>
    <row r="5" spans="1:7" ht="19" thickBot="1">
      <c r="A5" s="42"/>
      <c r="B5" s="42"/>
      <c r="C5" s="1682" t="s">
        <v>71</v>
      </c>
      <c r="D5" s="1682"/>
      <c r="E5" s="42"/>
      <c r="F5" s="42"/>
      <c r="G5" s="42"/>
    </row>
    <row r="6" spans="1:7" s="54" customFormat="1" thickTop="1">
      <c r="A6" s="124" t="s">
        <v>51</v>
      </c>
      <c r="B6" s="125" t="s">
        <v>41</v>
      </c>
      <c r="C6" s="194" t="s">
        <v>29</v>
      </c>
      <c r="D6" s="126" t="s">
        <v>2</v>
      </c>
      <c r="E6" s="43"/>
      <c r="F6" s="43"/>
      <c r="G6" s="43"/>
    </row>
    <row r="7" spans="1:7" s="33" customFormat="1" ht="16">
      <c r="A7" s="127"/>
      <c r="B7" s="44" t="s">
        <v>144</v>
      </c>
      <c r="C7" s="195"/>
      <c r="D7" s="128"/>
      <c r="E7" s="45"/>
      <c r="F7" s="45"/>
      <c r="G7" s="45"/>
    </row>
    <row r="8" spans="1:7" s="33" customFormat="1" ht="17" customHeight="1">
      <c r="A8" s="139">
        <v>1</v>
      </c>
      <c r="B8" s="152" t="s">
        <v>45</v>
      </c>
      <c r="C8" s="519">
        <f>SUM(C9:C19)</f>
        <v>18787289.100000001</v>
      </c>
      <c r="D8" s="140"/>
      <c r="E8" s="45"/>
      <c r="F8" s="45"/>
      <c r="G8" s="45"/>
    </row>
    <row r="9" spans="1:7" s="31" customFormat="1" ht="34.5" customHeight="1">
      <c r="A9" s="116">
        <v>1.1000000000000001</v>
      </c>
      <c r="B9" s="154" t="s">
        <v>199</v>
      </c>
      <c r="C9" s="197">
        <v>11074800</v>
      </c>
      <c r="D9" s="141" t="s">
        <v>489</v>
      </c>
      <c r="E9" s="197"/>
    </row>
    <row r="10" spans="1:7" s="31" customFormat="1" ht="17" customHeight="1">
      <c r="A10" s="116">
        <v>1.2</v>
      </c>
      <c r="B10" s="153" t="s">
        <v>64</v>
      </c>
      <c r="C10" s="197">
        <f>80*Bieu2!N298</f>
        <v>3710764</v>
      </c>
      <c r="D10" s="141" t="s">
        <v>1412</v>
      </c>
    </row>
    <row r="11" spans="1:7" s="31" customFormat="1" ht="28.5" customHeight="1">
      <c r="A11" s="116">
        <v>1.3</v>
      </c>
      <c r="B11" s="27" t="s">
        <v>202</v>
      </c>
      <c r="C11" s="197">
        <f>0.21*'Bieu 9'!E9</f>
        <v>3843275.0999999996</v>
      </c>
      <c r="D11" s="224" t="s">
        <v>1413</v>
      </c>
    </row>
    <row r="12" spans="1:7" s="31" customFormat="1" ht="19.5" customHeight="1">
      <c r="A12" s="116">
        <v>1.4</v>
      </c>
      <c r="B12" s="27" t="s">
        <v>63</v>
      </c>
      <c r="C12" s="197"/>
      <c r="D12" s="141"/>
    </row>
    <row r="13" spans="1:7" s="31" customFormat="1" ht="17" customHeight="1">
      <c r="A13" s="116">
        <v>1.5</v>
      </c>
      <c r="B13" s="27" t="s">
        <v>62</v>
      </c>
      <c r="C13" s="197">
        <f>1000*10</f>
        <v>10000</v>
      </c>
      <c r="D13" s="141"/>
    </row>
    <row r="14" spans="1:7" s="31" customFormat="1" ht="47" customHeight="1">
      <c r="A14" s="116">
        <v>1.6</v>
      </c>
      <c r="B14" s="27" t="s">
        <v>874</v>
      </c>
      <c r="C14" s="197">
        <f>(400*10+1000)*1</f>
        <v>5000</v>
      </c>
      <c r="D14" s="1752" t="s">
        <v>1414</v>
      </c>
    </row>
    <row r="15" spans="1:7" s="31" customFormat="1" ht="17" customHeight="1">
      <c r="A15" s="116">
        <v>1.7</v>
      </c>
      <c r="B15" s="27" t="s">
        <v>490</v>
      </c>
    </row>
    <row r="16" spans="1:7" s="31" customFormat="1" ht="17" customHeight="1">
      <c r="A16" s="116"/>
      <c r="B16" s="27" t="s">
        <v>491</v>
      </c>
      <c r="C16" s="197">
        <v>30000</v>
      </c>
      <c r="D16" s="141" t="s">
        <v>565</v>
      </c>
    </row>
    <row r="17" spans="1:4" s="31" customFormat="1" ht="27.75" customHeight="1">
      <c r="A17" s="116"/>
      <c r="B17" s="38" t="s">
        <v>1415</v>
      </c>
      <c r="C17" s="197">
        <f>12.5*2*(Bieu1!G10+Bieu1!G14+Bieu1!G12 +Bieu1!G13)</f>
        <v>32950</v>
      </c>
      <c r="D17" s="141" t="s">
        <v>565</v>
      </c>
    </row>
    <row r="18" spans="1:4" s="31" customFormat="1" ht="31.5" customHeight="1">
      <c r="A18" s="116"/>
      <c r="B18" s="27" t="s">
        <v>492</v>
      </c>
      <c r="C18" s="197">
        <v>25000</v>
      </c>
      <c r="D18" s="224" t="s">
        <v>711</v>
      </c>
    </row>
    <row r="19" spans="1:4" s="31" customFormat="1" ht="20.25" customHeight="1">
      <c r="A19" s="116"/>
      <c r="B19" s="27" t="s">
        <v>571</v>
      </c>
      <c r="C19" s="197">
        <f>1500*37</f>
        <v>55500</v>
      </c>
      <c r="D19" s="141" t="s">
        <v>569</v>
      </c>
    </row>
    <row r="20" spans="1:4" s="31" customFormat="1" ht="17" customHeight="1">
      <c r="A20" s="117">
        <v>2</v>
      </c>
      <c r="B20" s="36" t="s">
        <v>200</v>
      </c>
      <c r="C20" s="196">
        <f>SUM(C21:C34)</f>
        <v>11605198.6</v>
      </c>
      <c r="D20" s="141"/>
    </row>
    <row r="21" spans="1:4" s="31" customFormat="1" ht="17" customHeight="1">
      <c r="A21" s="148">
        <v>2.1</v>
      </c>
      <c r="B21" s="38" t="s">
        <v>61</v>
      </c>
      <c r="C21" s="197">
        <f>6*300</f>
        <v>1800</v>
      </c>
      <c r="D21" s="141"/>
    </row>
    <row r="22" spans="1:4" s="31" customFormat="1" ht="17" customHeight="1">
      <c r="A22" s="116" t="s">
        <v>131</v>
      </c>
      <c r="B22" s="38" t="s">
        <v>60</v>
      </c>
      <c r="C22" s="197">
        <f>500*35+2*(Bieu1!G7)</f>
        <v>22388</v>
      </c>
      <c r="D22" s="141" t="s">
        <v>1416</v>
      </c>
    </row>
    <row r="23" spans="1:4" s="31" customFormat="1" ht="17" customHeight="1">
      <c r="A23" s="142" t="s">
        <v>132</v>
      </c>
      <c r="B23" s="38" t="s">
        <v>59</v>
      </c>
      <c r="C23" s="198">
        <f>(300+200*11)*10</f>
        <v>25000</v>
      </c>
      <c r="D23" s="143" t="s">
        <v>493</v>
      </c>
    </row>
    <row r="24" spans="1:4" s="31" customFormat="1" ht="17" customHeight="1">
      <c r="A24" s="116" t="s">
        <v>133</v>
      </c>
      <c r="B24" s="38" t="s">
        <v>58</v>
      </c>
      <c r="C24" s="198">
        <v>42580</v>
      </c>
      <c r="D24" s="143" t="s">
        <v>494</v>
      </c>
    </row>
    <row r="25" spans="1:4" s="31" customFormat="1" ht="17" customHeight="1">
      <c r="A25" s="142" t="s">
        <v>139</v>
      </c>
      <c r="B25" s="38" t="s">
        <v>57</v>
      </c>
      <c r="C25" s="198">
        <f>10*4000</f>
        <v>40000</v>
      </c>
      <c r="D25" s="143"/>
    </row>
    <row r="26" spans="1:4" s="31" customFormat="1" ht="21" customHeight="1">
      <c r="A26" s="116" t="s">
        <v>140</v>
      </c>
      <c r="B26" s="38" t="s">
        <v>56</v>
      </c>
      <c r="C26" s="198">
        <f>115*Bieu2!K298</f>
        <v>357374</v>
      </c>
      <c r="D26" s="143" t="s">
        <v>712</v>
      </c>
    </row>
    <row r="27" spans="1:4" s="31" customFormat="1" ht="17" customHeight="1">
      <c r="A27" s="142" t="s">
        <v>141</v>
      </c>
      <c r="B27" s="38" t="s">
        <v>55</v>
      </c>
      <c r="C27" s="198">
        <v>30000</v>
      </c>
      <c r="D27" s="143"/>
    </row>
    <row r="28" spans="1:4" s="31" customFormat="1" ht="17" customHeight="1">
      <c r="A28" s="116" t="s">
        <v>142</v>
      </c>
      <c r="B28" s="25" t="s">
        <v>54</v>
      </c>
      <c r="C28" s="198">
        <f>Bieu5!F6</f>
        <v>30200</v>
      </c>
      <c r="D28" s="143" t="s">
        <v>495</v>
      </c>
    </row>
    <row r="29" spans="1:4" s="31" customFormat="1" ht="64.5" customHeight="1">
      <c r="A29" s="142" t="s">
        <v>143</v>
      </c>
      <c r="B29" s="32" t="s">
        <v>203</v>
      </c>
      <c r="C29" s="198">
        <v>766970</v>
      </c>
      <c r="D29" s="143" t="s">
        <v>494</v>
      </c>
    </row>
    <row r="30" spans="1:4" s="31" customFormat="1" ht="17" customHeight="1">
      <c r="A30" s="142">
        <v>2.9</v>
      </c>
      <c r="B30" s="32" t="s">
        <v>105</v>
      </c>
      <c r="C30" s="198">
        <v>10000</v>
      </c>
      <c r="D30" s="143"/>
    </row>
    <row r="31" spans="1:4" s="31" customFormat="1" ht="17" customHeight="1">
      <c r="A31" s="142"/>
      <c r="B31" s="32" t="s">
        <v>713</v>
      </c>
      <c r="C31" s="198">
        <f>'Bieu 7 NCKH'!D14+'Bieu 7 NCKH'!D21</f>
        <v>180000</v>
      </c>
      <c r="D31" s="143" t="s">
        <v>496</v>
      </c>
    </row>
    <row r="32" spans="1:4" s="31" customFormat="1" ht="17" customHeight="1">
      <c r="A32" s="257"/>
      <c r="B32" s="32" t="s">
        <v>1421</v>
      </c>
      <c r="C32" s="198">
        <f>'Bieu 7 NCKH'!D11</f>
        <v>175000</v>
      </c>
      <c r="D32" s="143" t="s">
        <v>572</v>
      </c>
    </row>
    <row r="33" spans="1:5" s="31" customFormat="1" ht="33.75" customHeight="1">
      <c r="A33" s="257"/>
      <c r="B33" s="32" t="s">
        <v>884</v>
      </c>
      <c r="C33" s="198">
        <f>0.3*'Bieu 8'!F18</f>
        <v>7315350</v>
      </c>
      <c r="D33" s="689" t="s">
        <v>883</v>
      </c>
    </row>
    <row r="34" spans="1:5" s="31" customFormat="1" ht="34">
      <c r="A34" s="145"/>
      <c r="B34" s="32" t="s">
        <v>567</v>
      </c>
      <c r="C34" s="198">
        <f>0.1*('Bieu 9'!E9+'Bieu 9'!E21+'Bieu 9'!E18)</f>
        <v>2608536.6</v>
      </c>
      <c r="D34" s="689" t="s">
        <v>1417</v>
      </c>
    </row>
    <row r="35" spans="1:5" s="31" customFormat="1" ht="17">
      <c r="A35" s="117">
        <v>3</v>
      </c>
      <c r="B35" s="37" t="s">
        <v>43</v>
      </c>
      <c r="C35" s="196">
        <f>SUM(C36:C37)</f>
        <v>98000</v>
      </c>
      <c r="D35" s="143"/>
    </row>
    <row r="36" spans="1:5" s="31" customFormat="1" ht="19.5" customHeight="1">
      <c r="A36" s="145">
        <v>3.1</v>
      </c>
      <c r="B36" s="32" t="s">
        <v>201</v>
      </c>
      <c r="C36" s="198">
        <f>Bieu5!F16</f>
        <v>10000</v>
      </c>
      <c r="D36" s="143" t="s">
        <v>495</v>
      </c>
    </row>
    <row r="37" spans="1:5" s="31" customFormat="1" ht="34">
      <c r="A37" s="145">
        <v>3.2</v>
      </c>
      <c r="B37" s="32" t="s">
        <v>1420</v>
      </c>
      <c r="C37" s="198">
        <f>4000*'Biểu 7B Xuất bản'!F11</f>
        <v>88000</v>
      </c>
      <c r="D37" s="689" t="s">
        <v>1419</v>
      </c>
    </row>
    <row r="38" spans="1:5" s="31" customFormat="1" ht="17">
      <c r="A38" s="144">
        <v>4</v>
      </c>
      <c r="B38" s="37" t="s">
        <v>105</v>
      </c>
      <c r="C38" s="206">
        <f>C39+C40</f>
        <v>35000</v>
      </c>
      <c r="D38" s="143"/>
    </row>
    <row r="39" spans="1:5" s="31" customFormat="1" ht="16">
      <c r="A39" s="145">
        <v>4.0999999999999996</v>
      </c>
      <c r="B39" s="25" t="s">
        <v>103</v>
      </c>
      <c r="C39" s="198">
        <v>20000</v>
      </c>
      <c r="D39" s="143"/>
    </row>
    <row r="40" spans="1:5" s="31" customFormat="1" ht="16">
      <c r="A40" s="145">
        <v>4.2</v>
      </c>
      <c r="B40" s="25" t="s">
        <v>104</v>
      </c>
      <c r="C40" s="198">
        <v>15000</v>
      </c>
      <c r="D40" s="143"/>
    </row>
    <row r="41" spans="1:5" s="31" customFormat="1" ht="19" thickBot="1">
      <c r="A41" s="146"/>
      <c r="B41" s="192" t="s">
        <v>497</v>
      </c>
      <c r="C41" s="225">
        <f>C38+C35+C20+C8</f>
        <v>30525487.700000003</v>
      </c>
      <c r="D41" s="147"/>
    </row>
    <row r="42" spans="1:5" ht="8.25" customHeight="1" thickTop="1">
      <c r="C42" s="1674"/>
      <c r="D42" s="1674"/>
    </row>
    <row r="43" spans="1:5" ht="14.25" customHeight="1">
      <c r="A43" s="123"/>
      <c r="C43" s="1676" t="s">
        <v>1009</v>
      </c>
      <c r="D43" s="1676"/>
    </row>
    <row r="44" spans="1:5" ht="14.25" customHeight="1">
      <c r="C44" s="1677" t="s">
        <v>114</v>
      </c>
      <c r="D44" s="1677"/>
      <c r="E44" s="215"/>
    </row>
    <row r="45" spans="1:5">
      <c r="A45" s="1762" t="s">
        <v>1426</v>
      </c>
    </row>
    <row r="47" spans="1:5">
      <c r="C47" s="1675" t="s">
        <v>766</v>
      </c>
      <c r="D47" s="1675"/>
    </row>
  </sheetData>
  <mergeCells count="9">
    <mergeCell ref="C47:D47"/>
    <mergeCell ref="C43:D43"/>
    <mergeCell ref="C44:D44"/>
    <mergeCell ref="A1:B1"/>
    <mergeCell ref="A2:B2"/>
    <mergeCell ref="C1:D1"/>
    <mergeCell ref="A4:D4"/>
    <mergeCell ref="C5:D5"/>
    <mergeCell ref="C42:D42"/>
  </mergeCells>
  <pageMargins left="0.57999999999999996" right="0.24" top="0.55000000000000004" bottom="1.1200000000000001" header="0.36" footer="0.17"/>
  <pageSetup scale="95"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278"/>
  <sheetViews>
    <sheetView tabSelected="1" workbookViewId="0">
      <selection activeCell="D30" sqref="D30"/>
    </sheetView>
  </sheetViews>
  <sheetFormatPr baseColWidth="10" defaultColWidth="9.1640625" defaultRowHeight="18"/>
  <cols>
    <col min="1" max="1" width="5.83203125" style="30" customWidth="1"/>
    <col min="2" max="2" width="45.83203125" style="30" customWidth="1"/>
    <col min="3" max="3" width="21.33203125" style="199" customWidth="1"/>
    <col min="4" max="4" width="23.6640625" style="30" customWidth="1"/>
    <col min="5" max="16384" width="9.1640625" style="30"/>
  </cols>
  <sheetData>
    <row r="1" spans="1:6">
      <c r="A1" s="1678" t="s">
        <v>136</v>
      </c>
      <c r="B1" s="1678"/>
      <c r="C1" s="193"/>
      <c r="D1" s="41" t="s">
        <v>244</v>
      </c>
      <c r="E1" s="42"/>
      <c r="F1" s="42"/>
    </row>
    <row r="2" spans="1:6">
      <c r="A2" s="1679" t="s">
        <v>529</v>
      </c>
      <c r="B2" s="1679"/>
      <c r="C2" s="193"/>
      <c r="D2" s="42"/>
      <c r="E2" s="42"/>
      <c r="F2" s="42"/>
    </row>
    <row r="3" spans="1:6" ht="12" customHeight="1">
      <c r="A3" s="42"/>
      <c r="B3" s="42"/>
      <c r="C3" s="193"/>
      <c r="D3" s="42"/>
      <c r="E3" s="42"/>
      <c r="F3" s="42"/>
    </row>
    <row r="4" spans="1:6" ht="24" customHeight="1">
      <c r="A4" s="1681" t="s">
        <v>1427</v>
      </c>
      <c r="B4" s="1681"/>
      <c r="C4" s="1681"/>
      <c r="D4" s="1681"/>
      <c r="E4" s="42"/>
      <c r="F4" s="42"/>
    </row>
    <row r="5" spans="1:6" ht="19" thickBot="1">
      <c r="A5" s="42"/>
      <c r="B5" s="42"/>
      <c r="C5" s="1683" t="s">
        <v>544</v>
      </c>
      <c r="D5" s="1683"/>
      <c r="E5" s="42"/>
      <c r="F5" s="42"/>
    </row>
    <row r="6" spans="1:6" s="35" customFormat="1" thickTop="1">
      <c r="A6" s="124" t="s">
        <v>51</v>
      </c>
      <c r="B6" s="125" t="s">
        <v>41</v>
      </c>
      <c r="C6" s="194" t="s">
        <v>72</v>
      </c>
      <c r="D6" s="126" t="s">
        <v>2</v>
      </c>
      <c r="E6" s="43"/>
      <c r="F6" s="43"/>
    </row>
    <row r="7" spans="1:6" s="33" customFormat="1" ht="16">
      <c r="A7" s="127" t="s">
        <v>6</v>
      </c>
      <c r="B7" s="44" t="s">
        <v>110</v>
      </c>
      <c r="C7" s="195">
        <f>SUM(C8:C11)</f>
        <v>73602666</v>
      </c>
      <c r="D7" s="128" t="s">
        <v>545</v>
      </c>
      <c r="E7" s="45"/>
      <c r="F7" s="45"/>
    </row>
    <row r="8" spans="1:6" s="31" customFormat="1" ht="16">
      <c r="A8" s="129">
        <v>1</v>
      </c>
      <c r="B8" s="46" t="s">
        <v>49</v>
      </c>
      <c r="C8" s="202">
        <f>'Bieu 9'!E7</f>
        <v>47893166</v>
      </c>
      <c r="D8" s="130"/>
      <c r="E8" s="47"/>
      <c r="F8" s="47"/>
    </row>
    <row r="9" spans="1:6" s="31" customFormat="1" ht="16">
      <c r="A9" s="131">
        <v>2</v>
      </c>
      <c r="B9" s="48" t="s">
        <v>48</v>
      </c>
      <c r="C9" s="203">
        <f>'Bieu 9'!E30</f>
        <v>0</v>
      </c>
      <c r="D9" s="132"/>
      <c r="E9" s="47"/>
      <c r="F9" s="47"/>
    </row>
    <row r="10" spans="1:6" s="31" customFormat="1" ht="16">
      <c r="A10" s="131">
        <v>3</v>
      </c>
      <c r="B10" s="48" t="s">
        <v>47</v>
      </c>
      <c r="C10" s="203">
        <f>'Bieu 9'!E30</f>
        <v>0</v>
      </c>
      <c r="D10" s="132"/>
      <c r="E10" s="47"/>
      <c r="F10" s="47"/>
    </row>
    <row r="11" spans="1:6" s="31" customFormat="1" ht="16">
      <c r="A11" s="133">
        <v>4</v>
      </c>
      <c r="B11" s="48" t="s">
        <v>46</v>
      </c>
      <c r="C11" s="203">
        <f>'Bieu 9'!E33</f>
        <v>25709500</v>
      </c>
      <c r="D11" s="132"/>
      <c r="E11" s="47"/>
      <c r="F11" s="47"/>
    </row>
    <row r="12" spans="1:6" s="31" customFormat="1" ht="16">
      <c r="A12" s="134"/>
      <c r="B12" s="49"/>
      <c r="C12" s="204"/>
      <c r="D12" s="135"/>
      <c r="E12" s="47"/>
      <c r="F12" s="47"/>
    </row>
    <row r="13" spans="1:6" s="33" customFormat="1" ht="16">
      <c r="A13" s="127" t="s">
        <v>19</v>
      </c>
      <c r="B13" s="44" t="s">
        <v>145</v>
      </c>
      <c r="C13" s="195">
        <f>SUM(C14:C17)</f>
        <v>30525487.700000003</v>
      </c>
      <c r="D13" s="128" t="s">
        <v>546</v>
      </c>
      <c r="E13" s="45"/>
      <c r="F13" s="45"/>
    </row>
    <row r="14" spans="1:6" s="31" customFormat="1" ht="16">
      <c r="A14" s="129">
        <v>1</v>
      </c>
      <c r="B14" s="46" t="s">
        <v>45</v>
      </c>
      <c r="C14" s="202">
        <f>'Bieu 10'!C8</f>
        <v>18787289.100000001</v>
      </c>
      <c r="D14" s="130"/>
      <c r="E14" s="47"/>
      <c r="F14" s="47"/>
    </row>
    <row r="15" spans="1:6" s="31" customFormat="1" ht="16">
      <c r="A15" s="133">
        <v>2</v>
      </c>
      <c r="B15" s="48" t="s">
        <v>44</v>
      </c>
      <c r="C15" s="203">
        <f>'Bieu 10'!C20</f>
        <v>11605198.6</v>
      </c>
      <c r="D15" s="132"/>
      <c r="E15" s="47"/>
      <c r="F15" s="47"/>
    </row>
    <row r="16" spans="1:6" s="31" customFormat="1" ht="17">
      <c r="A16" s="136">
        <v>3</v>
      </c>
      <c r="B16" s="50" t="s">
        <v>43</v>
      </c>
      <c r="C16" s="205">
        <f>'Bieu 10'!C35</f>
        <v>98000</v>
      </c>
      <c r="D16" s="137"/>
      <c r="E16" s="47"/>
      <c r="F16" s="47"/>
    </row>
    <row r="17" spans="1:6" s="31" customFormat="1" ht="17">
      <c r="A17" s="136">
        <v>4</v>
      </c>
      <c r="B17" s="50" t="s">
        <v>17</v>
      </c>
      <c r="C17" s="205">
        <f>'Bieu 10'!C38</f>
        <v>35000</v>
      </c>
      <c r="D17" s="137"/>
      <c r="E17" s="47"/>
      <c r="F17" s="47"/>
    </row>
    <row r="18" spans="1:6" s="31" customFormat="1" thickBot="1">
      <c r="A18" s="256" t="s">
        <v>422</v>
      </c>
      <c r="B18" s="521" t="s">
        <v>568</v>
      </c>
      <c r="C18" s="520">
        <f>C7-C13</f>
        <v>43077178.299999997</v>
      </c>
      <c r="D18" s="138"/>
      <c r="E18" s="47"/>
      <c r="F18" s="47"/>
    </row>
    <row r="19" spans="1:6" ht="19" thickTop="1">
      <c r="A19" s="42"/>
      <c r="B19" s="42"/>
      <c r="C19" s="1684" t="s">
        <v>1009</v>
      </c>
      <c r="D19" s="1684"/>
      <c r="E19" s="42"/>
      <c r="F19" s="42"/>
    </row>
    <row r="20" spans="1:6">
      <c r="A20" s="42"/>
      <c r="B20" s="42"/>
      <c r="C20" s="1659" t="s">
        <v>21</v>
      </c>
      <c r="D20" s="1659"/>
      <c r="E20" s="42"/>
      <c r="F20" s="42"/>
    </row>
    <row r="22" spans="1:6">
      <c r="B22" s="31"/>
    </row>
    <row r="23" spans="1:6">
      <c r="B23" s="31"/>
    </row>
    <row r="24" spans="1:6">
      <c r="B24" s="31"/>
      <c r="C24" s="1675" t="s">
        <v>766</v>
      </c>
      <c r="D24" s="1675"/>
    </row>
    <row r="25" spans="1:6">
      <c r="B25" s="31"/>
    </row>
    <row r="278" spans="3:3">
      <c r="C278" s="252" t="s">
        <v>561</v>
      </c>
    </row>
  </sheetData>
  <mergeCells count="7">
    <mergeCell ref="C24:D24"/>
    <mergeCell ref="C20:D20"/>
    <mergeCell ref="A1:B1"/>
    <mergeCell ref="A2:B2"/>
    <mergeCell ref="A4:D4"/>
    <mergeCell ref="C5:D5"/>
    <mergeCell ref="C19:D19"/>
  </mergeCells>
  <pageMargins left="0.48" right="0.51" top="0.52" bottom="0.75" header="0.54"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G43"/>
  <sheetViews>
    <sheetView topLeftCell="A3" workbookViewId="0">
      <selection activeCell="B16" sqref="B16"/>
    </sheetView>
  </sheetViews>
  <sheetFormatPr baseColWidth="10" defaultColWidth="9.1640625" defaultRowHeight="15"/>
  <cols>
    <col min="1" max="1" width="5.33203125" style="1748" customWidth="1"/>
    <col min="2" max="2" width="46" style="1743" bestFit="1" customWidth="1"/>
    <col min="3" max="3" width="24.1640625" style="1749" customWidth="1"/>
    <col min="4" max="4" width="21.83203125" style="1749" customWidth="1"/>
    <col min="5" max="5" width="17.33203125" style="1749" customWidth="1"/>
    <col min="6" max="6" width="16.5" style="1749" bestFit="1" customWidth="1"/>
    <col min="7" max="7" width="19" style="1743" customWidth="1"/>
    <col min="8" max="256" width="9.1640625" style="1743"/>
    <col min="257" max="257" width="5.33203125" style="1743" customWidth="1"/>
    <col min="258" max="258" width="46" style="1743" bestFit="1" customWidth="1"/>
    <col min="259" max="259" width="24.1640625" style="1743" customWidth="1"/>
    <col min="260" max="260" width="21.83203125" style="1743" customWidth="1"/>
    <col min="261" max="261" width="17.33203125" style="1743" customWidth="1"/>
    <col min="262" max="262" width="16.5" style="1743" bestFit="1" customWidth="1"/>
    <col min="263" max="263" width="19" style="1743" customWidth="1"/>
    <col min="264" max="512" width="9.1640625" style="1743"/>
    <col min="513" max="513" width="5.33203125" style="1743" customWidth="1"/>
    <col min="514" max="514" width="46" style="1743" bestFit="1" customWidth="1"/>
    <col min="515" max="515" width="24.1640625" style="1743" customWidth="1"/>
    <col min="516" max="516" width="21.83203125" style="1743" customWidth="1"/>
    <col min="517" max="517" width="17.33203125" style="1743" customWidth="1"/>
    <col min="518" max="518" width="16.5" style="1743" bestFit="1" customWidth="1"/>
    <col min="519" max="519" width="19" style="1743" customWidth="1"/>
    <col min="520" max="768" width="9.1640625" style="1743"/>
    <col min="769" max="769" width="5.33203125" style="1743" customWidth="1"/>
    <col min="770" max="770" width="46" style="1743" bestFit="1" customWidth="1"/>
    <col min="771" max="771" width="24.1640625" style="1743" customWidth="1"/>
    <col min="772" max="772" width="21.83203125" style="1743" customWidth="1"/>
    <col min="773" max="773" width="17.33203125" style="1743" customWidth="1"/>
    <col min="774" max="774" width="16.5" style="1743" bestFit="1" customWidth="1"/>
    <col min="775" max="775" width="19" style="1743" customWidth="1"/>
    <col min="776" max="1024" width="9.1640625" style="1743"/>
    <col min="1025" max="1025" width="5.33203125" style="1743" customWidth="1"/>
    <col min="1026" max="1026" width="46" style="1743" bestFit="1" customWidth="1"/>
    <col min="1027" max="1027" width="24.1640625" style="1743" customWidth="1"/>
    <col min="1028" max="1028" width="21.83203125" style="1743" customWidth="1"/>
    <col min="1029" max="1029" width="17.33203125" style="1743" customWidth="1"/>
    <col min="1030" max="1030" width="16.5" style="1743" bestFit="1" customWidth="1"/>
    <col min="1031" max="1031" width="19" style="1743" customWidth="1"/>
    <col min="1032" max="1280" width="9.1640625" style="1743"/>
    <col min="1281" max="1281" width="5.33203125" style="1743" customWidth="1"/>
    <col min="1282" max="1282" width="46" style="1743" bestFit="1" customWidth="1"/>
    <col min="1283" max="1283" width="24.1640625" style="1743" customWidth="1"/>
    <col min="1284" max="1284" width="21.83203125" style="1743" customWidth="1"/>
    <col min="1285" max="1285" width="17.33203125" style="1743" customWidth="1"/>
    <col min="1286" max="1286" width="16.5" style="1743" bestFit="1" customWidth="1"/>
    <col min="1287" max="1287" width="19" style="1743" customWidth="1"/>
    <col min="1288" max="1536" width="9.1640625" style="1743"/>
    <col min="1537" max="1537" width="5.33203125" style="1743" customWidth="1"/>
    <col min="1538" max="1538" width="46" style="1743" bestFit="1" customWidth="1"/>
    <col min="1539" max="1539" width="24.1640625" style="1743" customWidth="1"/>
    <col min="1540" max="1540" width="21.83203125" style="1743" customWidth="1"/>
    <col min="1541" max="1541" width="17.33203125" style="1743" customWidth="1"/>
    <col min="1542" max="1542" width="16.5" style="1743" bestFit="1" customWidth="1"/>
    <col min="1543" max="1543" width="19" style="1743" customWidth="1"/>
    <col min="1544" max="1792" width="9.1640625" style="1743"/>
    <col min="1793" max="1793" width="5.33203125" style="1743" customWidth="1"/>
    <col min="1794" max="1794" width="46" style="1743" bestFit="1" customWidth="1"/>
    <col min="1795" max="1795" width="24.1640625" style="1743" customWidth="1"/>
    <col min="1796" max="1796" width="21.83203125" style="1743" customWidth="1"/>
    <col min="1797" max="1797" width="17.33203125" style="1743" customWidth="1"/>
    <col min="1798" max="1798" width="16.5" style="1743" bestFit="1" customWidth="1"/>
    <col min="1799" max="1799" width="19" style="1743" customWidth="1"/>
    <col min="1800" max="2048" width="9.1640625" style="1743"/>
    <col min="2049" max="2049" width="5.33203125" style="1743" customWidth="1"/>
    <col min="2050" max="2050" width="46" style="1743" bestFit="1" customWidth="1"/>
    <col min="2051" max="2051" width="24.1640625" style="1743" customWidth="1"/>
    <col min="2052" max="2052" width="21.83203125" style="1743" customWidth="1"/>
    <col min="2053" max="2053" width="17.33203125" style="1743" customWidth="1"/>
    <col min="2054" max="2054" width="16.5" style="1743" bestFit="1" customWidth="1"/>
    <col min="2055" max="2055" width="19" style="1743" customWidth="1"/>
    <col min="2056" max="2304" width="9.1640625" style="1743"/>
    <col min="2305" max="2305" width="5.33203125" style="1743" customWidth="1"/>
    <col min="2306" max="2306" width="46" style="1743" bestFit="1" customWidth="1"/>
    <col min="2307" max="2307" width="24.1640625" style="1743" customWidth="1"/>
    <col min="2308" max="2308" width="21.83203125" style="1743" customWidth="1"/>
    <col min="2309" max="2309" width="17.33203125" style="1743" customWidth="1"/>
    <col min="2310" max="2310" width="16.5" style="1743" bestFit="1" customWidth="1"/>
    <col min="2311" max="2311" width="19" style="1743" customWidth="1"/>
    <col min="2312" max="2560" width="9.1640625" style="1743"/>
    <col min="2561" max="2561" width="5.33203125" style="1743" customWidth="1"/>
    <col min="2562" max="2562" width="46" style="1743" bestFit="1" customWidth="1"/>
    <col min="2563" max="2563" width="24.1640625" style="1743" customWidth="1"/>
    <col min="2564" max="2564" width="21.83203125" style="1743" customWidth="1"/>
    <col min="2565" max="2565" width="17.33203125" style="1743" customWidth="1"/>
    <col min="2566" max="2566" width="16.5" style="1743" bestFit="1" customWidth="1"/>
    <col min="2567" max="2567" width="19" style="1743" customWidth="1"/>
    <col min="2568" max="2816" width="9.1640625" style="1743"/>
    <col min="2817" max="2817" width="5.33203125" style="1743" customWidth="1"/>
    <col min="2818" max="2818" width="46" style="1743" bestFit="1" customWidth="1"/>
    <col min="2819" max="2819" width="24.1640625" style="1743" customWidth="1"/>
    <col min="2820" max="2820" width="21.83203125" style="1743" customWidth="1"/>
    <col min="2821" max="2821" width="17.33203125" style="1743" customWidth="1"/>
    <col min="2822" max="2822" width="16.5" style="1743" bestFit="1" customWidth="1"/>
    <col min="2823" max="2823" width="19" style="1743" customWidth="1"/>
    <col min="2824" max="3072" width="9.1640625" style="1743"/>
    <col min="3073" max="3073" width="5.33203125" style="1743" customWidth="1"/>
    <col min="3074" max="3074" width="46" style="1743" bestFit="1" customWidth="1"/>
    <col min="3075" max="3075" width="24.1640625" style="1743" customWidth="1"/>
    <col min="3076" max="3076" width="21.83203125" style="1743" customWidth="1"/>
    <col min="3077" max="3077" width="17.33203125" style="1743" customWidth="1"/>
    <col min="3078" max="3078" width="16.5" style="1743" bestFit="1" customWidth="1"/>
    <col min="3079" max="3079" width="19" style="1743" customWidth="1"/>
    <col min="3080" max="3328" width="9.1640625" style="1743"/>
    <col min="3329" max="3329" width="5.33203125" style="1743" customWidth="1"/>
    <col min="3330" max="3330" width="46" style="1743" bestFit="1" customWidth="1"/>
    <col min="3331" max="3331" width="24.1640625" style="1743" customWidth="1"/>
    <col min="3332" max="3332" width="21.83203125" style="1743" customWidth="1"/>
    <col min="3333" max="3333" width="17.33203125" style="1743" customWidth="1"/>
    <col min="3334" max="3334" width="16.5" style="1743" bestFit="1" customWidth="1"/>
    <col min="3335" max="3335" width="19" style="1743" customWidth="1"/>
    <col min="3336" max="3584" width="9.1640625" style="1743"/>
    <col min="3585" max="3585" width="5.33203125" style="1743" customWidth="1"/>
    <col min="3586" max="3586" width="46" style="1743" bestFit="1" customWidth="1"/>
    <col min="3587" max="3587" width="24.1640625" style="1743" customWidth="1"/>
    <col min="3588" max="3588" width="21.83203125" style="1743" customWidth="1"/>
    <col min="3589" max="3589" width="17.33203125" style="1743" customWidth="1"/>
    <col min="3590" max="3590" width="16.5" style="1743" bestFit="1" customWidth="1"/>
    <col min="3591" max="3591" width="19" style="1743" customWidth="1"/>
    <col min="3592" max="3840" width="9.1640625" style="1743"/>
    <col min="3841" max="3841" width="5.33203125" style="1743" customWidth="1"/>
    <col min="3842" max="3842" width="46" style="1743" bestFit="1" customWidth="1"/>
    <col min="3843" max="3843" width="24.1640625" style="1743" customWidth="1"/>
    <col min="3844" max="3844" width="21.83203125" style="1743" customWidth="1"/>
    <col min="3845" max="3845" width="17.33203125" style="1743" customWidth="1"/>
    <col min="3846" max="3846" width="16.5" style="1743" bestFit="1" customWidth="1"/>
    <col min="3847" max="3847" width="19" style="1743" customWidth="1"/>
    <col min="3848" max="4096" width="9.1640625" style="1743"/>
    <col min="4097" max="4097" width="5.33203125" style="1743" customWidth="1"/>
    <col min="4098" max="4098" width="46" style="1743" bestFit="1" customWidth="1"/>
    <col min="4099" max="4099" width="24.1640625" style="1743" customWidth="1"/>
    <col min="4100" max="4100" width="21.83203125" style="1743" customWidth="1"/>
    <col min="4101" max="4101" width="17.33203125" style="1743" customWidth="1"/>
    <col min="4102" max="4102" width="16.5" style="1743" bestFit="1" customWidth="1"/>
    <col min="4103" max="4103" width="19" style="1743" customWidth="1"/>
    <col min="4104" max="4352" width="9.1640625" style="1743"/>
    <col min="4353" max="4353" width="5.33203125" style="1743" customWidth="1"/>
    <col min="4354" max="4354" width="46" style="1743" bestFit="1" customWidth="1"/>
    <col min="4355" max="4355" width="24.1640625" style="1743" customWidth="1"/>
    <col min="4356" max="4356" width="21.83203125" style="1743" customWidth="1"/>
    <col min="4357" max="4357" width="17.33203125" style="1743" customWidth="1"/>
    <col min="4358" max="4358" width="16.5" style="1743" bestFit="1" customWidth="1"/>
    <col min="4359" max="4359" width="19" style="1743" customWidth="1"/>
    <col min="4360" max="4608" width="9.1640625" style="1743"/>
    <col min="4609" max="4609" width="5.33203125" style="1743" customWidth="1"/>
    <col min="4610" max="4610" width="46" style="1743" bestFit="1" customWidth="1"/>
    <col min="4611" max="4611" width="24.1640625" style="1743" customWidth="1"/>
    <col min="4612" max="4612" width="21.83203125" style="1743" customWidth="1"/>
    <col min="4613" max="4613" width="17.33203125" style="1743" customWidth="1"/>
    <col min="4614" max="4614" width="16.5" style="1743" bestFit="1" customWidth="1"/>
    <col min="4615" max="4615" width="19" style="1743" customWidth="1"/>
    <col min="4616" max="4864" width="9.1640625" style="1743"/>
    <col min="4865" max="4865" width="5.33203125" style="1743" customWidth="1"/>
    <col min="4866" max="4866" width="46" style="1743" bestFit="1" customWidth="1"/>
    <col min="4867" max="4867" width="24.1640625" style="1743" customWidth="1"/>
    <col min="4868" max="4868" width="21.83203125" style="1743" customWidth="1"/>
    <col min="4869" max="4869" width="17.33203125" style="1743" customWidth="1"/>
    <col min="4870" max="4870" width="16.5" style="1743" bestFit="1" customWidth="1"/>
    <col min="4871" max="4871" width="19" style="1743" customWidth="1"/>
    <col min="4872" max="5120" width="9.1640625" style="1743"/>
    <col min="5121" max="5121" width="5.33203125" style="1743" customWidth="1"/>
    <col min="5122" max="5122" width="46" style="1743" bestFit="1" customWidth="1"/>
    <col min="5123" max="5123" width="24.1640625" style="1743" customWidth="1"/>
    <col min="5124" max="5124" width="21.83203125" style="1743" customWidth="1"/>
    <col min="5125" max="5125" width="17.33203125" style="1743" customWidth="1"/>
    <col min="5126" max="5126" width="16.5" style="1743" bestFit="1" customWidth="1"/>
    <col min="5127" max="5127" width="19" style="1743" customWidth="1"/>
    <col min="5128" max="5376" width="9.1640625" style="1743"/>
    <col min="5377" max="5377" width="5.33203125" style="1743" customWidth="1"/>
    <col min="5378" max="5378" width="46" style="1743" bestFit="1" customWidth="1"/>
    <col min="5379" max="5379" width="24.1640625" style="1743" customWidth="1"/>
    <col min="5380" max="5380" width="21.83203125" style="1743" customWidth="1"/>
    <col min="5381" max="5381" width="17.33203125" style="1743" customWidth="1"/>
    <col min="5382" max="5382" width="16.5" style="1743" bestFit="1" customWidth="1"/>
    <col min="5383" max="5383" width="19" style="1743" customWidth="1"/>
    <col min="5384" max="5632" width="9.1640625" style="1743"/>
    <col min="5633" max="5633" width="5.33203125" style="1743" customWidth="1"/>
    <col min="5634" max="5634" width="46" style="1743" bestFit="1" customWidth="1"/>
    <col min="5635" max="5635" width="24.1640625" style="1743" customWidth="1"/>
    <col min="5636" max="5636" width="21.83203125" style="1743" customWidth="1"/>
    <col min="5637" max="5637" width="17.33203125" style="1743" customWidth="1"/>
    <col min="5638" max="5638" width="16.5" style="1743" bestFit="1" customWidth="1"/>
    <col min="5639" max="5639" width="19" style="1743" customWidth="1"/>
    <col min="5640" max="5888" width="9.1640625" style="1743"/>
    <col min="5889" max="5889" width="5.33203125" style="1743" customWidth="1"/>
    <col min="5890" max="5890" width="46" style="1743" bestFit="1" customWidth="1"/>
    <col min="5891" max="5891" width="24.1640625" style="1743" customWidth="1"/>
    <col min="5892" max="5892" width="21.83203125" style="1743" customWidth="1"/>
    <col min="5893" max="5893" width="17.33203125" style="1743" customWidth="1"/>
    <col min="5894" max="5894" width="16.5" style="1743" bestFit="1" customWidth="1"/>
    <col min="5895" max="5895" width="19" style="1743" customWidth="1"/>
    <col min="5896" max="6144" width="9.1640625" style="1743"/>
    <col min="6145" max="6145" width="5.33203125" style="1743" customWidth="1"/>
    <col min="6146" max="6146" width="46" style="1743" bestFit="1" customWidth="1"/>
    <col min="6147" max="6147" width="24.1640625" style="1743" customWidth="1"/>
    <col min="6148" max="6148" width="21.83203125" style="1743" customWidth="1"/>
    <col min="6149" max="6149" width="17.33203125" style="1743" customWidth="1"/>
    <col min="6150" max="6150" width="16.5" style="1743" bestFit="1" customWidth="1"/>
    <col min="6151" max="6151" width="19" style="1743" customWidth="1"/>
    <col min="6152" max="6400" width="9.1640625" style="1743"/>
    <col min="6401" max="6401" width="5.33203125" style="1743" customWidth="1"/>
    <col min="6402" max="6402" width="46" style="1743" bestFit="1" customWidth="1"/>
    <col min="6403" max="6403" width="24.1640625" style="1743" customWidth="1"/>
    <col min="6404" max="6404" width="21.83203125" style="1743" customWidth="1"/>
    <col min="6405" max="6405" width="17.33203125" style="1743" customWidth="1"/>
    <col min="6406" max="6406" width="16.5" style="1743" bestFit="1" customWidth="1"/>
    <col min="6407" max="6407" width="19" style="1743" customWidth="1"/>
    <col min="6408" max="6656" width="9.1640625" style="1743"/>
    <col min="6657" max="6657" width="5.33203125" style="1743" customWidth="1"/>
    <col min="6658" max="6658" width="46" style="1743" bestFit="1" customWidth="1"/>
    <col min="6659" max="6659" width="24.1640625" style="1743" customWidth="1"/>
    <col min="6660" max="6660" width="21.83203125" style="1743" customWidth="1"/>
    <col min="6661" max="6661" width="17.33203125" style="1743" customWidth="1"/>
    <col min="6662" max="6662" width="16.5" style="1743" bestFit="1" customWidth="1"/>
    <col min="6663" max="6663" width="19" style="1743" customWidth="1"/>
    <col min="6664" max="6912" width="9.1640625" style="1743"/>
    <col min="6913" max="6913" width="5.33203125" style="1743" customWidth="1"/>
    <col min="6914" max="6914" width="46" style="1743" bestFit="1" customWidth="1"/>
    <col min="6915" max="6915" width="24.1640625" style="1743" customWidth="1"/>
    <col min="6916" max="6916" width="21.83203125" style="1743" customWidth="1"/>
    <col min="6917" max="6917" width="17.33203125" style="1743" customWidth="1"/>
    <col min="6918" max="6918" width="16.5" style="1743" bestFit="1" customWidth="1"/>
    <col min="6919" max="6919" width="19" style="1743" customWidth="1"/>
    <col min="6920" max="7168" width="9.1640625" style="1743"/>
    <col min="7169" max="7169" width="5.33203125" style="1743" customWidth="1"/>
    <col min="7170" max="7170" width="46" style="1743" bestFit="1" customWidth="1"/>
    <col min="7171" max="7171" width="24.1640625" style="1743" customWidth="1"/>
    <col min="7172" max="7172" width="21.83203125" style="1743" customWidth="1"/>
    <col min="7173" max="7173" width="17.33203125" style="1743" customWidth="1"/>
    <col min="7174" max="7174" width="16.5" style="1743" bestFit="1" customWidth="1"/>
    <col min="7175" max="7175" width="19" style="1743" customWidth="1"/>
    <col min="7176" max="7424" width="9.1640625" style="1743"/>
    <col min="7425" max="7425" width="5.33203125" style="1743" customWidth="1"/>
    <col min="7426" max="7426" width="46" style="1743" bestFit="1" customWidth="1"/>
    <col min="7427" max="7427" width="24.1640625" style="1743" customWidth="1"/>
    <col min="7428" max="7428" width="21.83203125" style="1743" customWidth="1"/>
    <col min="7429" max="7429" width="17.33203125" style="1743" customWidth="1"/>
    <col min="7430" max="7430" width="16.5" style="1743" bestFit="1" customWidth="1"/>
    <col min="7431" max="7431" width="19" style="1743" customWidth="1"/>
    <col min="7432" max="7680" width="9.1640625" style="1743"/>
    <col min="7681" max="7681" width="5.33203125" style="1743" customWidth="1"/>
    <col min="7682" max="7682" width="46" style="1743" bestFit="1" customWidth="1"/>
    <col min="7683" max="7683" width="24.1640625" style="1743" customWidth="1"/>
    <col min="7684" max="7684" width="21.83203125" style="1743" customWidth="1"/>
    <col min="7685" max="7685" width="17.33203125" style="1743" customWidth="1"/>
    <col min="7686" max="7686" width="16.5" style="1743" bestFit="1" customWidth="1"/>
    <col min="7687" max="7687" width="19" style="1743" customWidth="1"/>
    <col min="7688" max="7936" width="9.1640625" style="1743"/>
    <col min="7937" max="7937" width="5.33203125" style="1743" customWidth="1"/>
    <col min="7938" max="7938" width="46" style="1743" bestFit="1" customWidth="1"/>
    <col min="7939" max="7939" width="24.1640625" style="1743" customWidth="1"/>
    <col min="7940" max="7940" width="21.83203125" style="1743" customWidth="1"/>
    <col min="7941" max="7941" width="17.33203125" style="1743" customWidth="1"/>
    <col min="7942" max="7942" width="16.5" style="1743" bestFit="1" customWidth="1"/>
    <col min="7943" max="7943" width="19" style="1743" customWidth="1"/>
    <col min="7944" max="8192" width="9.1640625" style="1743"/>
    <col min="8193" max="8193" width="5.33203125" style="1743" customWidth="1"/>
    <col min="8194" max="8194" width="46" style="1743" bestFit="1" customWidth="1"/>
    <col min="8195" max="8195" width="24.1640625" style="1743" customWidth="1"/>
    <col min="8196" max="8196" width="21.83203125" style="1743" customWidth="1"/>
    <col min="8197" max="8197" width="17.33203125" style="1743" customWidth="1"/>
    <col min="8198" max="8198" width="16.5" style="1743" bestFit="1" customWidth="1"/>
    <col min="8199" max="8199" width="19" style="1743" customWidth="1"/>
    <col min="8200" max="8448" width="9.1640625" style="1743"/>
    <col min="8449" max="8449" width="5.33203125" style="1743" customWidth="1"/>
    <col min="8450" max="8450" width="46" style="1743" bestFit="1" customWidth="1"/>
    <col min="8451" max="8451" width="24.1640625" style="1743" customWidth="1"/>
    <col min="8452" max="8452" width="21.83203125" style="1743" customWidth="1"/>
    <col min="8453" max="8453" width="17.33203125" style="1743" customWidth="1"/>
    <col min="8454" max="8454" width="16.5" style="1743" bestFit="1" customWidth="1"/>
    <col min="8455" max="8455" width="19" style="1743" customWidth="1"/>
    <col min="8456" max="8704" width="9.1640625" style="1743"/>
    <col min="8705" max="8705" width="5.33203125" style="1743" customWidth="1"/>
    <col min="8706" max="8706" width="46" style="1743" bestFit="1" customWidth="1"/>
    <col min="8707" max="8707" width="24.1640625" style="1743" customWidth="1"/>
    <col min="8708" max="8708" width="21.83203125" style="1743" customWidth="1"/>
    <col min="8709" max="8709" width="17.33203125" style="1743" customWidth="1"/>
    <col min="8710" max="8710" width="16.5" style="1743" bestFit="1" customWidth="1"/>
    <col min="8711" max="8711" width="19" style="1743" customWidth="1"/>
    <col min="8712" max="8960" width="9.1640625" style="1743"/>
    <col min="8961" max="8961" width="5.33203125" style="1743" customWidth="1"/>
    <col min="8962" max="8962" width="46" style="1743" bestFit="1" customWidth="1"/>
    <col min="8963" max="8963" width="24.1640625" style="1743" customWidth="1"/>
    <col min="8964" max="8964" width="21.83203125" style="1743" customWidth="1"/>
    <col min="8965" max="8965" width="17.33203125" style="1743" customWidth="1"/>
    <col min="8966" max="8966" width="16.5" style="1743" bestFit="1" customWidth="1"/>
    <col min="8967" max="8967" width="19" style="1743" customWidth="1"/>
    <col min="8968" max="9216" width="9.1640625" style="1743"/>
    <col min="9217" max="9217" width="5.33203125" style="1743" customWidth="1"/>
    <col min="9218" max="9218" width="46" style="1743" bestFit="1" customWidth="1"/>
    <col min="9219" max="9219" width="24.1640625" style="1743" customWidth="1"/>
    <col min="9220" max="9220" width="21.83203125" style="1743" customWidth="1"/>
    <col min="9221" max="9221" width="17.33203125" style="1743" customWidth="1"/>
    <col min="9222" max="9222" width="16.5" style="1743" bestFit="1" customWidth="1"/>
    <col min="9223" max="9223" width="19" style="1743" customWidth="1"/>
    <col min="9224" max="9472" width="9.1640625" style="1743"/>
    <col min="9473" max="9473" width="5.33203125" style="1743" customWidth="1"/>
    <col min="9474" max="9474" width="46" style="1743" bestFit="1" customWidth="1"/>
    <col min="9475" max="9475" width="24.1640625" style="1743" customWidth="1"/>
    <col min="9476" max="9476" width="21.83203125" style="1743" customWidth="1"/>
    <col min="9477" max="9477" width="17.33203125" style="1743" customWidth="1"/>
    <col min="9478" max="9478" width="16.5" style="1743" bestFit="1" customWidth="1"/>
    <col min="9479" max="9479" width="19" style="1743" customWidth="1"/>
    <col min="9480" max="9728" width="9.1640625" style="1743"/>
    <col min="9729" max="9729" width="5.33203125" style="1743" customWidth="1"/>
    <col min="9730" max="9730" width="46" style="1743" bestFit="1" customWidth="1"/>
    <col min="9731" max="9731" width="24.1640625" style="1743" customWidth="1"/>
    <col min="9732" max="9732" width="21.83203125" style="1743" customWidth="1"/>
    <col min="9733" max="9733" width="17.33203125" style="1743" customWidth="1"/>
    <col min="9734" max="9734" width="16.5" style="1743" bestFit="1" customWidth="1"/>
    <col min="9735" max="9735" width="19" style="1743" customWidth="1"/>
    <col min="9736" max="9984" width="9.1640625" style="1743"/>
    <col min="9985" max="9985" width="5.33203125" style="1743" customWidth="1"/>
    <col min="9986" max="9986" width="46" style="1743" bestFit="1" customWidth="1"/>
    <col min="9987" max="9987" width="24.1640625" style="1743" customWidth="1"/>
    <col min="9988" max="9988" width="21.83203125" style="1743" customWidth="1"/>
    <col min="9989" max="9989" width="17.33203125" style="1743" customWidth="1"/>
    <col min="9990" max="9990" width="16.5" style="1743" bestFit="1" customWidth="1"/>
    <col min="9991" max="9991" width="19" style="1743" customWidth="1"/>
    <col min="9992" max="10240" width="9.1640625" style="1743"/>
    <col min="10241" max="10241" width="5.33203125" style="1743" customWidth="1"/>
    <col min="10242" max="10242" width="46" style="1743" bestFit="1" customWidth="1"/>
    <col min="10243" max="10243" width="24.1640625" style="1743" customWidth="1"/>
    <col min="10244" max="10244" width="21.83203125" style="1743" customWidth="1"/>
    <col min="10245" max="10245" width="17.33203125" style="1743" customWidth="1"/>
    <col min="10246" max="10246" width="16.5" style="1743" bestFit="1" customWidth="1"/>
    <col min="10247" max="10247" width="19" style="1743" customWidth="1"/>
    <col min="10248" max="10496" width="9.1640625" style="1743"/>
    <col min="10497" max="10497" width="5.33203125" style="1743" customWidth="1"/>
    <col min="10498" max="10498" width="46" style="1743" bestFit="1" customWidth="1"/>
    <col min="10499" max="10499" width="24.1640625" style="1743" customWidth="1"/>
    <col min="10500" max="10500" width="21.83203125" style="1743" customWidth="1"/>
    <col min="10501" max="10501" width="17.33203125" style="1743" customWidth="1"/>
    <col min="10502" max="10502" width="16.5" style="1743" bestFit="1" customWidth="1"/>
    <col min="10503" max="10503" width="19" style="1743" customWidth="1"/>
    <col min="10504" max="10752" width="9.1640625" style="1743"/>
    <col min="10753" max="10753" width="5.33203125" style="1743" customWidth="1"/>
    <col min="10754" max="10754" width="46" style="1743" bestFit="1" customWidth="1"/>
    <col min="10755" max="10755" width="24.1640625" style="1743" customWidth="1"/>
    <col min="10756" max="10756" width="21.83203125" style="1743" customWidth="1"/>
    <col min="10757" max="10757" width="17.33203125" style="1743" customWidth="1"/>
    <col min="10758" max="10758" width="16.5" style="1743" bestFit="1" customWidth="1"/>
    <col min="10759" max="10759" width="19" style="1743" customWidth="1"/>
    <col min="10760" max="11008" width="9.1640625" style="1743"/>
    <col min="11009" max="11009" width="5.33203125" style="1743" customWidth="1"/>
    <col min="11010" max="11010" width="46" style="1743" bestFit="1" customWidth="1"/>
    <col min="11011" max="11011" width="24.1640625" style="1743" customWidth="1"/>
    <col min="11012" max="11012" width="21.83203125" style="1743" customWidth="1"/>
    <col min="11013" max="11013" width="17.33203125" style="1743" customWidth="1"/>
    <col min="11014" max="11014" width="16.5" style="1743" bestFit="1" customWidth="1"/>
    <col min="11015" max="11015" width="19" style="1743" customWidth="1"/>
    <col min="11016" max="11264" width="9.1640625" style="1743"/>
    <col min="11265" max="11265" width="5.33203125" style="1743" customWidth="1"/>
    <col min="11266" max="11266" width="46" style="1743" bestFit="1" customWidth="1"/>
    <col min="11267" max="11267" width="24.1640625" style="1743" customWidth="1"/>
    <col min="11268" max="11268" width="21.83203125" style="1743" customWidth="1"/>
    <col min="11269" max="11269" width="17.33203125" style="1743" customWidth="1"/>
    <col min="11270" max="11270" width="16.5" style="1743" bestFit="1" customWidth="1"/>
    <col min="11271" max="11271" width="19" style="1743" customWidth="1"/>
    <col min="11272" max="11520" width="9.1640625" style="1743"/>
    <col min="11521" max="11521" width="5.33203125" style="1743" customWidth="1"/>
    <col min="11522" max="11522" width="46" style="1743" bestFit="1" customWidth="1"/>
    <col min="11523" max="11523" width="24.1640625" style="1743" customWidth="1"/>
    <col min="11524" max="11524" width="21.83203125" style="1743" customWidth="1"/>
    <col min="11525" max="11525" width="17.33203125" style="1743" customWidth="1"/>
    <col min="11526" max="11526" width="16.5" style="1743" bestFit="1" customWidth="1"/>
    <col min="11527" max="11527" width="19" style="1743" customWidth="1"/>
    <col min="11528" max="11776" width="9.1640625" style="1743"/>
    <col min="11777" max="11777" width="5.33203125" style="1743" customWidth="1"/>
    <col min="11778" max="11778" width="46" style="1743" bestFit="1" customWidth="1"/>
    <col min="11779" max="11779" width="24.1640625" style="1743" customWidth="1"/>
    <col min="11780" max="11780" width="21.83203125" style="1743" customWidth="1"/>
    <col min="11781" max="11781" width="17.33203125" style="1743" customWidth="1"/>
    <col min="11782" max="11782" width="16.5" style="1743" bestFit="1" customWidth="1"/>
    <col min="11783" max="11783" width="19" style="1743" customWidth="1"/>
    <col min="11784" max="12032" width="9.1640625" style="1743"/>
    <col min="12033" max="12033" width="5.33203125" style="1743" customWidth="1"/>
    <col min="12034" max="12034" width="46" style="1743" bestFit="1" customWidth="1"/>
    <col min="12035" max="12035" width="24.1640625" style="1743" customWidth="1"/>
    <col min="12036" max="12036" width="21.83203125" style="1743" customWidth="1"/>
    <col min="12037" max="12037" width="17.33203125" style="1743" customWidth="1"/>
    <col min="12038" max="12038" width="16.5" style="1743" bestFit="1" customWidth="1"/>
    <col min="12039" max="12039" width="19" style="1743" customWidth="1"/>
    <col min="12040" max="12288" width="9.1640625" style="1743"/>
    <col min="12289" max="12289" width="5.33203125" style="1743" customWidth="1"/>
    <col min="12290" max="12290" width="46" style="1743" bestFit="1" customWidth="1"/>
    <col min="12291" max="12291" width="24.1640625" style="1743" customWidth="1"/>
    <col min="12292" max="12292" width="21.83203125" style="1743" customWidth="1"/>
    <col min="12293" max="12293" width="17.33203125" style="1743" customWidth="1"/>
    <col min="12294" max="12294" width="16.5" style="1743" bestFit="1" customWidth="1"/>
    <col min="12295" max="12295" width="19" style="1743" customWidth="1"/>
    <col min="12296" max="12544" width="9.1640625" style="1743"/>
    <col min="12545" max="12545" width="5.33203125" style="1743" customWidth="1"/>
    <col min="12546" max="12546" width="46" style="1743" bestFit="1" customWidth="1"/>
    <col min="12547" max="12547" width="24.1640625" style="1743" customWidth="1"/>
    <col min="12548" max="12548" width="21.83203125" style="1743" customWidth="1"/>
    <col min="12549" max="12549" width="17.33203125" style="1743" customWidth="1"/>
    <col min="12550" max="12550" width="16.5" style="1743" bestFit="1" customWidth="1"/>
    <col min="12551" max="12551" width="19" style="1743" customWidth="1"/>
    <col min="12552" max="12800" width="9.1640625" style="1743"/>
    <col min="12801" max="12801" width="5.33203125" style="1743" customWidth="1"/>
    <col min="12802" max="12802" width="46" style="1743" bestFit="1" customWidth="1"/>
    <col min="12803" max="12803" width="24.1640625" style="1743" customWidth="1"/>
    <col min="12804" max="12804" width="21.83203125" style="1743" customWidth="1"/>
    <col min="12805" max="12805" width="17.33203125" style="1743" customWidth="1"/>
    <col min="12806" max="12806" width="16.5" style="1743" bestFit="1" customWidth="1"/>
    <col min="12807" max="12807" width="19" style="1743" customWidth="1"/>
    <col min="12808" max="13056" width="9.1640625" style="1743"/>
    <col min="13057" max="13057" width="5.33203125" style="1743" customWidth="1"/>
    <col min="13058" max="13058" width="46" style="1743" bestFit="1" customWidth="1"/>
    <col min="13059" max="13059" width="24.1640625" style="1743" customWidth="1"/>
    <col min="13060" max="13060" width="21.83203125" style="1743" customWidth="1"/>
    <col min="13061" max="13061" width="17.33203125" style="1743" customWidth="1"/>
    <col min="13062" max="13062" width="16.5" style="1743" bestFit="1" customWidth="1"/>
    <col min="13063" max="13063" width="19" style="1743" customWidth="1"/>
    <col min="13064" max="13312" width="9.1640625" style="1743"/>
    <col min="13313" max="13313" width="5.33203125" style="1743" customWidth="1"/>
    <col min="13314" max="13314" width="46" style="1743" bestFit="1" customWidth="1"/>
    <col min="13315" max="13315" width="24.1640625" style="1743" customWidth="1"/>
    <col min="13316" max="13316" width="21.83203125" style="1743" customWidth="1"/>
    <col min="13317" max="13317" width="17.33203125" style="1743" customWidth="1"/>
    <col min="13318" max="13318" width="16.5" style="1743" bestFit="1" customWidth="1"/>
    <col min="13319" max="13319" width="19" style="1743" customWidth="1"/>
    <col min="13320" max="13568" width="9.1640625" style="1743"/>
    <col min="13569" max="13569" width="5.33203125" style="1743" customWidth="1"/>
    <col min="13570" max="13570" width="46" style="1743" bestFit="1" customWidth="1"/>
    <col min="13571" max="13571" width="24.1640625" style="1743" customWidth="1"/>
    <col min="13572" max="13572" width="21.83203125" style="1743" customWidth="1"/>
    <col min="13573" max="13573" width="17.33203125" style="1743" customWidth="1"/>
    <col min="13574" max="13574" width="16.5" style="1743" bestFit="1" customWidth="1"/>
    <col min="13575" max="13575" width="19" style="1743" customWidth="1"/>
    <col min="13576" max="13824" width="9.1640625" style="1743"/>
    <col min="13825" max="13825" width="5.33203125" style="1743" customWidth="1"/>
    <col min="13826" max="13826" width="46" style="1743" bestFit="1" customWidth="1"/>
    <col min="13827" max="13827" width="24.1640625" style="1743" customWidth="1"/>
    <col min="13828" max="13828" width="21.83203125" style="1743" customWidth="1"/>
    <col min="13829" max="13829" width="17.33203125" style="1743" customWidth="1"/>
    <col min="13830" max="13830" width="16.5" style="1743" bestFit="1" customWidth="1"/>
    <col min="13831" max="13831" width="19" style="1743" customWidth="1"/>
    <col min="13832" max="14080" width="9.1640625" style="1743"/>
    <col min="14081" max="14081" width="5.33203125" style="1743" customWidth="1"/>
    <col min="14082" max="14082" width="46" style="1743" bestFit="1" customWidth="1"/>
    <col min="14083" max="14083" width="24.1640625" style="1743" customWidth="1"/>
    <col min="14084" max="14084" width="21.83203125" style="1743" customWidth="1"/>
    <col min="14085" max="14085" width="17.33203125" style="1743" customWidth="1"/>
    <col min="14086" max="14086" width="16.5" style="1743" bestFit="1" customWidth="1"/>
    <col min="14087" max="14087" width="19" style="1743" customWidth="1"/>
    <col min="14088" max="14336" width="9.1640625" style="1743"/>
    <col min="14337" max="14337" width="5.33203125" style="1743" customWidth="1"/>
    <col min="14338" max="14338" width="46" style="1743" bestFit="1" customWidth="1"/>
    <col min="14339" max="14339" width="24.1640625" style="1743" customWidth="1"/>
    <col min="14340" max="14340" width="21.83203125" style="1743" customWidth="1"/>
    <col min="14341" max="14341" width="17.33203125" style="1743" customWidth="1"/>
    <col min="14342" max="14342" width="16.5" style="1743" bestFit="1" customWidth="1"/>
    <col min="14343" max="14343" width="19" style="1743" customWidth="1"/>
    <col min="14344" max="14592" width="9.1640625" style="1743"/>
    <col min="14593" max="14593" width="5.33203125" style="1743" customWidth="1"/>
    <col min="14594" max="14594" width="46" style="1743" bestFit="1" customWidth="1"/>
    <col min="14595" max="14595" width="24.1640625" style="1743" customWidth="1"/>
    <col min="14596" max="14596" width="21.83203125" style="1743" customWidth="1"/>
    <col min="14597" max="14597" width="17.33203125" style="1743" customWidth="1"/>
    <col min="14598" max="14598" width="16.5" style="1743" bestFit="1" customWidth="1"/>
    <col min="14599" max="14599" width="19" style="1743" customWidth="1"/>
    <col min="14600" max="14848" width="9.1640625" style="1743"/>
    <col min="14849" max="14849" width="5.33203125" style="1743" customWidth="1"/>
    <col min="14850" max="14850" width="46" style="1743" bestFit="1" customWidth="1"/>
    <col min="14851" max="14851" width="24.1640625" style="1743" customWidth="1"/>
    <col min="14852" max="14852" width="21.83203125" style="1743" customWidth="1"/>
    <col min="14853" max="14853" width="17.33203125" style="1743" customWidth="1"/>
    <col min="14854" max="14854" width="16.5" style="1743" bestFit="1" customWidth="1"/>
    <col min="14855" max="14855" width="19" style="1743" customWidth="1"/>
    <col min="14856" max="15104" width="9.1640625" style="1743"/>
    <col min="15105" max="15105" width="5.33203125" style="1743" customWidth="1"/>
    <col min="15106" max="15106" width="46" style="1743" bestFit="1" customWidth="1"/>
    <col min="15107" max="15107" width="24.1640625" style="1743" customWidth="1"/>
    <col min="15108" max="15108" width="21.83203125" style="1743" customWidth="1"/>
    <col min="15109" max="15109" width="17.33203125" style="1743" customWidth="1"/>
    <col min="15110" max="15110" width="16.5" style="1743" bestFit="1" customWidth="1"/>
    <col min="15111" max="15111" width="19" style="1743" customWidth="1"/>
    <col min="15112" max="15360" width="9.1640625" style="1743"/>
    <col min="15361" max="15361" width="5.33203125" style="1743" customWidth="1"/>
    <col min="15362" max="15362" width="46" style="1743" bestFit="1" customWidth="1"/>
    <col min="15363" max="15363" width="24.1640625" style="1743" customWidth="1"/>
    <col min="15364" max="15364" width="21.83203125" style="1743" customWidth="1"/>
    <col min="15365" max="15365" width="17.33203125" style="1743" customWidth="1"/>
    <col min="15366" max="15366" width="16.5" style="1743" bestFit="1" customWidth="1"/>
    <col min="15367" max="15367" width="19" style="1743" customWidth="1"/>
    <col min="15368" max="15616" width="9.1640625" style="1743"/>
    <col min="15617" max="15617" width="5.33203125" style="1743" customWidth="1"/>
    <col min="15618" max="15618" width="46" style="1743" bestFit="1" customWidth="1"/>
    <col min="15619" max="15619" width="24.1640625" style="1743" customWidth="1"/>
    <col min="15620" max="15620" width="21.83203125" style="1743" customWidth="1"/>
    <col min="15621" max="15621" width="17.33203125" style="1743" customWidth="1"/>
    <col min="15622" max="15622" width="16.5" style="1743" bestFit="1" customWidth="1"/>
    <col min="15623" max="15623" width="19" style="1743" customWidth="1"/>
    <col min="15624" max="15872" width="9.1640625" style="1743"/>
    <col min="15873" max="15873" width="5.33203125" style="1743" customWidth="1"/>
    <col min="15874" max="15874" width="46" style="1743" bestFit="1" customWidth="1"/>
    <col min="15875" max="15875" width="24.1640625" style="1743" customWidth="1"/>
    <col min="15876" max="15876" width="21.83203125" style="1743" customWidth="1"/>
    <col min="15877" max="15877" width="17.33203125" style="1743" customWidth="1"/>
    <col min="15878" max="15878" width="16.5" style="1743" bestFit="1" customWidth="1"/>
    <col min="15879" max="15879" width="19" style="1743" customWidth="1"/>
    <col min="15880" max="16128" width="9.1640625" style="1743"/>
    <col min="16129" max="16129" width="5.33203125" style="1743" customWidth="1"/>
    <col min="16130" max="16130" width="46" style="1743" bestFit="1" customWidth="1"/>
    <col min="16131" max="16131" width="24.1640625" style="1743" customWidth="1"/>
    <col min="16132" max="16132" width="21.83203125" style="1743" customWidth="1"/>
    <col min="16133" max="16133" width="17.33203125" style="1743" customWidth="1"/>
    <col min="16134" max="16134" width="16.5" style="1743" bestFit="1" customWidth="1"/>
    <col min="16135" max="16135" width="19" style="1743" customWidth="1"/>
    <col min="16136" max="16384" width="9.1640625" style="1743"/>
  </cols>
  <sheetData>
    <row r="1" spans="1:7" s="1733" customFormat="1" ht="18" customHeight="1">
      <c r="A1" s="1731" t="s">
        <v>106</v>
      </c>
      <c r="B1" s="1731"/>
      <c r="C1" s="1732"/>
      <c r="D1" s="1732"/>
      <c r="E1" s="1732"/>
      <c r="F1" s="1732"/>
      <c r="G1" s="1733" t="s">
        <v>523</v>
      </c>
    </row>
    <row r="2" spans="1:7" s="1733" customFormat="1" ht="18" customHeight="1">
      <c r="A2" s="1734" t="s">
        <v>3</v>
      </c>
      <c r="B2" s="1734"/>
      <c r="C2" s="1732"/>
      <c r="D2" s="1732"/>
      <c r="E2" s="1732"/>
      <c r="F2" s="1732"/>
      <c r="G2" s="1735" t="s">
        <v>245</v>
      </c>
    </row>
    <row r="3" spans="1:7" s="1733" customFormat="1" ht="55.5" customHeight="1">
      <c r="A3" s="1736" t="s">
        <v>1389</v>
      </c>
      <c r="B3" s="1736"/>
      <c r="C3" s="1736"/>
      <c r="D3" s="1736"/>
      <c r="E3" s="1736"/>
      <c r="F3" s="1736"/>
      <c r="G3" s="1736"/>
    </row>
    <row r="4" spans="1:7" s="1739" customFormat="1" ht="68">
      <c r="A4" s="1737" t="s">
        <v>0</v>
      </c>
      <c r="B4" s="1738" t="s">
        <v>89</v>
      </c>
      <c r="C4" s="1738" t="s">
        <v>186</v>
      </c>
      <c r="D4" s="1738" t="s">
        <v>187</v>
      </c>
      <c r="E4" s="1738" t="s">
        <v>108</v>
      </c>
      <c r="F4" s="1738" t="s">
        <v>107</v>
      </c>
      <c r="G4" s="1738" t="s">
        <v>2</v>
      </c>
    </row>
    <row r="5" spans="1:7" ht="16">
      <c r="A5" s="1740">
        <v>1</v>
      </c>
      <c r="B5" s="1741" t="s">
        <v>1390</v>
      </c>
      <c r="C5" s="1741">
        <v>2118482400</v>
      </c>
      <c r="D5" s="1741">
        <v>321362067.60000002</v>
      </c>
      <c r="E5" s="1741">
        <v>1162123261.5957217</v>
      </c>
      <c r="F5" s="1741">
        <f>SUM(C5:E5)</f>
        <v>3601967729.1957216</v>
      </c>
      <c r="G5" s="1742"/>
    </row>
    <row r="6" spans="1:7" ht="16">
      <c r="A6" s="1740">
        <v>2</v>
      </c>
      <c r="B6" s="1741" t="s">
        <v>1391</v>
      </c>
      <c r="C6" s="1741">
        <v>632666400</v>
      </c>
      <c r="D6" s="1741">
        <v>97355706</v>
      </c>
      <c r="E6" s="1741">
        <v>287277841.90108645</v>
      </c>
      <c r="F6" s="1741">
        <f t="shared" ref="F6:F42" si="0">SUM(C6:E6)</f>
        <v>1017299947.9010864</v>
      </c>
      <c r="G6" s="1742"/>
    </row>
    <row r="7" spans="1:7" ht="16">
      <c r="A7" s="1740">
        <v>3</v>
      </c>
      <c r="B7" s="1741" t="s">
        <v>1392</v>
      </c>
      <c r="C7" s="1741">
        <v>834229401.60000002</v>
      </c>
      <c r="D7" s="1741">
        <v>134934924.47999999</v>
      </c>
      <c r="E7" s="1741">
        <v>442023488.76383674</v>
      </c>
      <c r="F7" s="1741">
        <f t="shared" si="0"/>
        <v>1411187814.8438368</v>
      </c>
      <c r="G7" s="1742"/>
    </row>
    <row r="8" spans="1:7" ht="16">
      <c r="A8" s="1740">
        <v>4</v>
      </c>
      <c r="B8" s="1741" t="s">
        <v>1393</v>
      </c>
      <c r="C8" s="1741">
        <v>1175505480</v>
      </c>
      <c r="D8" s="1741">
        <v>95259007.799999997</v>
      </c>
      <c r="E8" s="1741">
        <v>868124558.58076119</v>
      </c>
      <c r="F8" s="1741">
        <f t="shared" si="0"/>
        <v>2138889046.3807611</v>
      </c>
      <c r="G8" s="1741"/>
    </row>
    <row r="9" spans="1:7" ht="16">
      <c r="A9" s="1740">
        <v>5</v>
      </c>
      <c r="B9" s="1741" t="s">
        <v>1394</v>
      </c>
      <c r="C9" s="1741">
        <v>68207040</v>
      </c>
      <c r="D9" s="1741">
        <v>9832212</v>
      </c>
      <c r="E9" s="1741">
        <v>26178900.304756787</v>
      </c>
      <c r="F9" s="1741">
        <f t="shared" si="0"/>
        <v>104218152.30475679</v>
      </c>
      <c r="G9" s="1741"/>
    </row>
    <row r="10" spans="1:7" ht="16">
      <c r="A10" s="1740">
        <v>6</v>
      </c>
      <c r="B10" s="1741" t="s">
        <v>1395</v>
      </c>
      <c r="C10" s="1741">
        <v>1348468776</v>
      </c>
      <c r="D10" s="1741">
        <v>209578220.75999999</v>
      </c>
      <c r="E10" s="1741">
        <v>684423279.70326042</v>
      </c>
      <c r="F10" s="1741">
        <f t="shared" si="0"/>
        <v>2242470276.4632607</v>
      </c>
      <c r="G10" s="1741"/>
    </row>
    <row r="11" spans="1:7" ht="16">
      <c r="A11" s="1750">
        <v>7</v>
      </c>
      <c r="B11" s="1751" t="s">
        <v>1396</v>
      </c>
      <c r="C11" s="1751">
        <v>5556396735.6000004</v>
      </c>
      <c r="D11" s="1751">
        <v>851593302.21000004</v>
      </c>
      <c r="E11" s="1751">
        <v>4666810417.2142477</v>
      </c>
      <c r="F11" s="1751">
        <f t="shared" si="0"/>
        <v>11074800455.024248</v>
      </c>
      <c r="G11" s="1751"/>
    </row>
    <row r="12" spans="1:7" ht="16">
      <c r="A12" s="1740">
        <v>8</v>
      </c>
      <c r="B12" s="1741" t="s">
        <v>1397</v>
      </c>
      <c r="C12" s="1741">
        <v>2711943144</v>
      </c>
      <c r="D12" s="1741">
        <v>417842958.83999997</v>
      </c>
      <c r="E12" s="1741">
        <v>889946816.35768318</v>
      </c>
      <c r="F12" s="1741">
        <f t="shared" si="0"/>
        <v>4019732919.1976833</v>
      </c>
      <c r="G12" s="1741"/>
    </row>
    <row r="13" spans="1:7" ht="16">
      <c r="A13" s="1740">
        <v>9</v>
      </c>
      <c r="B13" s="1741" t="s">
        <v>585</v>
      </c>
      <c r="C13" s="1741">
        <v>5672395056</v>
      </c>
      <c r="D13" s="1741">
        <v>881656130.75999999</v>
      </c>
      <c r="E13" s="1741">
        <v>3572226456.3235579</v>
      </c>
      <c r="F13" s="1741">
        <f t="shared" si="0"/>
        <v>10126277643.083557</v>
      </c>
      <c r="G13" s="1741"/>
    </row>
    <row r="14" spans="1:7" ht="16">
      <c r="A14" s="1740">
        <v>10</v>
      </c>
      <c r="B14" s="1741" t="s">
        <v>586</v>
      </c>
      <c r="C14" s="1741">
        <v>3615900744</v>
      </c>
      <c r="D14" s="1741">
        <v>560412133.73999989</v>
      </c>
      <c r="E14" s="1741">
        <v>4423898938.0060272</v>
      </c>
      <c r="F14" s="1741">
        <f t="shared" si="0"/>
        <v>8600211815.746027</v>
      </c>
      <c r="G14" s="1741"/>
    </row>
    <row r="15" spans="1:7" ht="16">
      <c r="A15" s="1740">
        <v>11</v>
      </c>
      <c r="B15" s="1741" t="s">
        <v>1398</v>
      </c>
      <c r="C15" s="1741">
        <v>6886295268</v>
      </c>
      <c r="D15" s="1741">
        <v>1079396620.3799999</v>
      </c>
      <c r="E15" s="1741">
        <v>3267612899.3797483</v>
      </c>
      <c r="F15" s="1741">
        <f t="shared" si="0"/>
        <v>11233304787.759748</v>
      </c>
      <c r="G15" s="1741"/>
    </row>
    <row r="16" spans="1:7" ht="16">
      <c r="A16" s="1740">
        <v>12</v>
      </c>
      <c r="B16" s="1741" t="s">
        <v>1399</v>
      </c>
      <c r="C16" s="1741">
        <v>4021341172.8000002</v>
      </c>
      <c r="D16" s="1741">
        <v>683882867.10000002</v>
      </c>
      <c r="E16" s="1741">
        <v>2350644934.4309459</v>
      </c>
      <c r="F16" s="1741">
        <f t="shared" si="0"/>
        <v>7055868974.330946</v>
      </c>
      <c r="G16" s="1741"/>
    </row>
    <row r="17" spans="1:7" ht="16">
      <c r="A17" s="1740">
        <v>13</v>
      </c>
      <c r="B17" s="1741" t="s">
        <v>1400</v>
      </c>
      <c r="C17" s="1741">
        <v>864248712</v>
      </c>
      <c r="D17" s="1741">
        <v>131799541.31999999</v>
      </c>
      <c r="E17" s="1741">
        <v>508846108.14884198</v>
      </c>
      <c r="F17" s="1741">
        <f t="shared" si="0"/>
        <v>1504894361.468842</v>
      </c>
      <c r="G17" s="1741"/>
    </row>
    <row r="18" spans="1:7" ht="16">
      <c r="A18" s="1740">
        <v>14</v>
      </c>
      <c r="B18" s="1741" t="s">
        <v>188</v>
      </c>
      <c r="C18" s="1741">
        <v>1084491744</v>
      </c>
      <c r="D18" s="1741">
        <v>167781235.44</v>
      </c>
      <c r="E18" s="1741">
        <v>536949534.79609585</v>
      </c>
      <c r="F18" s="1741">
        <f t="shared" si="0"/>
        <v>1789222514.2360959</v>
      </c>
      <c r="G18" s="1741"/>
    </row>
    <row r="19" spans="1:7" ht="16">
      <c r="A19" s="1740">
        <v>15</v>
      </c>
      <c r="B19" s="1741" t="s">
        <v>189</v>
      </c>
      <c r="C19" s="1741">
        <v>1118441616</v>
      </c>
      <c r="D19" s="1741">
        <v>176178112.56</v>
      </c>
      <c r="E19" s="1741">
        <v>450567686.21524531</v>
      </c>
      <c r="F19" s="1741">
        <f t="shared" si="0"/>
        <v>1745187414.7752452</v>
      </c>
      <c r="G19" s="1741"/>
    </row>
    <row r="20" spans="1:7" ht="16">
      <c r="A20" s="1740">
        <v>16</v>
      </c>
      <c r="B20" s="1741" t="s">
        <v>190</v>
      </c>
      <c r="C20" s="1741">
        <v>1379758780.8000002</v>
      </c>
      <c r="D20" s="1741">
        <v>216862461.24000001</v>
      </c>
      <c r="E20" s="1741">
        <v>810715080.2913487</v>
      </c>
      <c r="F20" s="1741">
        <f t="shared" si="0"/>
        <v>2407336322.3313489</v>
      </c>
      <c r="G20" s="1741"/>
    </row>
    <row r="21" spans="1:7" ht="16">
      <c r="A21" s="1740">
        <v>17</v>
      </c>
      <c r="B21" s="1741" t="s">
        <v>1401</v>
      </c>
      <c r="C21" s="1741">
        <v>1210701600</v>
      </c>
      <c r="D21" s="1741">
        <v>188450730</v>
      </c>
      <c r="E21" s="1741">
        <v>742595992.81170547</v>
      </c>
      <c r="F21" s="1741">
        <f t="shared" si="0"/>
        <v>2141748322.8117056</v>
      </c>
      <c r="G21" s="1741"/>
    </row>
    <row r="22" spans="1:7" ht="16">
      <c r="A22" s="1740">
        <v>18</v>
      </c>
      <c r="B22" s="1741" t="s">
        <v>191</v>
      </c>
      <c r="C22" s="1741">
        <v>927086184</v>
      </c>
      <c r="D22" s="1741">
        <v>143917112.34</v>
      </c>
      <c r="E22" s="1741">
        <v>514040630.59484255</v>
      </c>
      <c r="F22" s="1741">
        <f t="shared" si="0"/>
        <v>1585043926.9348426</v>
      </c>
      <c r="G22" s="1741"/>
    </row>
    <row r="23" spans="1:7" ht="16">
      <c r="A23" s="1740">
        <v>19</v>
      </c>
      <c r="B23" s="1741" t="s">
        <v>1402</v>
      </c>
      <c r="C23" s="1741">
        <v>2680057224</v>
      </c>
      <c r="D23" s="1741">
        <v>421432136.39999998</v>
      </c>
      <c r="E23" s="1741">
        <v>1509705573.8724174</v>
      </c>
      <c r="F23" s="1741">
        <f t="shared" si="0"/>
        <v>4611194934.2724171</v>
      </c>
      <c r="G23" s="1741"/>
    </row>
    <row r="24" spans="1:7" ht="16">
      <c r="A24" s="1740">
        <v>20</v>
      </c>
      <c r="B24" s="1741" t="s">
        <v>873</v>
      </c>
      <c r="C24" s="1741">
        <v>774546192</v>
      </c>
      <c r="D24" s="1741">
        <v>121400086.31999999</v>
      </c>
      <c r="E24" s="1741">
        <v>367131265.13758743</v>
      </c>
      <c r="F24" s="1741">
        <f t="shared" si="0"/>
        <v>1263077543.4575872</v>
      </c>
      <c r="G24" s="1741"/>
    </row>
    <row r="25" spans="1:7" ht="16">
      <c r="A25" s="1740">
        <v>21</v>
      </c>
      <c r="B25" s="1741" t="s">
        <v>1403</v>
      </c>
      <c r="C25" s="1741">
        <v>668900160</v>
      </c>
      <c r="D25" s="1741">
        <v>104238254.40000001</v>
      </c>
      <c r="E25" s="1741">
        <v>379920479.56602949</v>
      </c>
      <c r="F25" s="1741">
        <f t="shared" si="0"/>
        <v>1153058893.9660294</v>
      </c>
      <c r="G25" s="1741"/>
    </row>
    <row r="26" spans="1:7" ht="16">
      <c r="A26" s="1740">
        <v>22</v>
      </c>
      <c r="B26" s="1741" t="s">
        <v>1404</v>
      </c>
      <c r="C26" s="1741">
        <v>555628896</v>
      </c>
      <c r="D26" s="1741">
        <v>84116674.560000002</v>
      </c>
      <c r="E26" s="1741">
        <v>311260199.76039094</v>
      </c>
      <c r="F26" s="1741">
        <f t="shared" si="0"/>
        <v>951005770.32039094</v>
      </c>
      <c r="G26" s="1741"/>
    </row>
    <row r="27" spans="1:7" ht="16">
      <c r="A27" s="1740">
        <v>23</v>
      </c>
      <c r="B27" s="1741" t="s">
        <v>192</v>
      </c>
      <c r="C27" s="1741">
        <v>726072432</v>
      </c>
      <c r="D27" s="1741">
        <v>111786788.09999999</v>
      </c>
      <c r="E27" s="1741">
        <v>378984835.15061623</v>
      </c>
      <c r="F27" s="1741">
        <f t="shared" si="0"/>
        <v>1216844055.2506163</v>
      </c>
      <c r="G27" s="1741"/>
    </row>
    <row r="28" spans="1:7" ht="16">
      <c r="A28" s="1740">
        <v>24</v>
      </c>
      <c r="B28" s="1741" t="s">
        <v>193</v>
      </c>
      <c r="C28" s="1741">
        <v>1471976721.5999999</v>
      </c>
      <c r="D28" s="1741">
        <v>232349455.68000001</v>
      </c>
      <c r="E28" s="1741">
        <v>845138981.65740359</v>
      </c>
      <c r="F28" s="1741">
        <f t="shared" si="0"/>
        <v>2549465158.9374037</v>
      </c>
      <c r="G28" s="1741"/>
    </row>
    <row r="29" spans="1:7" ht="16">
      <c r="A29" s="1740">
        <v>25</v>
      </c>
      <c r="B29" s="1741" t="s">
        <v>587</v>
      </c>
      <c r="C29" s="1741">
        <v>791483040</v>
      </c>
      <c r="D29" s="1741">
        <v>124331262</v>
      </c>
      <c r="E29" s="1741">
        <v>462007387.81940514</v>
      </c>
      <c r="F29" s="1741">
        <f t="shared" si="0"/>
        <v>1377821689.8194051</v>
      </c>
      <c r="G29" s="1741"/>
    </row>
    <row r="30" spans="1:7" ht="16">
      <c r="A30" s="1740">
        <v>26</v>
      </c>
      <c r="B30" s="1741" t="s">
        <v>194</v>
      </c>
      <c r="C30" s="1741">
        <v>1290938688</v>
      </c>
      <c r="D30" s="1741">
        <v>206508385.68000001</v>
      </c>
      <c r="E30" s="1741">
        <v>664911866.44211102</v>
      </c>
      <c r="F30" s="1741">
        <f t="shared" si="0"/>
        <v>2162358940.1221113</v>
      </c>
      <c r="G30" s="1741"/>
    </row>
    <row r="31" spans="1:7" ht="16">
      <c r="A31" s="1740">
        <v>27</v>
      </c>
      <c r="B31" s="1741" t="s">
        <v>1405</v>
      </c>
      <c r="C31" s="1741">
        <v>854439132</v>
      </c>
      <c r="D31" s="1741">
        <v>136612703.22</v>
      </c>
      <c r="E31" s="1741">
        <v>370637451.68081933</v>
      </c>
      <c r="F31" s="1741">
        <f t="shared" si="0"/>
        <v>1361689286.9008193</v>
      </c>
      <c r="G31" s="1741"/>
    </row>
    <row r="32" spans="1:7" ht="16">
      <c r="A32" s="1740">
        <v>28</v>
      </c>
      <c r="B32" s="1741" t="s">
        <v>195</v>
      </c>
      <c r="C32" s="1741">
        <v>2047672243.2</v>
      </c>
      <c r="D32" s="1741">
        <v>314997180.96000004</v>
      </c>
      <c r="E32" s="1741">
        <v>1156242784.434732</v>
      </c>
      <c r="F32" s="1741">
        <f t="shared" si="0"/>
        <v>3518912208.5947318</v>
      </c>
      <c r="G32" s="1741"/>
    </row>
    <row r="33" spans="1:7" ht="16">
      <c r="A33" s="1740">
        <v>29</v>
      </c>
      <c r="B33" s="1741" t="s">
        <v>1406</v>
      </c>
      <c r="C33" s="1741">
        <v>3030674716.8000002</v>
      </c>
      <c r="D33" s="1741">
        <v>477189182.04000002</v>
      </c>
      <c r="E33" s="1741">
        <v>1695435748.4791789</v>
      </c>
      <c r="F33" s="1741">
        <f t="shared" si="0"/>
        <v>5203299647.3191795</v>
      </c>
      <c r="G33" s="1741"/>
    </row>
    <row r="34" spans="1:7" ht="16">
      <c r="A34" s="1740">
        <v>30</v>
      </c>
      <c r="B34" s="1741" t="s">
        <v>196</v>
      </c>
      <c r="C34" s="1741">
        <v>3506635910.4000001</v>
      </c>
      <c r="D34" s="1741">
        <v>538054776.12</v>
      </c>
      <c r="E34" s="1741">
        <v>1970055749.7601495</v>
      </c>
      <c r="F34" s="1741">
        <f t="shared" si="0"/>
        <v>6014746436.2801495</v>
      </c>
      <c r="G34" s="1741"/>
    </row>
    <row r="35" spans="1:7" ht="16">
      <c r="A35" s="1740">
        <v>31</v>
      </c>
      <c r="B35" s="1741" t="s">
        <v>1407</v>
      </c>
      <c r="C35" s="1741">
        <v>9260153335.2000008</v>
      </c>
      <c r="D35" s="1741">
        <v>1422818558.1600001</v>
      </c>
      <c r="E35" s="1741">
        <v>3780242169.1231885</v>
      </c>
      <c r="F35" s="1741">
        <f t="shared" si="0"/>
        <v>14463214062.483189</v>
      </c>
      <c r="G35" s="1741"/>
    </row>
    <row r="36" spans="1:7" ht="16">
      <c r="A36" s="1740">
        <v>32</v>
      </c>
      <c r="B36" s="1741" t="s">
        <v>1408</v>
      </c>
      <c r="C36" s="1741">
        <v>10437211083.84</v>
      </c>
      <c r="D36" s="1741">
        <v>1412313965.7203996</v>
      </c>
      <c r="E36" s="1741">
        <v>3358633958.2764158</v>
      </c>
      <c r="F36" s="1741">
        <f t="shared" si="0"/>
        <v>15208159007.836815</v>
      </c>
      <c r="G36" s="1741"/>
    </row>
    <row r="37" spans="1:7" ht="16">
      <c r="A37" s="1740">
        <v>33</v>
      </c>
      <c r="B37" s="1741" t="s">
        <v>197</v>
      </c>
      <c r="C37" s="1741">
        <v>2529629868</v>
      </c>
      <c r="D37" s="1741">
        <v>397925586.4799999</v>
      </c>
      <c r="E37" s="1741">
        <v>1087511851.7475462</v>
      </c>
      <c r="F37" s="1741">
        <f t="shared" si="0"/>
        <v>4015067306.2275462</v>
      </c>
      <c r="G37" s="1741"/>
    </row>
    <row r="38" spans="1:7" ht="16">
      <c r="A38" s="1740">
        <v>34</v>
      </c>
      <c r="B38" s="1741" t="s">
        <v>1409</v>
      </c>
      <c r="C38" s="1741">
        <v>5788992288</v>
      </c>
      <c r="D38" s="1741">
        <v>890393353.67999995</v>
      </c>
      <c r="E38" s="1741">
        <v>2706874972.0910139</v>
      </c>
      <c r="F38" s="1741">
        <f t="shared" si="0"/>
        <v>9386260613.7710152</v>
      </c>
      <c r="G38" s="1741"/>
    </row>
    <row r="39" spans="1:7" ht="16">
      <c r="A39" s="1740">
        <v>35</v>
      </c>
      <c r="B39" s="1741" t="s">
        <v>198</v>
      </c>
      <c r="C39" s="1741">
        <v>5200174423.1999998</v>
      </c>
      <c r="D39" s="1741">
        <v>848291737.8599999</v>
      </c>
      <c r="E39" s="1741">
        <v>3188475915.0066633</v>
      </c>
      <c r="F39" s="1741">
        <f t="shared" si="0"/>
        <v>9236942076.0666618</v>
      </c>
      <c r="G39" s="1741"/>
    </row>
    <row r="40" spans="1:7" ht="16">
      <c r="A40" s="1740">
        <v>36</v>
      </c>
      <c r="B40" s="1741" t="s">
        <v>588</v>
      </c>
      <c r="C40" s="1741">
        <v>4337447892</v>
      </c>
      <c r="D40" s="1741">
        <v>706290646.31999993</v>
      </c>
      <c r="E40" s="1741">
        <v>1722604967.9731114</v>
      </c>
      <c r="F40" s="1741">
        <f t="shared" si="0"/>
        <v>6766343506.2931108</v>
      </c>
      <c r="G40" s="1741"/>
    </row>
    <row r="41" spans="1:7" ht="16">
      <c r="A41" s="1740">
        <v>37</v>
      </c>
      <c r="B41" s="1741" t="s">
        <v>1410</v>
      </c>
      <c r="C41" s="1741">
        <v>12398993143.200001</v>
      </c>
      <c r="D41" s="1741">
        <v>1980154133.9399996</v>
      </c>
      <c r="E41" s="1741">
        <v>4238455038.8400574</v>
      </c>
      <c r="F41" s="1741">
        <f t="shared" si="0"/>
        <v>18617602315.980057</v>
      </c>
      <c r="G41" s="1741"/>
    </row>
    <row r="42" spans="1:7" ht="16">
      <c r="A42" s="1740">
        <v>38</v>
      </c>
      <c r="B42" s="1741" t="s">
        <v>1411</v>
      </c>
      <c r="C42" s="1741">
        <v>7537320288</v>
      </c>
      <c r="D42" s="1741">
        <v>1150667551.98</v>
      </c>
      <c r="E42" s="1741">
        <v>2859384047.9980984</v>
      </c>
      <c r="F42" s="1741">
        <f t="shared" si="0"/>
        <v>11547371887.978098</v>
      </c>
      <c r="G42" s="1741"/>
    </row>
    <row r="43" spans="1:7" s="1747" customFormat="1" ht="16">
      <c r="A43" s="1744" t="s">
        <v>14</v>
      </c>
      <c r="B43" s="1745"/>
      <c r="C43" s="1746">
        <f>SUM(C5:C42)</f>
        <v>117115507932.23999</v>
      </c>
      <c r="D43" s="1746">
        <f>SUM(D5:D42)</f>
        <v>18049967764.190399</v>
      </c>
      <c r="E43" s="1746">
        <f>SUM(E5:E42)</f>
        <v>59258622070.236641</v>
      </c>
      <c r="F43" s="1746">
        <f>SUM(F5:F42)</f>
        <v>194424097766.66705</v>
      </c>
      <c r="G43" s="1746"/>
    </row>
  </sheetData>
  <mergeCells count="4">
    <mergeCell ref="A1:B1"/>
    <mergeCell ref="A2:B2"/>
    <mergeCell ref="A43:B43"/>
    <mergeCell ref="A3:G3"/>
  </mergeCells>
  <pageMargins left="0.43307086614173229" right="0.35433070866141736" top="0.47244094488188981" bottom="0.35433070866141736" header="0.48" footer="0.27559055118110237"/>
  <pageSetup paperSize="9" scale="90"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42"/>
  <sheetViews>
    <sheetView topLeftCell="A7" workbookViewId="0">
      <selection sqref="A1:XFD1048576"/>
    </sheetView>
  </sheetViews>
  <sheetFormatPr baseColWidth="10" defaultRowHeight="13"/>
  <cols>
    <col min="1" max="1" width="5.6640625" customWidth="1"/>
    <col min="2" max="2" width="34.5" customWidth="1"/>
    <col min="3" max="4" width="9.1640625" customWidth="1"/>
    <col min="5" max="5" width="11.5" customWidth="1"/>
    <col min="6" max="6" width="14.664062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4.664062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4.664062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4.664062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4.664062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4.664062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4.664062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4.664062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4.664062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4.664062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4.664062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4.664062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4.664062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4.664062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4.664062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4.664062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4.664062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4.664062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4.664062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4.664062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4.664062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4.664062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4.664062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4.664062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4.664062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4.664062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4.664062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4.664062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4.664062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4.664062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4.664062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4.664062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4.664062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4.664062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4.664062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4.664062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4.664062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4.664062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4.664062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4.664062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4.664062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4.664062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4.664062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4.664062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4.664062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4.664062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4.664062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4.664062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4.664062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4.664062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4.664062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4.664062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4.664062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4.664062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4.664062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4.664062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4.664062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4.664062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4.664062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4.664062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4.664062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4.664062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4.664062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4.664062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661" t="s">
        <v>1014</v>
      </c>
      <c r="B4" s="1661"/>
      <c r="C4" s="1661"/>
      <c r="D4" s="1661"/>
      <c r="E4" s="1661"/>
      <c r="F4" s="1661"/>
      <c r="G4" s="1661"/>
    </row>
    <row r="5" spans="1:9" ht="16">
      <c r="A5" s="1102"/>
      <c r="B5" s="1103"/>
      <c r="C5" s="1104"/>
      <c r="E5" s="1105"/>
      <c r="F5" s="1106"/>
      <c r="G5" s="1107" t="s">
        <v>1015</v>
      </c>
    </row>
    <row r="6" spans="1:9" ht="30">
      <c r="A6" s="1108" t="s">
        <v>51</v>
      </c>
      <c r="B6" s="1109" t="s">
        <v>1016</v>
      </c>
      <c r="C6" s="1109" t="s">
        <v>1</v>
      </c>
      <c r="D6" s="1109" t="s">
        <v>373</v>
      </c>
      <c r="E6" s="1110" t="s">
        <v>28</v>
      </c>
      <c r="F6" s="1111" t="s">
        <v>1017</v>
      </c>
      <c r="G6" s="1108" t="s">
        <v>2</v>
      </c>
    </row>
    <row r="7" spans="1:9" ht="16">
      <c r="A7" s="1109" t="s">
        <v>7</v>
      </c>
      <c r="B7" s="1112" t="s">
        <v>1018</v>
      </c>
      <c r="C7" s="1113"/>
      <c r="D7" s="1113"/>
      <c r="E7" s="1114"/>
      <c r="F7" s="1115">
        <v>58500000</v>
      </c>
      <c r="G7" s="1116"/>
    </row>
    <row r="8" spans="1:9" ht="16">
      <c r="A8" s="1113">
        <v>1</v>
      </c>
      <c r="B8" s="1117" t="s">
        <v>1019</v>
      </c>
      <c r="C8" s="1113" t="s">
        <v>1020</v>
      </c>
      <c r="D8" s="1113">
        <v>1300</v>
      </c>
      <c r="E8" s="1114">
        <v>25000</v>
      </c>
      <c r="F8" s="1118">
        <v>32500000</v>
      </c>
      <c r="G8" s="1119" t="s">
        <v>1021</v>
      </c>
    </row>
    <row r="9" spans="1:9" ht="16">
      <c r="A9" s="1120">
        <v>2</v>
      </c>
      <c r="B9" s="1117" t="s">
        <v>1022</v>
      </c>
      <c r="C9" s="1113" t="s">
        <v>1020</v>
      </c>
      <c r="D9" s="1113">
        <v>1040</v>
      </c>
      <c r="E9" s="1114">
        <v>25000</v>
      </c>
      <c r="F9" s="1118">
        <f>D9*E9</f>
        <v>26000000</v>
      </c>
      <c r="G9" s="1119" t="s">
        <v>1023</v>
      </c>
    </row>
    <row r="10" spans="1:9" ht="16">
      <c r="A10" s="1121" t="s">
        <v>8</v>
      </c>
      <c r="B10" s="1112" t="s">
        <v>1024</v>
      </c>
      <c r="C10" s="1113"/>
      <c r="D10" s="1113"/>
      <c r="E10" s="1114"/>
      <c r="F10" s="1115">
        <v>38284000</v>
      </c>
      <c r="G10" s="1122"/>
      <c r="I10" s="2"/>
    </row>
    <row r="11" spans="1:9" ht="16">
      <c r="A11" s="1113">
        <v>1</v>
      </c>
      <c r="B11" s="1117" t="s">
        <v>1025</v>
      </c>
      <c r="C11" s="1113" t="s">
        <v>1020</v>
      </c>
      <c r="D11" s="1113">
        <v>240</v>
      </c>
      <c r="E11" s="1114">
        <v>25000</v>
      </c>
      <c r="F11" s="1118">
        <v>14000000</v>
      </c>
      <c r="G11" s="1123" t="s">
        <v>1026</v>
      </c>
    </row>
    <row r="12" spans="1:9" ht="16">
      <c r="A12" s="1108">
        <v>2</v>
      </c>
      <c r="B12" s="1117" t="s">
        <v>1027</v>
      </c>
      <c r="C12" s="1113" t="s">
        <v>1020</v>
      </c>
      <c r="D12" s="1113">
        <v>288</v>
      </c>
      <c r="E12" s="1114">
        <v>22000</v>
      </c>
      <c r="F12" s="1118">
        <v>14784000</v>
      </c>
      <c r="G12" s="1123" t="s">
        <v>1028</v>
      </c>
    </row>
    <row r="13" spans="1:9" ht="16">
      <c r="A13" s="1113">
        <v>3</v>
      </c>
      <c r="B13" s="1117" t="s">
        <v>1029</v>
      </c>
      <c r="C13" s="1113" t="s">
        <v>1020</v>
      </c>
      <c r="D13" s="1113">
        <v>48</v>
      </c>
      <c r="E13" s="1114">
        <v>25000</v>
      </c>
      <c r="F13" s="1118">
        <v>2800000</v>
      </c>
      <c r="G13" s="1123" t="s">
        <v>1030</v>
      </c>
    </row>
    <row r="14" spans="1:9" ht="16">
      <c r="A14" s="1113">
        <v>4</v>
      </c>
      <c r="B14" s="1117" t="s">
        <v>1031</v>
      </c>
      <c r="C14" s="1113" t="s">
        <v>1032</v>
      </c>
      <c r="D14" s="1113">
        <v>6</v>
      </c>
      <c r="E14" s="1114">
        <v>300000</v>
      </c>
      <c r="F14" s="1118">
        <f t="shared" ref="F14:F33" si="0">D14*E14</f>
        <v>1800000</v>
      </c>
      <c r="G14" s="1123" t="s">
        <v>1033</v>
      </c>
    </row>
    <row r="15" spans="1:9" ht="16">
      <c r="A15" s="1113">
        <v>5</v>
      </c>
      <c r="B15" s="1117" t="s">
        <v>1034</v>
      </c>
      <c r="C15" s="1113" t="s">
        <v>370</v>
      </c>
      <c r="D15" s="1113">
        <v>12</v>
      </c>
      <c r="E15" s="1114">
        <v>100000</v>
      </c>
      <c r="F15" s="1118">
        <v>2800000</v>
      </c>
      <c r="G15" s="1123" t="s">
        <v>1035</v>
      </c>
    </row>
    <row r="16" spans="1:9" ht="16">
      <c r="A16" s="1113">
        <v>6</v>
      </c>
      <c r="B16" s="1117" t="s">
        <v>786</v>
      </c>
      <c r="C16" s="1113" t="s">
        <v>1032</v>
      </c>
      <c r="D16" s="1113">
        <v>6</v>
      </c>
      <c r="E16" s="1114">
        <v>200000</v>
      </c>
      <c r="F16" s="1118">
        <f t="shared" si="0"/>
        <v>1200000</v>
      </c>
      <c r="G16" s="1123" t="s">
        <v>1036</v>
      </c>
    </row>
    <row r="17" spans="1:7" ht="16">
      <c r="A17" s="1113">
        <v>7</v>
      </c>
      <c r="B17" s="1117" t="s">
        <v>1037</v>
      </c>
      <c r="C17" s="1113" t="s">
        <v>1032</v>
      </c>
      <c r="D17" s="1113">
        <v>6</v>
      </c>
      <c r="E17" s="1114">
        <v>150000</v>
      </c>
      <c r="F17" s="1118">
        <f t="shared" si="0"/>
        <v>900000</v>
      </c>
      <c r="G17" s="1123" t="s">
        <v>1038</v>
      </c>
    </row>
    <row r="18" spans="1:7" ht="16">
      <c r="A18" s="1108" t="s">
        <v>25</v>
      </c>
      <c r="B18" s="1112" t="s">
        <v>1039</v>
      </c>
      <c r="C18" s="1124"/>
      <c r="D18" s="1124"/>
      <c r="E18" s="1125"/>
      <c r="F18" s="1115">
        <v>1800000</v>
      </c>
      <c r="G18" s="1126"/>
    </row>
    <row r="19" spans="1:7" ht="16">
      <c r="A19" s="1113">
        <v>1</v>
      </c>
      <c r="B19" s="1117" t="s">
        <v>1040</v>
      </c>
      <c r="C19" s="1113" t="s">
        <v>1032</v>
      </c>
      <c r="D19" s="1113">
        <v>6</v>
      </c>
      <c r="E19" s="1114">
        <v>200000</v>
      </c>
      <c r="F19" s="1118">
        <f t="shared" si="0"/>
        <v>1200000</v>
      </c>
      <c r="G19" s="1123" t="s">
        <v>1036</v>
      </c>
    </row>
    <row r="20" spans="1:7" ht="16">
      <c r="A20" s="1113">
        <v>2</v>
      </c>
      <c r="B20" s="1127" t="s">
        <v>1041</v>
      </c>
      <c r="C20" s="1128" t="s">
        <v>1042</v>
      </c>
      <c r="D20" s="1128">
        <v>2</v>
      </c>
      <c r="E20" s="1081">
        <v>300000</v>
      </c>
      <c r="F20" s="1118">
        <f t="shared" si="0"/>
        <v>600000</v>
      </c>
      <c r="G20" s="1129" t="s">
        <v>1043</v>
      </c>
    </row>
    <row r="21" spans="1:7" ht="16">
      <c r="A21" s="1108" t="s">
        <v>36</v>
      </c>
      <c r="B21" s="1130" t="s">
        <v>1044</v>
      </c>
      <c r="C21" s="1131"/>
      <c r="D21" s="1113"/>
      <c r="E21" s="1114"/>
      <c r="F21" s="1115">
        <v>2800000</v>
      </c>
      <c r="G21" s="1123"/>
    </row>
    <row r="22" spans="1:7" ht="16">
      <c r="A22" s="1113">
        <v>1</v>
      </c>
      <c r="B22" s="1117" t="s">
        <v>1045</v>
      </c>
      <c r="C22" s="1113" t="s">
        <v>1042</v>
      </c>
      <c r="D22" s="1113">
        <v>130</v>
      </c>
      <c r="E22" s="1114">
        <v>10000</v>
      </c>
      <c r="F22" s="1118">
        <f t="shared" si="0"/>
        <v>1300000</v>
      </c>
      <c r="G22" s="1123" t="s">
        <v>1046</v>
      </c>
    </row>
    <row r="23" spans="1:7" ht="16">
      <c r="A23" s="1113">
        <v>2</v>
      </c>
      <c r="B23" s="1117" t="s">
        <v>1047</v>
      </c>
      <c r="C23" s="1113"/>
      <c r="D23" s="1113"/>
      <c r="E23" s="1114"/>
      <c r="F23" s="1132">
        <v>1500000</v>
      </c>
      <c r="G23" s="1123"/>
    </row>
    <row r="24" spans="1:7" ht="16">
      <c r="A24" s="1113"/>
      <c r="B24" s="1117" t="s">
        <v>1048</v>
      </c>
      <c r="C24" s="1113" t="s">
        <v>1032</v>
      </c>
      <c r="D24" s="1113">
        <v>6</v>
      </c>
      <c r="E24" s="1114">
        <v>150000</v>
      </c>
      <c r="F24" s="1118">
        <f t="shared" si="0"/>
        <v>900000</v>
      </c>
      <c r="G24" s="1123" t="s">
        <v>1038</v>
      </c>
    </row>
    <row r="25" spans="1:7" ht="16">
      <c r="A25" s="1113"/>
      <c r="B25" s="1117" t="s">
        <v>1049</v>
      </c>
      <c r="C25" s="1113" t="s">
        <v>1032</v>
      </c>
      <c r="D25" s="1113">
        <v>6</v>
      </c>
      <c r="E25" s="1114">
        <v>100000</v>
      </c>
      <c r="F25" s="1118">
        <f t="shared" si="0"/>
        <v>600000</v>
      </c>
      <c r="G25" s="1123" t="s">
        <v>1050</v>
      </c>
    </row>
    <row r="26" spans="1:7" ht="42">
      <c r="A26" s="1113" t="s">
        <v>40</v>
      </c>
      <c r="B26" s="1133" t="s">
        <v>1051</v>
      </c>
      <c r="C26" s="1133"/>
      <c r="D26" s="1133"/>
      <c r="E26" s="1133"/>
      <c r="F26" s="1115">
        <v>14800000</v>
      </c>
      <c r="G26" s="1134"/>
    </row>
    <row r="27" spans="1:7" ht="16">
      <c r="A27" s="1113">
        <v>1</v>
      </c>
      <c r="B27" s="1135" t="s">
        <v>1052</v>
      </c>
      <c r="C27" s="1113"/>
      <c r="D27" s="1113"/>
      <c r="E27" s="1114"/>
      <c r="F27" s="1132">
        <v>1100000</v>
      </c>
      <c r="G27" s="1123"/>
    </row>
    <row r="28" spans="1:7" ht="16">
      <c r="A28" s="1113"/>
      <c r="B28" s="1117" t="s">
        <v>1053</v>
      </c>
      <c r="C28" s="1113" t="s">
        <v>1054</v>
      </c>
      <c r="D28" s="1113">
        <v>1</v>
      </c>
      <c r="E28" s="1114">
        <v>500000</v>
      </c>
      <c r="F28" s="1118">
        <f t="shared" si="0"/>
        <v>500000</v>
      </c>
      <c r="G28" s="1123" t="s">
        <v>1055</v>
      </c>
    </row>
    <row r="29" spans="1:7" ht="16">
      <c r="A29" s="1113"/>
      <c r="B29" s="1117" t="s">
        <v>1056</v>
      </c>
      <c r="C29" s="1113" t="s">
        <v>1057</v>
      </c>
      <c r="D29" s="1113">
        <v>6</v>
      </c>
      <c r="E29" s="1114">
        <v>100000</v>
      </c>
      <c r="F29" s="1118">
        <f t="shared" si="0"/>
        <v>600000</v>
      </c>
      <c r="G29" s="1123" t="s">
        <v>1058</v>
      </c>
    </row>
    <row r="30" spans="1:7" ht="16">
      <c r="A30" s="1113">
        <v>2</v>
      </c>
      <c r="B30" s="1135" t="s">
        <v>1059</v>
      </c>
      <c r="C30" s="1113"/>
      <c r="D30" s="1113"/>
      <c r="E30" s="1114"/>
      <c r="F30" s="1132">
        <v>12900000</v>
      </c>
      <c r="G30" s="1123"/>
    </row>
    <row r="31" spans="1:7" ht="16">
      <c r="A31" s="1113"/>
      <c r="B31" s="1117"/>
      <c r="C31" s="1113" t="s">
        <v>1042</v>
      </c>
      <c r="D31" s="1113">
        <v>108</v>
      </c>
      <c r="E31" s="1114">
        <v>50000</v>
      </c>
      <c r="F31" s="1118">
        <f t="shared" si="0"/>
        <v>5400000</v>
      </c>
      <c r="G31" s="1123" t="s">
        <v>1060</v>
      </c>
    </row>
    <row r="32" spans="1:7" ht="16">
      <c r="A32" s="1113"/>
      <c r="B32" s="1117"/>
      <c r="C32" s="1113" t="s">
        <v>1042</v>
      </c>
      <c r="D32" s="1113">
        <v>90</v>
      </c>
      <c r="E32" s="1114">
        <v>50000</v>
      </c>
      <c r="F32" s="1118">
        <f t="shared" si="0"/>
        <v>4500000</v>
      </c>
      <c r="G32" s="1123" t="s">
        <v>1061</v>
      </c>
    </row>
    <row r="33" spans="1:7" ht="16">
      <c r="A33" s="1128"/>
      <c r="B33" s="1136"/>
      <c r="C33" s="1113" t="s">
        <v>1054</v>
      </c>
      <c r="D33" s="1120">
        <v>6</v>
      </c>
      <c r="E33" s="1137">
        <v>500000</v>
      </c>
      <c r="F33" s="1118">
        <f t="shared" si="0"/>
        <v>3000000</v>
      </c>
      <c r="G33" s="1123" t="s">
        <v>1062</v>
      </c>
    </row>
    <row r="34" spans="1:7" ht="16">
      <c r="A34" s="1113"/>
      <c r="B34" s="1138" t="s">
        <v>14</v>
      </c>
      <c r="C34" s="1113"/>
      <c r="D34" s="1113"/>
      <c r="E34" s="1114"/>
      <c r="F34" s="1115">
        <v>124054000</v>
      </c>
      <c r="G34" s="1139"/>
    </row>
    <row r="35" spans="1:7">
      <c r="B35" s="1140" t="s">
        <v>1063</v>
      </c>
      <c r="F35" s="1141"/>
      <c r="G35" s="1142"/>
    </row>
    <row r="36" spans="1:7" ht="16">
      <c r="F36" s="1143" t="s">
        <v>1064</v>
      </c>
      <c r="G36" s="1143" t="s">
        <v>1065</v>
      </c>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1067</v>
      </c>
    </row>
  </sheetData>
  <mergeCells count="6">
    <mergeCell ref="A38:G38"/>
    <mergeCell ref="A1:B1"/>
    <mergeCell ref="C1:F1"/>
    <mergeCell ref="A2:B2"/>
    <mergeCell ref="C2:F2"/>
    <mergeCell ref="A4:G4"/>
  </mergeCells>
  <pageMargins left="0.75" right="0.75" top="1" bottom="1" header="0.5" footer="0.5"/>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3877F-780F-C049-AA8D-17F96D18B4E0}">
  <dimension ref="A1:J46"/>
  <sheetViews>
    <sheetView workbookViewId="0">
      <selection activeCell="H11" sqref="H11"/>
    </sheetView>
  </sheetViews>
  <sheetFormatPr baseColWidth="10" defaultColWidth="9" defaultRowHeight="16"/>
  <cols>
    <col min="1" max="1" width="6" style="1159" customWidth="1"/>
    <col min="2" max="2" width="39" style="1159" customWidth="1"/>
    <col min="3" max="3" width="8.83203125" style="1245" customWidth="1"/>
    <col min="4" max="4" width="8.5" style="1245" customWidth="1"/>
    <col min="5" max="5" width="7.1640625" style="1246" bestFit="1" customWidth="1"/>
    <col min="6" max="6" width="12" style="1246" customWidth="1"/>
    <col min="7" max="7" width="7.5" style="1247" bestFit="1" customWidth="1"/>
    <col min="8" max="8" width="15.6640625" style="1246" customWidth="1"/>
    <col min="9" max="9" width="30" style="1159" customWidth="1"/>
    <col min="10" max="10" width="16.83203125" style="1159" customWidth="1"/>
    <col min="11" max="256" width="9" style="1159"/>
    <col min="257" max="257" width="6" style="1159" customWidth="1"/>
    <col min="258" max="258" width="39" style="1159" customWidth="1"/>
    <col min="259" max="259" width="8.83203125" style="1159" customWidth="1"/>
    <col min="260" max="260" width="8.5" style="1159" customWidth="1"/>
    <col min="261" max="261" width="7.1640625" style="1159" bestFit="1" customWidth="1"/>
    <col min="262" max="262" width="12" style="1159" customWidth="1"/>
    <col min="263" max="263" width="7.5" style="1159" bestFit="1" customWidth="1"/>
    <col min="264" max="264" width="15.6640625" style="1159" customWidth="1"/>
    <col min="265" max="265" width="30" style="1159" customWidth="1"/>
    <col min="266" max="266" width="16.83203125" style="1159" customWidth="1"/>
    <col min="267" max="512" width="9" style="1159"/>
    <col min="513" max="513" width="6" style="1159" customWidth="1"/>
    <col min="514" max="514" width="39" style="1159" customWidth="1"/>
    <col min="515" max="515" width="8.83203125" style="1159" customWidth="1"/>
    <col min="516" max="516" width="8.5" style="1159" customWidth="1"/>
    <col min="517" max="517" width="7.1640625" style="1159" bestFit="1" customWidth="1"/>
    <col min="518" max="518" width="12" style="1159" customWidth="1"/>
    <col min="519" max="519" width="7.5" style="1159" bestFit="1" customWidth="1"/>
    <col min="520" max="520" width="15.6640625" style="1159" customWidth="1"/>
    <col min="521" max="521" width="30" style="1159" customWidth="1"/>
    <col min="522" max="522" width="16.83203125" style="1159" customWidth="1"/>
    <col min="523" max="768" width="9" style="1159"/>
    <col min="769" max="769" width="6" style="1159" customWidth="1"/>
    <col min="770" max="770" width="39" style="1159" customWidth="1"/>
    <col min="771" max="771" width="8.83203125" style="1159" customWidth="1"/>
    <col min="772" max="772" width="8.5" style="1159" customWidth="1"/>
    <col min="773" max="773" width="7.1640625" style="1159" bestFit="1" customWidth="1"/>
    <col min="774" max="774" width="12" style="1159" customWidth="1"/>
    <col min="775" max="775" width="7.5" style="1159" bestFit="1" customWidth="1"/>
    <col min="776" max="776" width="15.6640625" style="1159" customWidth="1"/>
    <col min="777" max="777" width="30" style="1159" customWidth="1"/>
    <col min="778" max="778" width="16.83203125" style="1159" customWidth="1"/>
    <col min="779" max="1024" width="9" style="1159"/>
    <col min="1025" max="1025" width="6" style="1159" customWidth="1"/>
    <col min="1026" max="1026" width="39" style="1159" customWidth="1"/>
    <col min="1027" max="1027" width="8.83203125" style="1159" customWidth="1"/>
    <col min="1028" max="1028" width="8.5" style="1159" customWidth="1"/>
    <col min="1029" max="1029" width="7.1640625" style="1159" bestFit="1" customWidth="1"/>
    <col min="1030" max="1030" width="12" style="1159" customWidth="1"/>
    <col min="1031" max="1031" width="7.5" style="1159" bestFit="1" customWidth="1"/>
    <col min="1032" max="1032" width="15.6640625" style="1159" customWidth="1"/>
    <col min="1033" max="1033" width="30" style="1159" customWidth="1"/>
    <col min="1034" max="1034" width="16.83203125" style="1159" customWidth="1"/>
    <col min="1035" max="1280" width="9" style="1159"/>
    <col min="1281" max="1281" width="6" style="1159" customWidth="1"/>
    <col min="1282" max="1282" width="39" style="1159" customWidth="1"/>
    <col min="1283" max="1283" width="8.83203125" style="1159" customWidth="1"/>
    <col min="1284" max="1284" width="8.5" style="1159" customWidth="1"/>
    <col min="1285" max="1285" width="7.1640625" style="1159" bestFit="1" customWidth="1"/>
    <col min="1286" max="1286" width="12" style="1159" customWidth="1"/>
    <col min="1287" max="1287" width="7.5" style="1159" bestFit="1" customWidth="1"/>
    <col min="1288" max="1288" width="15.6640625" style="1159" customWidth="1"/>
    <col min="1289" max="1289" width="30" style="1159" customWidth="1"/>
    <col min="1290" max="1290" width="16.83203125" style="1159" customWidth="1"/>
    <col min="1291" max="1536" width="9" style="1159"/>
    <col min="1537" max="1537" width="6" style="1159" customWidth="1"/>
    <col min="1538" max="1538" width="39" style="1159" customWidth="1"/>
    <col min="1539" max="1539" width="8.83203125" style="1159" customWidth="1"/>
    <col min="1540" max="1540" width="8.5" style="1159" customWidth="1"/>
    <col min="1541" max="1541" width="7.1640625" style="1159" bestFit="1" customWidth="1"/>
    <col min="1542" max="1542" width="12" style="1159" customWidth="1"/>
    <col min="1543" max="1543" width="7.5" style="1159" bestFit="1" customWidth="1"/>
    <col min="1544" max="1544" width="15.6640625" style="1159" customWidth="1"/>
    <col min="1545" max="1545" width="30" style="1159" customWidth="1"/>
    <col min="1546" max="1546" width="16.83203125" style="1159" customWidth="1"/>
    <col min="1547" max="1792" width="9" style="1159"/>
    <col min="1793" max="1793" width="6" style="1159" customWidth="1"/>
    <col min="1794" max="1794" width="39" style="1159" customWidth="1"/>
    <col min="1795" max="1795" width="8.83203125" style="1159" customWidth="1"/>
    <col min="1796" max="1796" width="8.5" style="1159" customWidth="1"/>
    <col min="1797" max="1797" width="7.1640625" style="1159" bestFit="1" customWidth="1"/>
    <col min="1798" max="1798" width="12" style="1159" customWidth="1"/>
    <col min="1799" max="1799" width="7.5" style="1159" bestFit="1" customWidth="1"/>
    <col min="1800" max="1800" width="15.6640625" style="1159" customWidth="1"/>
    <col min="1801" max="1801" width="30" style="1159" customWidth="1"/>
    <col min="1802" max="1802" width="16.83203125" style="1159" customWidth="1"/>
    <col min="1803" max="2048" width="9" style="1159"/>
    <col min="2049" max="2049" width="6" style="1159" customWidth="1"/>
    <col min="2050" max="2050" width="39" style="1159" customWidth="1"/>
    <col min="2051" max="2051" width="8.83203125" style="1159" customWidth="1"/>
    <col min="2052" max="2052" width="8.5" style="1159" customWidth="1"/>
    <col min="2053" max="2053" width="7.1640625" style="1159" bestFit="1" customWidth="1"/>
    <col min="2054" max="2054" width="12" style="1159" customWidth="1"/>
    <col min="2055" max="2055" width="7.5" style="1159" bestFit="1" customWidth="1"/>
    <col min="2056" max="2056" width="15.6640625" style="1159" customWidth="1"/>
    <col min="2057" max="2057" width="30" style="1159" customWidth="1"/>
    <col min="2058" max="2058" width="16.83203125" style="1159" customWidth="1"/>
    <col min="2059" max="2304" width="9" style="1159"/>
    <col min="2305" max="2305" width="6" style="1159" customWidth="1"/>
    <col min="2306" max="2306" width="39" style="1159" customWidth="1"/>
    <col min="2307" max="2307" width="8.83203125" style="1159" customWidth="1"/>
    <col min="2308" max="2308" width="8.5" style="1159" customWidth="1"/>
    <col min="2309" max="2309" width="7.1640625" style="1159" bestFit="1" customWidth="1"/>
    <col min="2310" max="2310" width="12" style="1159" customWidth="1"/>
    <col min="2311" max="2311" width="7.5" style="1159" bestFit="1" customWidth="1"/>
    <col min="2312" max="2312" width="15.6640625" style="1159" customWidth="1"/>
    <col min="2313" max="2313" width="30" style="1159" customWidth="1"/>
    <col min="2314" max="2314" width="16.83203125" style="1159" customWidth="1"/>
    <col min="2315" max="2560" width="9" style="1159"/>
    <col min="2561" max="2561" width="6" style="1159" customWidth="1"/>
    <col min="2562" max="2562" width="39" style="1159" customWidth="1"/>
    <col min="2563" max="2563" width="8.83203125" style="1159" customWidth="1"/>
    <col min="2564" max="2564" width="8.5" style="1159" customWidth="1"/>
    <col min="2565" max="2565" width="7.1640625" style="1159" bestFit="1" customWidth="1"/>
    <col min="2566" max="2566" width="12" style="1159" customWidth="1"/>
    <col min="2567" max="2567" width="7.5" style="1159" bestFit="1" customWidth="1"/>
    <col min="2568" max="2568" width="15.6640625" style="1159" customWidth="1"/>
    <col min="2569" max="2569" width="30" style="1159" customWidth="1"/>
    <col min="2570" max="2570" width="16.83203125" style="1159" customWidth="1"/>
    <col min="2571" max="2816" width="9" style="1159"/>
    <col min="2817" max="2817" width="6" style="1159" customWidth="1"/>
    <col min="2818" max="2818" width="39" style="1159" customWidth="1"/>
    <col min="2819" max="2819" width="8.83203125" style="1159" customWidth="1"/>
    <col min="2820" max="2820" width="8.5" style="1159" customWidth="1"/>
    <col min="2821" max="2821" width="7.1640625" style="1159" bestFit="1" customWidth="1"/>
    <col min="2822" max="2822" width="12" style="1159" customWidth="1"/>
    <col min="2823" max="2823" width="7.5" style="1159" bestFit="1" customWidth="1"/>
    <col min="2824" max="2824" width="15.6640625" style="1159" customWidth="1"/>
    <col min="2825" max="2825" width="30" style="1159" customWidth="1"/>
    <col min="2826" max="2826" width="16.83203125" style="1159" customWidth="1"/>
    <col min="2827" max="3072" width="9" style="1159"/>
    <col min="3073" max="3073" width="6" style="1159" customWidth="1"/>
    <col min="3074" max="3074" width="39" style="1159" customWidth="1"/>
    <col min="3075" max="3075" width="8.83203125" style="1159" customWidth="1"/>
    <col min="3076" max="3076" width="8.5" style="1159" customWidth="1"/>
    <col min="3077" max="3077" width="7.1640625" style="1159" bestFit="1" customWidth="1"/>
    <col min="3078" max="3078" width="12" style="1159" customWidth="1"/>
    <col min="3079" max="3079" width="7.5" style="1159" bestFit="1" customWidth="1"/>
    <col min="3080" max="3080" width="15.6640625" style="1159" customWidth="1"/>
    <col min="3081" max="3081" width="30" style="1159" customWidth="1"/>
    <col min="3082" max="3082" width="16.83203125" style="1159" customWidth="1"/>
    <col min="3083" max="3328" width="9" style="1159"/>
    <col min="3329" max="3329" width="6" style="1159" customWidth="1"/>
    <col min="3330" max="3330" width="39" style="1159" customWidth="1"/>
    <col min="3331" max="3331" width="8.83203125" style="1159" customWidth="1"/>
    <col min="3332" max="3332" width="8.5" style="1159" customWidth="1"/>
    <col min="3333" max="3333" width="7.1640625" style="1159" bestFit="1" customWidth="1"/>
    <col min="3334" max="3334" width="12" style="1159" customWidth="1"/>
    <col min="3335" max="3335" width="7.5" style="1159" bestFit="1" customWidth="1"/>
    <col min="3336" max="3336" width="15.6640625" style="1159" customWidth="1"/>
    <col min="3337" max="3337" width="30" style="1159" customWidth="1"/>
    <col min="3338" max="3338" width="16.83203125" style="1159" customWidth="1"/>
    <col min="3339" max="3584" width="9" style="1159"/>
    <col min="3585" max="3585" width="6" style="1159" customWidth="1"/>
    <col min="3586" max="3586" width="39" style="1159" customWidth="1"/>
    <col min="3587" max="3587" width="8.83203125" style="1159" customWidth="1"/>
    <col min="3588" max="3588" width="8.5" style="1159" customWidth="1"/>
    <col min="3589" max="3589" width="7.1640625" style="1159" bestFit="1" customWidth="1"/>
    <col min="3590" max="3590" width="12" style="1159" customWidth="1"/>
    <col min="3591" max="3591" width="7.5" style="1159" bestFit="1" customWidth="1"/>
    <col min="3592" max="3592" width="15.6640625" style="1159" customWidth="1"/>
    <col min="3593" max="3593" width="30" style="1159" customWidth="1"/>
    <col min="3594" max="3594" width="16.83203125" style="1159" customWidth="1"/>
    <col min="3595" max="3840" width="9" style="1159"/>
    <col min="3841" max="3841" width="6" style="1159" customWidth="1"/>
    <col min="3842" max="3842" width="39" style="1159" customWidth="1"/>
    <col min="3843" max="3843" width="8.83203125" style="1159" customWidth="1"/>
    <col min="3844" max="3844" width="8.5" style="1159" customWidth="1"/>
    <col min="3845" max="3845" width="7.1640625" style="1159" bestFit="1" customWidth="1"/>
    <col min="3846" max="3846" width="12" style="1159" customWidth="1"/>
    <col min="3847" max="3847" width="7.5" style="1159" bestFit="1" customWidth="1"/>
    <col min="3848" max="3848" width="15.6640625" style="1159" customWidth="1"/>
    <col min="3849" max="3849" width="30" style="1159" customWidth="1"/>
    <col min="3850" max="3850" width="16.83203125" style="1159" customWidth="1"/>
    <col min="3851" max="4096" width="9" style="1159"/>
    <col min="4097" max="4097" width="6" style="1159" customWidth="1"/>
    <col min="4098" max="4098" width="39" style="1159" customWidth="1"/>
    <col min="4099" max="4099" width="8.83203125" style="1159" customWidth="1"/>
    <col min="4100" max="4100" width="8.5" style="1159" customWidth="1"/>
    <col min="4101" max="4101" width="7.1640625" style="1159" bestFit="1" customWidth="1"/>
    <col min="4102" max="4102" width="12" style="1159" customWidth="1"/>
    <col min="4103" max="4103" width="7.5" style="1159" bestFit="1" customWidth="1"/>
    <col min="4104" max="4104" width="15.6640625" style="1159" customWidth="1"/>
    <col min="4105" max="4105" width="30" style="1159" customWidth="1"/>
    <col min="4106" max="4106" width="16.83203125" style="1159" customWidth="1"/>
    <col min="4107" max="4352" width="9" style="1159"/>
    <col min="4353" max="4353" width="6" style="1159" customWidth="1"/>
    <col min="4354" max="4354" width="39" style="1159" customWidth="1"/>
    <col min="4355" max="4355" width="8.83203125" style="1159" customWidth="1"/>
    <col min="4356" max="4356" width="8.5" style="1159" customWidth="1"/>
    <col min="4357" max="4357" width="7.1640625" style="1159" bestFit="1" customWidth="1"/>
    <col min="4358" max="4358" width="12" style="1159" customWidth="1"/>
    <col min="4359" max="4359" width="7.5" style="1159" bestFit="1" customWidth="1"/>
    <col min="4360" max="4360" width="15.6640625" style="1159" customWidth="1"/>
    <col min="4361" max="4361" width="30" style="1159" customWidth="1"/>
    <col min="4362" max="4362" width="16.83203125" style="1159" customWidth="1"/>
    <col min="4363" max="4608" width="9" style="1159"/>
    <col min="4609" max="4609" width="6" style="1159" customWidth="1"/>
    <col min="4610" max="4610" width="39" style="1159" customWidth="1"/>
    <col min="4611" max="4611" width="8.83203125" style="1159" customWidth="1"/>
    <col min="4612" max="4612" width="8.5" style="1159" customWidth="1"/>
    <col min="4613" max="4613" width="7.1640625" style="1159" bestFit="1" customWidth="1"/>
    <col min="4614" max="4614" width="12" style="1159" customWidth="1"/>
    <col min="4615" max="4615" width="7.5" style="1159" bestFit="1" customWidth="1"/>
    <col min="4616" max="4616" width="15.6640625" style="1159" customWidth="1"/>
    <col min="4617" max="4617" width="30" style="1159" customWidth="1"/>
    <col min="4618" max="4618" width="16.83203125" style="1159" customWidth="1"/>
    <col min="4619" max="4864" width="9" style="1159"/>
    <col min="4865" max="4865" width="6" style="1159" customWidth="1"/>
    <col min="4866" max="4866" width="39" style="1159" customWidth="1"/>
    <col min="4867" max="4867" width="8.83203125" style="1159" customWidth="1"/>
    <col min="4868" max="4868" width="8.5" style="1159" customWidth="1"/>
    <col min="4869" max="4869" width="7.1640625" style="1159" bestFit="1" customWidth="1"/>
    <col min="4870" max="4870" width="12" style="1159" customWidth="1"/>
    <col min="4871" max="4871" width="7.5" style="1159" bestFit="1" customWidth="1"/>
    <col min="4872" max="4872" width="15.6640625" style="1159" customWidth="1"/>
    <col min="4873" max="4873" width="30" style="1159" customWidth="1"/>
    <col min="4874" max="4874" width="16.83203125" style="1159" customWidth="1"/>
    <col min="4875" max="5120" width="9" style="1159"/>
    <col min="5121" max="5121" width="6" style="1159" customWidth="1"/>
    <col min="5122" max="5122" width="39" style="1159" customWidth="1"/>
    <col min="5123" max="5123" width="8.83203125" style="1159" customWidth="1"/>
    <col min="5124" max="5124" width="8.5" style="1159" customWidth="1"/>
    <col min="5125" max="5125" width="7.1640625" style="1159" bestFit="1" customWidth="1"/>
    <col min="5126" max="5126" width="12" style="1159" customWidth="1"/>
    <col min="5127" max="5127" width="7.5" style="1159" bestFit="1" customWidth="1"/>
    <col min="5128" max="5128" width="15.6640625" style="1159" customWidth="1"/>
    <col min="5129" max="5129" width="30" style="1159" customWidth="1"/>
    <col min="5130" max="5130" width="16.83203125" style="1159" customWidth="1"/>
    <col min="5131" max="5376" width="9" style="1159"/>
    <col min="5377" max="5377" width="6" style="1159" customWidth="1"/>
    <col min="5378" max="5378" width="39" style="1159" customWidth="1"/>
    <col min="5379" max="5379" width="8.83203125" style="1159" customWidth="1"/>
    <col min="5380" max="5380" width="8.5" style="1159" customWidth="1"/>
    <col min="5381" max="5381" width="7.1640625" style="1159" bestFit="1" customWidth="1"/>
    <col min="5382" max="5382" width="12" style="1159" customWidth="1"/>
    <col min="5383" max="5383" width="7.5" style="1159" bestFit="1" customWidth="1"/>
    <col min="5384" max="5384" width="15.6640625" style="1159" customWidth="1"/>
    <col min="5385" max="5385" width="30" style="1159" customWidth="1"/>
    <col min="5386" max="5386" width="16.83203125" style="1159" customWidth="1"/>
    <col min="5387" max="5632" width="9" style="1159"/>
    <col min="5633" max="5633" width="6" style="1159" customWidth="1"/>
    <col min="5634" max="5634" width="39" style="1159" customWidth="1"/>
    <col min="5635" max="5635" width="8.83203125" style="1159" customWidth="1"/>
    <col min="5636" max="5636" width="8.5" style="1159" customWidth="1"/>
    <col min="5637" max="5637" width="7.1640625" style="1159" bestFit="1" customWidth="1"/>
    <col min="5638" max="5638" width="12" style="1159" customWidth="1"/>
    <col min="5639" max="5639" width="7.5" style="1159" bestFit="1" customWidth="1"/>
    <col min="5640" max="5640" width="15.6640625" style="1159" customWidth="1"/>
    <col min="5641" max="5641" width="30" style="1159" customWidth="1"/>
    <col min="5642" max="5642" width="16.83203125" style="1159" customWidth="1"/>
    <col min="5643" max="5888" width="9" style="1159"/>
    <col min="5889" max="5889" width="6" style="1159" customWidth="1"/>
    <col min="5890" max="5890" width="39" style="1159" customWidth="1"/>
    <col min="5891" max="5891" width="8.83203125" style="1159" customWidth="1"/>
    <col min="5892" max="5892" width="8.5" style="1159" customWidth="1"/>
    <col min="5893" max="5893" width="7.1640625" style="1159" bestFit="1" customWidth="1"/>
    <col min="5894" max="5894" width="12" style="1159" customWidth="1"/>
    <col min="5895" max="5895" width="7.5" style="1159" bestFit="1" customWidth="1"/>
    <col min="5896" max="5896" width="15.6640625" style="1159" customWidth="1"/>
    <col min="5897" max="5897" width="30" style="1159" customWidth="1"/>
    <col min="5898" max="5898" width="16.83203125" style="1159" customWidth="1"/>
    <col min="5899" max="6144" width="9" style="1159"/>
    <col min="6145" max="6145" width="6" style="1159" customWidth="1"/>
    <col min="6146" max="6146" width="39" style="1159" customWidth="1"/>
    <col min="6147" max="6147" width="8.83203125" style="1159" customWidth="1"/>
    <col min="6148" max="6148" width="8.5" style="1159" customWidth="1"/>
    <col min="6149" max="6149" width="7.1640625" style="1159" bestFit="1" customWidth="1"/>
    <col min="6150" max="6150" width="12" style="1159" customWidth="1"/>
    <col min="6151" max="6151" width="7.5" style="1159" bestFit="1" customWidth="1"/>
    <col min="6152" max="6152" width="15.6640625" style="1159" customWidth="1"/>
    <col min="6153" max="6153" width="30" style="1159" customWidth="1"/>
    <col min="6154" max="6154" width="16.83203125" style="1159" customWidth="1"/>
    <col min="6155" max="6400" width="9" style="1159"/>
    <col min="6401" max="6401" width="6" style="1159" customWidth="1"/>
    <col min="6402" max="6402" width="39" style="1159" customWidth="1"/>
    <col min="6403" max="6403" width="8.83203125" style="1159" customWidth="1"/>
    <col min="6404" max="6404" width="8.5" style="1159" customWidth="1"/>
    <col min="6405" max="6405" width="7.1640625" style="1159" bestFit="1" customWidth="1"/>
    <col min="6406" max="6406" width="12" style="1159" customWidth="1"/>
    <col min="6407" max="6407" width="7.5" style="1159" bestFit="1" customWidth="1"/>
    <col min="6408" max="6408" width="15.6640625" style="1159" customWidth="1"/>
    <col min="6409" max="6409" width="30" style="1159" customWidth="1"/>
    <col min="6410" max="6410" width="16.83203125" style="1159" customWidth="1"/>
    <col min="6411" max="6656" width="9" style="1159"/>
    <col min="6657" max="6657" width="6" style="1159" customWidth="1"/>
    <col min="6658" max="6658" width="39" style="1159" customWidth="1"/>
    <col min="6659" max="6659" width="8.83203125" style="1159" customWidth="1"/>
    <col min="6660" max="6660" width="8.5" style="1159" customWidth="1"/>
    <col min="6661" max="6661" width="7.1640625" style="1159" bestFit="1" customWidth="1"/>
    <col min="6662" max="6662" width="12" style="1159" customWidth="1"/>
    <col min="6663" max="6663" width="7.5" style="1159" bestFit="1" customWidth="1"/>
    <col min="6664" max="6664" width="15.6640625" style="1159" customWidth="1"/>
    <col min="6665" max="6665" width="30" style="1159" customWidth="1"/>
    <col min="6666" max="6666" width="16.83203125" style="1159" customWidth="1"/>
    <col min="6667" max="6912" width="9" style="1159"/>
    <col min="6913" max="6913" width="6" style="1159" customWidth="1"/>
    <col min="6914" max="6914" width="39" style="1159" customWidth="1"/>
    <col min="6915" max="6915" width="8.83203125" style="1159" customWidth="1"/>
    <col min="6916" max="6916" width="8.5" style="1159" customWidth="1"/>
    <col min="6917" max="6917" width="7.1640625" style="1159" bestFit="1" customWidth="1"/>
    <col min="6918" max="6918" width="12" style="1159" customWidth="1"/>
    <col min="6919" max="6919" width="7.5" style="1159" bestFit="1" customWidth="1"/>
    <col min="6920" max="6920" width="15.6640625" style="1159" customWidth="1"/>
    <col min="6921" max="6921" width="30" style="1159" customWidth="1"/>
    <col min="6922" max="6922" width="16.83203125" style="1159" customWidth="1"/>
    <col min="6923" max="7168" width="9" style="1159"/>
    <col min="7169" max="7169" width="6" style="1159" customWidth="1"/>
    <col min="7170" max="7170" width="39" style="1159" customWidth="1"/>
    <col min="7171" max="7171" width="8.83203125" style="1159" customWidth="1"/>
    <col min="7172" max="7172" width="8.5" style="1159" customWidth="1"/>
    <col min="7173" max="7173" width="7.1640625" style="1159" bestFit="1" customWidth="1"/>
    <col min="7174" max="7174" width="12" style="1159" customWidth="1"/>
    <col min="7175" max="7175" width="7.5" style="1159" bestFit="1" customWidth="1"/>
    <col min="7176" max="7176" width="15.6640625" style="1159" customWidth="1"/>
    <col min="7177" max="7177" width="30" style="1159" customWidth="1"/>
    <col min="7178" max="7178" width="16.83203125" style="1159" customWidth="1"/>
    <col min="7179" max="7424" width="9" style="1159"/>
    <col min="7425" max="7425" width="6" style="1159" customWidth="1"/>
    <col min="7426" max="7426" width="39" style="1159" customWidth="1"/>
    <col min="7427" max="7427" width="8.83203125" style="1159" customWidth="1"/>
    <col min="7428" max="7428" width="8.5" style="1159" customWidth="1"/>
    <col min="7429" max="7429" width="7.1640625" style="1159" bestFit="1" customWidth="1"/>
    <col min="7430" max="7430" width="12" style="1159" customWidth="1"/>
    <col min="7431" max="7431" width="7.5" style="1159" bestFit="1" customWidth="1"/>
    <col min="7432" max="7432" width="15.6640625" style="1159" customWidth="1"/>
    <col min="7433" max="7433" width="30" style="1159" customWidth="1"/>
    <col min="7434" max="7434" width="16.83203125" style="1159" customWidth="1"/>
    <col min="7435" max="7680" width="9" style="1159"/>
    <col min="7681" max="7681" width="6" style="1159" customWidth="1"/>
    <col min="7682" max="7682" width="39" style="1159" customWidth="1"/>
    <col min="7683" max="7683" width="8.83203125" style="1159" customWidth="1"/>
    <col min="7684" max="7684" width="8.5" style="1159" customWidth="1"/>
    <col min="7685" max="7685" width="7.1640625" style="1159" bestFit="1" customWidth="1"/>
    <col min="7686" max="7686" width="12" style="1159" customWidth="1"/>
    <col min="7687" max="7687" width="7.5" style="1159" bestFit="1" customWidth="1"/>
    <col min="7688" max="7688" width="15.6640625" style="1159" customWidth="1"/>
    <col min="7689" max="7689" width="30" style="1159" customWidth="1"/>
    <col min="7690" max="7690" width="16.83203125" style="1159" customWidth="1"/>
    <col min="7691" max="7936" width="9" style="1159"/>
    <col min="7937" max="7937" width="6" style="1159" customWidth="1"/>
    <col min="7938" max="7938" width="39" style="1159" customWidth="1"/>
    <col min="7939" max="7939" width="8.83203125" style="1159" customWidth="1"/>
    <col min="7940" max="7940" width="8.5" style="1159" customWidth="1"/>
    <col min="7941" max="7941" width="7.1640625" style="1159" bestFit="1" customWidth="1"/>
    <col min="7942" max="7942" width="12" style="1159" customWidth="1"/>
    <col min="7943" max="7943" width="7.5" style="1159" bestFit="1" customWidth="1"/>
    <col min="7944" max="7944" width="15.6640625" style="1159" customWidth="1"/>
    <col min="7945" max="7945" width="30" style="1159" customWidth="1"/>
    <col min="7946" max="7946" width="16.83203125" style="1159" customWidth="1"/>
    <col min="7947" max="8192" width="9" style="1159"/>
    <col min="8193" max="8193" width="6" style="1159" customWidth="1"/>
    <col min="8194" max="8194" width="39" style="1159" customWidth="1"/>
    <col min="8195" max="8195" width="8.83203125" style="1159" customWidth="1"/>
    <col min="8196" max="8196" width="8.5" style="1159" customWidth="1"/>
    <col min="8197" max="8197" width="7.1640625" style="1159" bestFit="1" customWidth="1"/>
    <col min="8198" max="8198" width="12" style="1159" customWidth="1"/>
    <col min="8199" max="8199" width="7.5" style="1159" bestFit="1" customWidth="1"/>
    <col min="8200" max="8200" width="15.6640625" style="1159" customWidth="1"/>
    <col min="8201" max="8201" width="30" style="1159" customWidth="1"/>
    <col min="8202" max="8202" width="16.83203125" style="1159" customWidth="1"/>
    <col min="8203" max="8448" width="9" style="1159"/>
    <col min="8449" max="8449" width="6" style="1159" customWidth="1"/>
    <col min="8450" max="8450" width="39" style="1159" customWidth="1"/>
    <col min="8451" max="8451" width="8.83203125" style="1159" customWidth="1"/>
    <col min="8452" max="8452" width="8.5" style="1159" customWidth="1"/>
    <col min="8453" max="8453" width="7.1640625" style="1159" bestFit="1" customWidth="1"/>
    <col min="8454" max="8454" width="12" style="1159" customWidth="1"/>
    <col min="8455" max="8455" width="7.5" style="1159" bestFit="1" customWidth="1"/>
    <col min="8456" max="8456" width="15.6640625" style="1159" customWidth="1"/>
    <col min="8457" max="8457" width="30" style="1159" customWidth="1"/>
    <col min="8458" max="8458" width="16.83203125" style="1159" customWidth="1"/>
    <col min="8459" max="8704" width="9" style="1159"/>
    <col min="8705" max="8705" width="6" style="1159" customWidth="1"/>
    <col min="8706" max="8706" width="39" style="1159" customWidth="1"/>
    <col min="8707" max="8707" width="8.83203125" style="1159" customWidth="1"/>
    <col min="8708" max="8708" width="8.5" style="1159" customWidth="1"/>
    <col min="8709" max="8709" width="7.1640625" style="1159" bestFit="1" customWidth="1"/>
    <col min="8710" max="8710" width="12" style="1159" customWidth="1"/>
    <col min="8711" max="8711" width="7.5" style="1159" bestFit="1" customWidth="1"/>
    <col min="8712" max="8712" width="15.6640625" style="1159" customWidth="1"/>
    <col min="8713" max="8713" width="30" style="1159" customWidth="1"/>
    <col min="8714" max="8714" width="16.83203125" style="1159" customWidth="1"/>
    <col min="8715" max="8960" width="9" style="1159"/>
    <col min="8961" max="8961" width="6" style="1159" customWidth="1"/>
    <col min="8962" max="8962" width="39" style="1159" customWidth="1"/>
    <col min="8963" max="8963" width="8.83203125" style="1159" customWidth="1"/>
    <col min="8964" max="8964" width="8.5" style="1159" customWidth="1"/>
    <col min="8965" max="8965" width="7.1640625" style="1159" bestFit="1" customWidth="1"/>
    <col min="8966" max="8966" width="12" style="1159" customWidth="1"/>
    <col min="8967" max="8967" width="7.5" style="1159" bestFit="1" customWidth="1"/>
    <col min="8968" max="8968" width="15.6640625" style="1159" customWidth="1"/>
    <col min="8969" max="8969" width="30" style="1159" customWidth="1"/>
    <col min="8970" max="8970" width="16.83203125" style="1159" customWidth="1"/>
    <col min="8971" max="9216" width="9" style="1159"/>
    <col min="9217" max="9217" width="6" style="1159" customWidth="1"/>
    <col min="9218" max="9218" width="39" style="1159" customWidth="1"/>
    <col min="9219" max="9219" width="8.83203125" style="1159" customWidth="1"/>
    <col min="9220" max="9220" width="8.5" style="1159" customWidth="1"/>
    <col min="9221" max="9221" width="7.1640625" style="1159" bestFit="1" customWidth="1"/>
    <col min="9222" max="9222" width="12" style="1159" customWidth="1"/>
    <col min="9223" max="9223" width="7.5" style="1159" bestFit="1" customWidth="1"/>
    <col min="9224" max="9224" width="15.6640625" style="1159" customWidth="1"/>
    <col min="9225" max="9225" width="30" style="1159" customWidth="1"/>
    <col min="9226" max="9226" width="16.83203125" style="1159" customWidth="1"/>
    <col min="9227" max="9472" width="9" style="1159"/>
    <col min="9473" max="9473" width="6" style="1159" customWidth="1"/>
    <col min="9474" max="9474" width="39" style="1159" customWidth="1"/>
    <col min="9475" max="9475" width="8.83203125" style="1159" customWidth="1"/>
    <col min="9476" max="9476" width="8.5" style="1159" customWidth="1"/>
    <col min="9477" max="9477" width="7.1640625" style="1159" bestFit="1" customWidth="1"/>
    <col min="9478" max="9478" width="12" style="1159" customWidth="1"/>
    <col min="9479" max="9479" width="7.5" style="1159" bestFit="1" customWidth="1"/>
    <col min="9480" max="9480" width="15.6640625" style="1159" customWidth="1"/>
    <col min="9481" max="9481" width="30" style="1159" customWidth="1"/>
    <col min="9482" max="9482" width="16.83203125" style="1159" customWidth="1"/>
    <col min="9483" max="9728" width="9" style="1159"/>
    <col min="9729" max="9729" width="6" style="1159" customWidth="1"/>
    <col min="9730" max="9730" width="39" style="1159" customWidth="1"/>
    <col min="9731" max="9731" width="8.83203125" style="1159" customWidth="1"/>
    <col min="9732" max="9732" width="8.5" style="1159" customWidth="1"/>
    <col min="9733" max="9733" width="7.1640625" style="1159" bestFit="1" customWidth="1"/>
    <col min="9734" max="9734" width="12" style="1159" customWidth="1"/>
    <col min="9735" max="9735" width="7.5" style="1159" bestFit="1" customWidth="1"/>
    <col min="9736" max="9736" width="15.6640625" style="1159" customWidth="1"/>
    <col min="9737" max="9737" width="30" style="1159" customWidth="1"/>
    <col min="9738" max="9738" width="16.83203125" style="1159" customWidth="1"/>
    <col min="9739" max="9984" width="9" style="1159"/>
    <col min="9985" max="9985" width="6" style="1159" customWidth="1"/>
    <col min="9986" max="9986" width="39" style="1159" customWidth="1"/>
    <col min="9987" max="9987" width="8.83203125" style="1159" customWidth="1"/>
    <col min="9988" max="9988" width="8.5" style="1159" customWidth="1"/>
    <col min="9989" max="9989" width="7.1640625" style="1159" bestFit="1" customWidth="1"/>
    <col min="9990" max="9990" width="12" style="1159" customWidth="1"/>
    <col min="9991" max="9991" width="7.5" style="1159" bestFit="1" customWidth="1"/>
    <col min="9992" max="9992" width="15.6640625" style="1159" customWidth="1"/>
    <col min="9993" max="9993" width="30" style="1159" customWidth="1"/>
    <col min="9994" max="9994" width="16.83203125" style="1159" customWidth="1"/>
    <col min="9995" max="10240" width="9" style="1159"/>
    <col min="10241" max="10241" width="6" style="1159" customWidth="1"/>
    <col min="10242" max="10242" width="39" style="1159" customWidth="1"/>
    <col min="10243" max="10243" width="8.83203125" style="1159" customWidth="1"/>
    <col min="10244" max="10244" width="8.5" style="1159" customWidth="1"/>
    <col min="10245" max="10245" width="7.1640625" style="1159" bestFit="1" customWidth="1"/>
    <col min="10246" max="10246" width="12" style="1159" customWidth="1"/>
    <col min="10247" max="10247" width="7.5" style="1159" bestFit="1" customWidth="1"/>
    <col min="10248" max="10248" width="15.6640625" style="1159" customWidth="1"/>
    <col min="10249" max="10249" width="30" style="1159" customWidth="1"/>
    <col min="10250" max="10250" width="16.83203125" style="1159" customWidth="1"/>
    <col min="10251" max="10496" width="9" style="1159"/>
    <col min="10497" max="10497" width="6" style="1159" customWidth="1"/>
    <col min="10498" max="10498" width="39" style="1159" customWidth="1"/>
    <col min="10499" max="10499" width="8.83203125" style="1159" customWidth="1"/>
    <col min="10500" max="10500" width="8.5" style="1159" customWidth="1"/>
    <col min="10501" max="10501" width="7.1640625" style="1159" bestFit="1" customWidth="1"/>
    <col min="10502" max="10502" width="12" style="1159" customWidth="1"/>
    <col min="10503" max="10503" width="7.5" style="1159" bestFit="1" customWidth="1"/>
    <col min="10504" max="10504" width="15.6640625" style="1159" customWidth="1"/>
    <col min="10505" max="10505" width="30" style="1159" customWidth="1"/>
    <col min="10506" max="10506" width="16.83203125" style="1159" customWidth="1"/>
    <col min="10507" max="10752" width="9" style="1159"/>
    <col min="10753" max="10753" width="6" style="1159" customWidth="1"/>
    <col min="10754" max="10754" width="39" style="1159" customWidth="1"/>
    <col min="10755" max="10755" width="8.83203125" style="1159" customWidth="1"/>
    <col min="10756" max="10756" width="8.5" style="1159" customWidth="1"/>
    <col min="10757" max="10757" width="7.1640625" style="1159" bestFit="1" customWidth="1"/>
    <col min="10758" max="10758" width="12" style="1159" customWidth="1"/>
    <col min="10759" max="10759" width="7.5" style="1159" bestFit="1" customWidth="1"/>
    <col min="10760" max="10760" width="15.6640625" style="1159" customWidth="1"/>
    <col min="10761" max="10761" width="30" style="1159" customWidth="1"/>
    <col min="10762" max="10762" width="16.83203125" style="1159" customWidth="1"/>
    <col min="10763" max="11008" width="9" style="1159"/>
    <col min="11009" max="11009" width="6" style="1159" customWidth="1"/>
    <col min="11010" max="11010" width="39" style="1159" customWidth="1"/>
    <col min="11011" max="11011" width="8.83203125" style="1159" customWidth="1"/>
    <col min="11012" max="11012" width="8.5" style="1159" customWidth="1"/>
    <col min="11013" max="11013" width="7.1640625" style="1159" bestFit="1" customWidth="1"/>
    <col min="11014" max="11014" width="12" style="1159" customWidth="1"/>
    <col min="11015" max="11015" width="7.5" style="1159" bestFit="1" customWidth="1"/>
    <col min="11016" max="11016" width="15.6640625" style="1159" customWidth="1"/>
    <col min="11017" max="11017" width="30" style="1159" customWidth="1"/>
    <col min="11018" max="11018" width="16.83203125" style="1159" customWidth="1"/>
    <col min="11019" max="11264" width="9" style="1159"/>
    <col min="11265" max="11265" width="6" style="1159" customWidth="1"/>
    <col min="11266" max="11266" width="39" style="1159" customWidth="1"/>
    <col min="11267" max="11267" width="8.83203125" style="1159" customWidth="1"/>
    <col min="11268" max="11268" width="8.5" style="1159" customWidth="1"/>
    <col min="11269" max="11269" width="7.1640625" style="1159" bestFit="1" customWidth="1"/>
    <col min="11270" max="11270" width="12" style="1159" customWidth="1"/>
    <col min="11271" max="11271" width="7.5" style="1159" bestFit="1" customWidth="1"/>
    <col min="11272" max="11272" width="15.6640625" style="1159" customWidth="1"/>
    <col min="11273" max="11273" width="30" style="1159" customWidth="1"/>
    <col min="11274" max="11274" width="16.83203125" style="1159" customWidth="1"/>
    <col min="11275" max="11520" width="9" style="1159"/>
    <col min="11521" max="11521" width="6" style="1159" customWidth="1"/>
    <col min="11522" max="11522" width="39" style="1159" customWidth="1"/>
    <col min="11523" max="11523" width="8.83203125" style="1159" customWidth="1"/>
    <col min="11524" max="11524" width="8.5" style="1159" customWidth="1"/>
    <col min="11525" max="11525" width="7.1640625" style="1159" bestFit="1" customWidth="1"/>
    <col min="11526" max="11526" width="12" style="1159" customWidth="1"/>
    <col min="11527" max="11527" width="7.5" style="1159" bestFit="1" customWidth="1"/>
    <col min="11528" max="11528" width="15.6640625" style="1159" customWidth="1"/>
    <col min="11529" max="11529" width="30" style="1159" customWidth="1"/>
    <col min="11530" max="11530" width="16.83203125" style="1159" customWidth="1"/>
    <col min="11531" max="11776" width="9" style="1159"/>
    <col min="11777" max="11777" width="6" style="1159" customWidth="1"/>
    <col min="11778" max="11778" width="39" style="1159" customWidth="1"/>
    <col min="11779" max="11779" width="8.83203125" style="1159" customWidth="1"/>
    <col min="11780" max="11780" width="8.5" style="1159" customWidth="1"/>
    <col min="11781" max="11781" width="7.1640625" style="1159" bestFit="1" customWidth="1"/>
    <col min="11782" max="11782" width="12" style="1159" customWidth="1"/>
    <col min="11783" max="11783" width="7.5" style="1159" bestFit="1" customWidth="1"/>
    <col min="11784" max="11784" width="15.6640625" style="1159" customWidth="1"/>
    <col min="11785" max="11785" width="30" style="1159" customWidth="1"/>
    <col min="11786" max="11786" width="16.83203125" style="1159" customWidth="1"/>
    <col min="11787" max="12032" width="9" style="1159"/>
    <col min="12033" max="12033" width="6" style="1159" customWidth="1"/>
    <col min="12034" max="12034" width="39" style="1159" customWidth="1"/>
    <col min="12035" max="12035" width="8.83203125" style="1159" customWidth="1"/>
    <col min="12036" max="12036" width="8.5" style="1159" customWidth="1"/>
    <col min="12037" max="12037" width="7.1640625" style="1159" bestFit="1" customWidth="1"/>
    <col min="12038" max="12038" width="12" style="1159" customWidth="1"/>
    <col min="12039" max="12039" width="7.5" style="1159" bestFit="1" customWidth="1"/>
    <col min="12040" max="12040" width="15.6640625" style="1159" customWidth="1"/>
    <col min="12041" max="12041" width="30" style="1159" customWidth="1"/>
    <col min="12042" max="12042" width="16.83203125" style="1159" customWidth="1"/>
    <col min="12043" max="12288" width="9" style="1159"/>
    <col min="12289" max="12289" width="6" style="1159" customWidth="1"/>
    <col min="12290" max="12290" width="39" style="1159" customWidth="1"/>
    <col min="12291" max="12291" width="8.83203125" style="1159" customWidth="1"/>
    <col min="12292" max="12292" width="8.5" style="1159" customWidth="1"/>
    <col min="12293" max="12293" width="7.1640625" style="1159" bestFit="1" customWidth="1"/>
    <col min="12294" max="12294" width="12" style="1159" customWidth="1"/>
    <col min="12295" max="12295" width="7.5" style="1159" bestFit="1" customWidth="1"/>
    <col min="12296" max="12296" width="15.6640625" style="1159" customWidth="1"/>
    <col min="12297" max="12297" width="30" style="1159" customWidth="1"/>
    <col min="12298" max="12298" width="16.83203125" style="1159" customWidth="1"/>
    <col min="12299" max="12544" width="9" style="1159"/>
    <col min="12545" max="12545" width="6" style="1159" customWidth="1"/>
    <col min="12546" max="12546" width="39" style="1159" customWidth="1"/>
    <col min="12547" max="12547" width="8.83203125" style="1159" customWidth="1"/>
    <col min="12548" max="12548" width="8.5" style="1159" customWidth="1"/>
    <col min="12549" max="12549" width="7.1640625" style="1159" bestFit="1" customWidth="1"/>
    <col min="12550" max="12550" width="12" style="1159" customWidth="1"/>
    <col min="12551" max="12551" width="7.5" style="1159" bestFit="1" customWidth="1"/>
    <col min="12552" max="12552" width="15.6640625" style="1159" customWidth="1"/>
    <col min="12553" max="12553" width="30" style="1159" customWidth="1"/>
    <col min="12554" max="12554" width="16.83203125" style="1159" customWidth="1"/>
    <col min="12555" max="12800" width="9" style="1159"/>
    <col min="12801" max="12801" width="6" style="1159" customWidth="1"/>
    <col min="12802" max="12802" width="39" style="1159" customWidth="1"/>
    <col min="12803" max="12803" width="8.83203125" style="1159" customWidth="1"/>
    <col min="12804" max="12804" width="8.5" style="1159" customWidth="1"/>
    <col min="12805" max="12805" width="7.1640625" style="1159" bestFit="1" customWidth="1"/>
    <col min="12806" max="12806" width="12" style="1159" customWidth="1"/>
    <col min="12807" max="12807" width="7.5" style="1159" bestFit="1" customWidth="1"/>
    <col min="12808" max="12808" width="15.6640625" style="1159" customWidth="1"/>
    <col min="12809" max="12809" width="30" style="1159" customWidth="1"/>
    <col min="12810" max="12810" width="16.83203125" style="1159" customWidth="1"/>
    <col min="12811" max="13056" width="9" style="1159"/>
    <col min="13057" max="13057" width="6" style="1159" customWidth="1"/>
    <col min="13058" max="13058" width="39" style="1159" customWidth="1"/>
    <col min="13059" max="13059" width="8.83203125" style="1159" customWidth="1"/>
    <col min="13060" max="13060" width="8.5" style="1159" customWidth="1"/>
    <col min="13061" max="13061" width="7.1640625" style="1159" bestFit="1" customWidth="1"/>
    <col min="13062" max="13062" width="12" style="1159" customWidth="1"/>
    <col min="13063" max="13063" width="7.5" style="1159" bestFit="1" customWidth="1"/>
    <col min="13064" max="13064" width="15.6640625" style="1159" customWidth="1"/>
    <col min="13065" max="13065" width="30" style="1159" customWidth="1"/>
    <col min="13066" max="13066" width="16.83203125" style="1159" customWidth="1"/>
    <col min="13067" max="13312" width="9" style="1159"/>
    <col min="13313" max="13313" width="6" style="1159" customWidth="1"/>
    <col min="13314" max="13314" width="39" style="1159" customWidth="1"/>
    <col min="13315" max="13315" width="8.83203125" style="1159" customWidth="1"/>
    <col min="13316" max="13316" width="8.5" style="1159" customWidth="1"/>
    <col min="13317" max="13317" width="7.1640625" style="1159" bestFit="1" customWidth="1"/>
    <col min="13318" max="13318" width="12" style="1159" customWidth="1"/>
    <col min="13319" max="13319" width="7.5" style="1159" bestFit="1" customWidth="1"/>
    <col min="13320" max="13320" width="15.6640625" style="1159" customWidth="1"/>
    <col min="13321" max="13321" width="30" style="1159" customWidth="1"/>
    <col min="13322" max="13322" width="16.83203125" style="1159" customWidth="1"/>
    <col min="13323" max="13568" width="9" style="1159"/>
    <col min="13569" max="13569" width="6" style="1159" customWidth="1"/>
    <col min="13570" max="13570" width="39" style="1159" customWidth="1"/>
    <col min="13571" max="13571" width="8.83203125" style="1159" customWidth="1"/>
    <col min="13572" max="13572" width="8.5" style="1159" customWidth="1"/>
    <col min="13573" max="13573" width="7.1640625" style="1159" bestFit="1" customWidth="1"/>
    <col min="13574" max="13574" width="12" style="1159" customWidth="1"/>
    <col min="13575" max="13575" width="7.5" style="1159" bestFit="1" customWidth="1"/>
    <col min="13576" max="13576" width="15.6640625" style="1159" customWidth="1"/>
    <col min="13577" max="13577" width="30" style="1159" customWidth="1"/>
    <col min="13578" max="13578" width="16.83203125" style="1159" customWidth="1"/>
    <col min="13579" max="13824" width="9" style="1159"/>
    <col min="13825" max="13825" width="6" style="1159" customWidth="1"/>
    <col min="13826" max="13826" width="39" style="1159" customWidth="1"/>
    <col min="13827" max="13827" width="8.83203125" style="1159" customWidth="1"/>
    <col min="13828" max="13828" width="8.5" style="1159" customWidth="1"/>
    <col min="13829" max="13829" width="7.1640625" style="1159" bestFit="1" customWidth="1"/>
    <col min="13830" max="13830" width="12" style="1159" customWidth="1"/>
    <col min="13831" max="13831" width="7.5" style="1159" bestFit="1" customWidth="1"/>
    <col min="13832" max="13832" width="15.6640625" style="1159" customWidth="1"/>
    <col min="13833" max="13833" width="30" style="1159" customWidth="1"/>
    <col min="13834" max="13834" width="16.83203125" style="1159" customWidth="1"/>
    <col min="13835" max="14080" width="9" style="1159"/>
    <col min="14081" max="14081" width="6" style="1159" customWidth="1"/>
    <col min="14082" max="14082" width="39" style="1159" customWidth="1"/>
    <col min="14083" max="14083" width="8.83203125" style="1159" customWidth="1"/>
    <col min="14084" max="14084" width="8.5" style="1159" customWidth="1"/>
    <col min="14085" max="14085" width="7.1640625" style="1159" bestFit="1" customWidth="1"/>
    <col min="14086" max="14086" width="12" style="1159" customWidth="1"/>
    <col min="14087" max="14087" width="7.5" style="1159" bestFit="1" customWidth="1"/>
    <col min="14088" max="14088" width="15.6640625" style="1159" customWidth="1"/>
    <col min="14089" max="14089" width="30" style="1159" customWidth="1"/>
    <col min="14090" max="14090" width="16.83203125" style="1159" customWidth="1"/>
    <col min="14091" max="14336" width="9" style="1159"/>
    <col min="14337" max="14337" width="6" style="1159" customWidth="1"/>
    <col min="14338" max="14338" width="39" style="1159" customWidth="1"/>
    <col min="14339" max="14339" width="8.83203125" style="1159" customWidth="1"/>
    <col min="14340" max="14340" width="8.5" style="1159" customWidth="1"/>
    <col min="14341" max="14341" width="7.1640625" style="1159" bestFit="1" customWidth="1"/>
    <col min="14342" max="14342" width="12" style="1159" customWidth="1"/>
    <col min="14343" max="14343" width="7.5" style="1159" bestFit="1" customWidth="1"/>
    <col min="14344" max="14344" width="15.6640625" style="1159" customWidth="1"/>
    <col min="14345" max="14345" width="30" style="1159" customWidth="1"/>
    <col min="14346" max="14346" width="16.83203125" style="1159" customWidth="1"/>
    <col min="14347" max="14592" width="9" style="1159"/>
    <col min="14593" max="14593" width="6" style="1159" customWidth="1"/>
    <col min="14594" max="14594" width="39" style="1159" customWidth="1"/>
    <col min="14595" max="14595" width="8.83203125" style="1159" customWidth="1"/>
    <col min="14596" max="14596" width="8.5" style="1159" customWidth="1"/>
    <col min="14597" max="14597" width="7.1640625" style="1159" bestFit="1" customWidth="1"/>
    <col min="14598" max="14598" width="12" style="1159" customWidth="1"/>
    <col min="14599" max="14599" width="7.5" style="1159" bestFit="1" customWidth="1"/>
    <col min="14600" max="14600" width="15.6640625" style="1159" customWidth="1"/>
    <col min="14601" max="14601" width="30" style="1159" customWidth="1"/>
    <col min="14602" max="14602" width="16.83203125" style="1159" customWidth="1"/>
    <col min="14603" max="14848" width="9" style="1159"/>
    <col min="14849" max="14849" width="6" style="1159" customWidth="1"/>
    <col min="14850" max="14850" width="39" style="1159" customWidth="1"/>
    <col min="14851" max="14851" width="8.83203125" style="1159" customWidth="1"/>
    <col min="14852" max="14852" width="8.5" style="1159" customWidth="1"/>
    <col min="14853" max="14853" width="7.1640625" style="1159" bestFit="1" customWidth="1"/>
    <col min="14854" max="14854" width="12" style="1159" customWidth="1"/>
    <col min="14855" max="14855" width="7.5" style="1159" bestFit="1" customWidth="1"/>
    <col min="14856" max="14856" width="15.6640625" style="1159" customWidth="1"/>
    <col min="14857" max="14857" width="30" style="1159" customWidth="1"/>
    <col min="14858" max="14858" width="16.83203125" style="1159" customWidth="1"/>
    <col min="14859" max="15104" width="9" style="1159"/>
    <col min="15105" max="15105" width="6" style="1159" customWidth="1"/>
    <col min="15106" max="15106" width="39" style="1159" customWidth="1"/>
    <col min="15107" max="15107" width="8.83203125" style="1159" customWidth="1"/>
    <col min="15108" max="15108" width="8.5" style="1159" customWidth="1"/>
    <col min="15109" max="15109" width="7.1640625" style="1159" bestFit="1" customWidth="1"/>
    <col min="15110" max="15110" width="12" style="1159" customWidth="1"/>
    <col min="15111" max="15111" width="7.5" style="1159" bestFit="1" customWidth="1"/>
    <col min="15112" max="15112" width="15.6640625" style="1159" customWidth="1"/>
    <col min="15113" max="15113" width="30" style="1159" customWidth="1"/>
    <col min="15114" max="15114" width="16.83203125" style="1159" customWidth="1"/>
    <col min="15115" max="15360" width="9" style="1159"/>
    <col min="15361" max="15361" width="6" style="1159" customWidth="1"/>
    <col min="15362" max="15362" width="39" style="1159" customWidth="1"/>
    <col min="15363" max="15363" width="8.83203125" style="1159" customWidth="1"/>
    <col min="15364" max="15364" width="8.5" style="1159" customWidth="1"/>
    <col min="15365" max="15365" width="7.1640625" style="1159" bestFit="1" customWidth="1"/>
    <col min="15366" max="15366" width="12" style="1159" customWidth="1"/>
    <col min="15367" max="15367" width="7.5" style="1159" bestFit="1" customWidth="1"/>
    <col min="15368" max="15368" width="15.6640625" style="1159" customWidth="1"/>
    <col min="15369" max="15369" width="30" style="1159" customWidth="1"/>
    <col min="15370" max="15370" width="16.83203125" style="1159" customWidth="1"/>
    <col min="15371" max="15616" width="9" style="1159"/>
    <col min="15617" max="15617" width="6" style="1159" customWidth="1"/>
    <col min="15618" max="15618" width="39" style="1159" customWidth="1"/>
    <col min="15619" max="15619" width="8.83203125" style="1159" customWidth="1"/>
    <col min="15620" max="15620" width="8.5" style="1159" customWidth="1"/>
    <col min="15621" max="15621" width="7.1640625" style="1159" bestFit="1" customWidth="1"/>
    <col min="15622" max="15622" width="12" style="1159" customWidth="1"/>
    <col min="15623" max="15623" width="7.5" style="1159" bestFit="1" customWidth="1"/>
    <col min="15624" max="15624" width="15.6640625" style="1159" customWidth="1"/>
    <col min="15625" max="15625" width="30" style="1159" customWidth="1"/>
    <col min="15626" max="15626" width="16.83203125" style="1159" customWidth="1"/>
    <col min="15627" max="15872" width="9" style="1159"/>
    <col min="15873" max="15873" width="6" style="1159" customWidth="1"/>
    <col min="15874" max="15874" width="39" style="1159" customWidth="1"/>
    <col min="15875" max="15875" width="8.83203125" style="1159" customWidth="1"/>
    <col min="15876" max="15876" width="8.5" style="1159" customWidth="1"/>
    <col min="15877" max="15877" width="7.1640625" style="1159" bestFit="1" customWidth="1"/>
    <col min="15878" max="15878" width="12" style="1159" customWidth="1"/>
    <col min="15879" max="15879" width="7.5" style="1159" bestFit="1" customWidth="1"/>
    <col min="15880" max="15880" width="15.6640625" style="1159" customWidth="1"/>
    <col min="15881" max="15881" width="30" style="1159" customWidth="1"/>
    <col min="15882" max="15882" width="16.83203125" style="1159" customWidth="1"/>
    <col min="15883" max="16128" width="9" style="1159"/>
    <col min="16129" max="16129" width="6" style="1159" customWidth="1"/>
    <col min="16130" max="16130" width="39" style="1159" customWidth="1"/>
    <col min="16131" max="16131" width="8.83203125" style="1159" customWidth="1"/>
    <col min="16132" max="16132" width="8.5" style="1159" customWidth="1"/>
    <col min="16133" max="16133" width="7.1640625" style="1159" bestFit="1" customWidth="1"/>
    <col min="16134" max="16134" width="12" style="1159" customWidth="1"/>
    <col min="16135" max="16135" width="7.5" style="1159" bestFit="1" customWidth="1"/>
    <col min="16136" max="16136" width="15.6640625" style="1159" customWidth="1"/>
    <col min="16137" max="16137" width="30" style="1159" customWidth="1"/>
    <col min="16138" max="16138" width="16.83203125" style="1159" customWidth="1"/>
    <col min="16139" max="16384" width="9" style="1159"/>
  </cols>
  <sheetData>
    <row r="1" spans="1:10" s="1152" customFormat="1">
      <c r="A1" s="1691" t="s">
        <v>3</v>
      </c>
      <c r="B1" s="1691"/>
      <c r="C1" s="1147"/>
      <c r="D1" s="1147"/>
      <c r="E1" s="1148"/>
      <c r="F1" s="1148"/>
      <c r="G1" s="1149"/>
      <c r="H1" s="1148"/>
      <c r="I1" s="1150"/>
      <c r="J1" s="1151"/>
    </row>
    <row r="2" spans="1:10" s="1152" customFormat="1">
      <c r="A2" s="1692" t="s">
        <v>1068</v>
      </c>
      <c r="B2" s="1692"/>
      <c r="C2" s="1147"/>
      <c r="D2" s="1147"/>
      <c r="E2" s="1148"/>
      <c r="F2" s="1148"/>
      <c r="G2" s="1149"/>
      <c r="H2" s="1148"/>
      <c r="I2" s="1150"/>
      <c r="J2" s="1151"/>
    </row>
    <row r="3" spans="1:10" s="1152" customFormat="1" hidden="1">
      <c r="A3" s="1692"/>
      <c r="B3" s="1692"/>
      <c r="C3" s="1147"/>
      <c r="D3" s="1147"/>
      <c r="E3" s="1148"/>
      <c r="F3" s="1148"/>
      <c r="G3" s="1149"/>
      <c r="H3" s="1148"/>
      <c r="I3" s="1150"/>
      <c r="J3" s="1151"/>
    </row>
    <row r="4" spans="1:10" s="1153" customFormat="1" ht="20">
      <c r="A4" s="1693" t="s">
        <v>1069</v>
      </c>
      <c r="B4" s="1693"/>
      <c r="C4" s="1693"/>
      <c r="D4" s="1693"/>
      <c r="E4" s="1693"/>
      <c r="F4" s="1693"/>
      <c r="G4" s="1693"/>
      <c r="H4" s="1693"/>
      <c r="I4" s="1693"/>
      <c r="J4" s="1693"/>
    </row>
    <row r="5" spans="1:10" s="1154" customFormat="1">
      <c r="A5" s="1690" t="s">
        <v>1070</v>
      </c>
      <c r="B5" s="1690"/>
      <c r="C5" s="1690"/>
      <c r="D5" s="1690"/>
      <c r="E5" s="1690"/>
      <c r="F5" s="1690"/>
      <c r="G5" s="1690"/>
      <c r="H5" s="1690"/>
      <c r="I5" s="1690"/>
      <c r="J5" s="1690"/>
    </row>
    <row r="6" spans="1:10" s="1154" customFormat="1" hidden="1">
      <c r="A6" s="1690"/>
      <c r="B6" s="1690"/>
      <c r="C6" s="1690"/>
      <c r="D6" s="1690"/>
      <c r="E6" s="1690"/>
      <c r="F6" s="1690"/>
      <c r="G6" s="1690"/>
      <c r="H6" s="1690"/>
      <c r="I6" s="1690"/>
      <c r="J6" s="1690"/>
    </row>
    <row r="7" spans="1:10" ht="51">
      <c r="A7" s="1155" t="s">
        <v>0</v>
      </c>
      <c r="B7" s="1155" t="s">
        <v>1071</v>
      </c>
      <c r="C7" s="1156" t="s">
        <v>1072</v>
      </c>
      <c r="D7" s="1156" t="s">
        <v>1073</v>
      </c>
      <c r="E7" s="1157" t="s">
        <v>1074</v>
      </c>
      <c r="F7" s="1157" t="s">
        <v>1075</v>
      </c>
      <c r="G7" s="1158" t="s">
        <v>1076</v>
      </c>
      <c r="H7" s="1157" t="s">
        <v>29</v>
      </c>
      <c r="I7" s="1156" t="s">
        <v>1077</v>
      </c>
      <c r="J7" s="1156" t="s">
        <v>1078</v>
      </c>
    </row>
    <row r="8" spans="1:10" s="1164" customFormat="1" ht="51">
      <c r="A8" s="1160" t="s">
        <v>6</v>
      </c>
      <c r="B8" s="1160" t="s">
        <v>19</v>
      </c>
      <c r="C8" s="1161" t="s">
        <v>422</v>
      </c>
      <c r="D8" s="1162" t="s">
        <v>115</v>
      </c>
      <c r="E8" s="1162" t="s">
        <v>116</v>
      </c>
      <c r="F8" s="1162" t="s">
        <v>117</v>
      </c>
      <c r="G8" s="1162" t="s">
        <v>118</v>
      </c>
      <c r="H8" s="1163" t="s">
        <v>1079</v>
      </c>
      <c r="I8" s="1161" t="s">
        <v>431</v>
      </c>
      <c r="J8" s="1161" t="s">
        <v>1080</v>
      </c>
    </row>
    <row r="9" spans="1:10">
      <c r="A9" s="1155" t="s">
        <v>6</v>
      </c>
      <c r="B9" s="1165" t="s">
        <v>1081</v>
      </c>
      <c r="C9" s="1155"/>
      <c r="D9" s="1155"/>
      <c r="E9" s="1166"/>
      <c r="F9" s="1166"/>
      <c r="G9" s="1167"/>
      <c r="H9" s="1166">
        <f>+SUM(H10:H10)</f>
        <v>192150000</v>
      </c>
      <c r="I9" s="1168"/>
      <c r="J9" s="1169"/>
    </row>
    <row r="10" spans="1:10" ht="51">
      <c r="A10" s="1170">
        <v>1</v>
      </c>
      <c r="B10" s="1171" t="s">
        <v>1082</v>
      </c>
      <c r="C10" s="1172" t="s">
        <v>1083</v>
      </c>
      <c r="D10" s="1172">
        <v>2</v>
      </c>
      <c r="E10" s="1173">
        <v>305</v>
      </c>
      <c r="F10" s="1173">
        <v>225000</v>
      </c>
      <c r="G10" s="1174">
        <v>1.4</v>
      </c>
      <c r="H10" s="1173">
        <f>+D10*E10*F10*G10</f>
        <v>192150000</v>
      </c>
      <c r="I10" s="1171" t="s">
        <v>1084</v>
      </c>
      <c r="J10" s="1171" t="s">
        <v>1085</v>
      </c>
    </row>
    <row r="11" spans="1:10" ht="51">
      <c r="A11" s="1175" t="s">
        <v>19</v>
      </c>
      <c r="B11" s="1176" t="s">
        <v>1086</v>
      </c>
      <c r="C11" s="1175"/>
      <c r="D11" s="1175"/>
      <c r="E11" s="1177"/>
      <c r="F11" s="1177"/>
      <c r="G11" s="1178"/>
      <c r="H11" s="1179">
        <v>118300000</v>
      </c>
      <c r="I11" s="1176"/>
      <c r="J11" s="1694" t="s">
        <v>1087</v>
      </c>
    </row>
    <row r="12" spans="1:10" ht="34">
      <c r="A12" s="1180" t="s">
        <v>7</v>
      </c>
      <c r="B12" s="1181" t="s">
        <v>1088</v>
      </c>
      <c r="C12" s="1180"/>
      <c r="D12" s="1180"/>
      <c r="E12" s="1182"/>
      <c r="F12" s="1182"/>
      <c r="G12" s="1183"/>
      <c r="H12" s="1184">
        <v>42962000</v>
      </c>
      <c r="I12" s="1185"/>
      <c r="J12" s="1694"/>
    </row>
    <row r="13" spans="1:10" ht="17">
      <c r="A13" s="1186">
        <v>1</v>
      </c>
      <c r="B13" s="1187" t="s">
        <v>1089</v>
      </c>
      <c r="C13" s="1186"/>
      <c r="D13" s="1186"/>
      <c r="E13" s="1184"/>
      <c r="F13" s="1184"/>
      <c r="G13" s="1188"/>
      <c r="H13" s="1189">
        <v>40462000</v>
      </c>
      <c r="I13" s="1181"/>
      <c r="J13" s="1176"/>
    </row>
    <row r="14" spans="1:10" ht="17">
      <c r="A14" s="1190" t="s">
        <v>124</v>
      </c>
      <c r="B14" s="1191" t="s">
        <v>1090</v>
      </c>
      <c r="C14" s="1190"/>
      <c r="D14" s="1190"/>
      <c r="E14" s="1192"/>
      <c r="F14" s="1192"/>
      <c r="G14" s="1193"/>
      <c r="H14" s="1192">
        <v>30000000</v>
      </c>
      <c r="I14" s="1194"/>
      <c r="J14" s="1194"/>
    </row>
    <row r="15" spans="1:10" ht="17">
      <c r="A15" s="1195"/>
      <c r="B15" s="1196" t="s">
        <v>1091</v>
      </c>
      <c r="C15" s="1195" t="s">
        <v>1020</v>
      </c>
      <c r="D15" s="1195">
        <v>1</v>
      </c>
      <c r="E15" s="1195">
        <v>4</v>
      </c>
      <c r="F15" s="1197">
        <v>70000</v>
      </c>
      <c r="G15" s="1198"/>
      <c r="H15" s="1199">
        <v>4200000</v>
      </c>
      <c r="I15" s="1695" t="s">
        <v>1092</v>
      </c>
      <c r="J15" s="1694" t="s">
        <v>1093</v>
      </c>
    </row>
    <row r="16" spans="1:10" ht="17">
      <c r="A16" s="1195"/>
      <c r="B16" s="1196" t="s">
        <v>1094</v>
      </c>
      <c r="C16" s="1195" t="s">
        <v>1020</v>
      </c>
      <c r="D16" s="1195">
        <v>1</v>
      </c>
      <c r="E16" s="1195">
        <v>4</v>
      </c>
      <c r="F16" s="1197">
        <v>70000</v>
      </c>
      <c r="G16" s="1198"/>
      <c r="H16" s="1199">
        <v>4200000</v>
      </c>
      <c r="I16" s="1696"/>
      <c r="J16" s="1694"/>
    </row>
    <row r="17" spans="1:10" ht="17">
      <c r="A17" s="1195"/>
      <c r="B17" s="1196" t="s">
        <v>1095</v>
      </c>
      <c r="C17" s="1195" t="s">
        <v>1020</v>
      </c>
      <c r="D17" s="1195">
        <v>1</v>
      </c>
      <c r="E17" s="1195">
        <v>4</v>
      </c>
      <c r="F17" s="1197">
        <v>80000</v>
      </c>
      <c r="G17" s="1198"/>
      <c r="H17" s="1199">
        <v>4800000</v>
      </c>
      <c r="I17" s="1696"/>
      <c r="J17" s="1694"/>
    </row>
    <row r="18" spans="1:10" ht="17">
      <c r="A18" s="1195"/>
      <c r="B18" s="1196" t="s">
        <v>1096</v>
      </c>
      <c r="C18" s="1195" t="s">
        <v>1020</v>
      </c>
      <c r="D18" s="1195">
        <v>2</v>
      </c>
      <c r="E18" s="1195">
        <v>8</v>
      </c>
      <c r="F18" s="1197">
        <v>70000</v>
      </c>
      <c r="G18" s="1198"/>
      <c r="H18" s="1199">
        <v>8400000</v>
      </c>
      <c r="I18" s="1696"/>
      <c r="J18" s="1694"/>
    </row>
    <row r="19" spans="1:10" ht="17">
      <c r="A19" s="1195"/>
      <c r="B19" s="1196" t="s">
        <v>743</v>
      </c>
      <c r="C19" s="1195" t="s">
        <v>1020</v>
      </c>
      <c r="D19" s="1195">
        <v>2</v>
      </c>
      <c r="E19" s="1195">
        <v>8</v>
      </c>
      <c r="F19" s="1197">
        <v>70000</v>
      </c>
      <c r="G19" s="1198"/>
      <c r="H19" s="1199">
        <v>8400000</v>
      </c>
      <c r="I19" s="1696"/>
      <c r="J19" s="1694"/>
    </row>
    <row r="20" spans="1:10" ht="17">
      <c r="A20" s="1200" t="s">
        <v>578</v>
      </c>
      <c r="B20" s="1201" t="s">
        <v>1097</v>
      </c>
      <c r="C20" s="1202"/>
      <c r="D20" s="1202"/>
      <c r="E20" s="1202"/>
      <c r="F20" s="1202"/>
      <c r="G20" s="1202"/>
      <c r="H20" s="1203">
        <v>9262000</v>
      </c>
      <c r="I20" s="1202"/>
      <c r="J20" s="1204"/>
    </row>
    <row r="21" spans="1:10" ht="17">
      <c r="A21" s="1195" t="s">
        <v>147</v>
      </c>
      <c r="B21" s="1202" t="s">
        <v>1098</v>
      </c>
      <c r="C21" s="1195" t="s">
        <v>1099</v>
      </c>
      <c r="D21" s="1195"/>
      <c r="E21" s="1197">
        <v>285</v>
      </c>
      <c r="F21" s="1197">
        <v>6500</v>
      </c>
      <c r="G21" s="1198"/>
      <c r="H21" s="1205">
        <f>+F21*E21</f>
        <v>1852500</v>
      </c>
      <c r="I21" s="1196" t="s">
        <v>1100</v>
      </c>
      <c r="J21" s="1195"/>
    </row>
    <row r="22" spans="1:10" ht="17">
      <c r="A22" s="1195" t="s">
        <v>148</v>
      </c>
      <c r="B22" s="1202" t="s">
        <v>1101</v>
      </c>
      <c r="C22" s="1195" t="s">
        <v>1099</v>
      </c>
      <c r="D22" s="1195"/>
      <c r="E22" s="1197">
        <v>285</v>
      </c>
      <c r="F22" s="1197">
        <v>6500</v>
      </c>
      <c r="G22" s="1198"/>
      <c r="H22" s="1205">
        <f>+F22*E22</f>
        <v>1852500</v>
      </c>
      <c r="I22" s="1196" t="s">
        <v>1100</v>
      </c>
      <c r="J22" s="1195"/>
    </row>
    <row r="23" spans="1:10" ht="17">
      <c r="A23" s="1195" t="s">
        <v>169</v>
      </c>
      <c r="B23" s="1202" t="s">
        <v>1102</v>
      </c>
      <c r="C23" s="1195" t="s">
        <v>1099</v>
      </c>
      <c r="D23" s="1195"/>
      <c r="E23" s="1197">
        <v>285</v>
      </c>
      <c r="F23" s="1197">
        <v>6500</v>
      </c>
      <c r="G23" s="1198"/>
      <c r="H23" s="1205">
        <f>+F23*E23</f>
        <v>1852500</v>
      </c>
      <c r="I23" s="1196" t="s">
        <v>1100</v>
      </c>
      <c r="J23" s="1195"/>
    </row>
    <row r="24" spans="1:10" ht="17">
      <c r="A24" s="1195" t="s">
        <v>1103</v>
      </c>
      <c r="B24" s="1202" t="s">
        <v>1104</v>
      </c>
      <c r="C24" s="1195" t="s">
        <v>1099</v>
      </c>
      <c r="D24" s="1195"/>
      <c r="E24" s="1197">
        <v>285</v>
      </c>
      <c r="F24" s="1197">
        <v>6500</v>
      </c>
      <c r="G24" s="1198"/>
      <c r="H24" s="1205">
        <f>+F24*E24</f>
        <v>1852500</v>
      </c>
      <c r="I24" s="1196" t="s">
        <v>1100</v>
      </c>
      <c r="J24" s="1195"/>
    </row>
    <row r="25" spans="1:10" ht="17">
      <c r="A25" s="1195" t="s">
        <v>1105</v>
      </c>
      <c r="B25" s="1202" t="s">
        <v>1106</v>
      </c>
      <c r="C25" s="1195" t="s">
        <v>1099</v>
      </c>
      <c r="D25" s="1195"/>
      <c r="E25" s="1197">
        <v>285</v>
      </c>
      <c r="F25" s="1197">
        <v>6500</v>
      </c>
      <c r="G25" s="1198"/>
      <c r="H25" s="1205">
        <f>+F25*E25</f>
        <v>1852500</v>
      </c>
      <c r="I25" s="1196" t="s">
        <v>1100</v>
      </c>
      <c r="J25" s="1206"/>
    </row>
    <row r="26" spans="1:10" ht="17">
      <c r="A26" s="1207">
        <v>1.3</v>
      </c>
      <c r="B26" s="1208" t="s">
        <v>1107</v>
      </c>
      <c r="C26" s="1209" t="s">
        <v>1032</v>
      </c>
      <c r="D26" s="1195"/>
      <c r="E26" s="1210">
        <v>7</v>
      </c>
      <c r="F26" s="1210">
        <v>100000</v>
      </c>
      <c r="G26" s="1211"/>
      <c r="H26" s="1212">
        <v>700000</v>
      </c>
      <c r="I26" s="1196" t="s">
        <v>1100</v>
      </c>
      <c r="J26" s="1213"/>
    </row>
    <row r="27" spans="1:10" ht="17">
      <c r="A27" s="1214">
        <v>1.4</v>
      </c>
      <c r="B27" s="1215" t="s">
        <v>786</v>
      </c>
      <c r="C27" s="1195" t="s">
        <v>1108</v>
      </c>
      <c r="D27" s="1195"/>
      <c r="E27" s="1197">
        <v>1</v>
      </c>
      <c r="F27" s="1197">
        <v>500000</v>
      </c>
      <c r="G27" s="1198"/>
      <c r="H27" s="1216">
        <v>500000</v>
      </c>
      <c r="I27" s="1196" t="s">
        <v>1100</v>
      </c>
      <c r="J27" s="1213"/>
    </row>
    <row r="28" spans="1:10" ht="17">
      <c r="A28" s="1217">
        <v>2</v>
      </c>
      <c r="B28" s="1218" t="s">
        <v>1109</v>
      </c>
      <c r="C28" s="1209" t="s">
        <v>1054</v>
      </c>
      <c r="D28" s="1209"/>
      <c r="E28" s="1210">
        <v>2</v>
      </c>
      <c r="F28" s="1210">
        <v>500000</v>
      </c>
      <c r="G28" s="1211"/>
      <c r="H28" s="1219">
        <v>1000000</v>
      </c>
      <c r="I28" s="1220" t="s">
        <v>1100</v>
      </c>
      <c r="J28" s="1697" t="s">
        <v>1087</v>
      </c>
    </row>
    <row r="29" spans="1:10" ht="17">
      <c r="A29" s="1175">
        <v>3</v>
      </c>
      <c r="B29" s="1176" t="s">
        <v>1110</v>
      </c>
      <c r="C29" s="1195" t="s">
        <v>1042</v>
      </c>
      <c r="D29" s="1195"/>
      <c r="E29" s="1197">
        <v>3</v>
      </c>
      <c r="F29" s="1197">
        <v>500000</v>
      </c>
      <c r="G29" s="1198"/>
      <c r="H29" s="1221">
        <f>+F29*E29</f>
        <v>1500000</v>
      </c>
      <c r="I29" s="1196" t="s">
        <v>1100</v>
      </c>
      <c r="J29" s="1694"/>
    </row>
    <row r="30" spans="1:10" ht="17">
      <c r="A30" s="1175" t="s">
        <v>8</v>
      </c>
      <c r="B30" s="1176" t="s">
        <v>1111</v>
      </c>
      <c r="C30" s="1175"/>
      <c r="D30" s="1175"/>
      <c r="E30" s="1177"/>
      <c r="F30" s="1177"/>
      <c r="G30" s="1178"/>
      <c r="H30" s="1222">
        <v>72840000</v>
      </c>
      <c r="I30" s="1176"/>
      <c r="J30" s="1223"/>
    </row>
    <row r="31" spans="1:10">
      <c r="A31" s="1224">
        <v>1</v>
      </c>
      <c r="B31" s="1225" t="s">
        <v>1112</v>
      </c>
      <c r="C31" s="1209" t="s">
        <v>1083</v>
      </c>
      <c r="D31" s="1195">
        <v>2</v>
      </c>
      <c r="E31" s="1226">
        <v>44</v>
      </c>
      <c r="F31" s="1197"/>
      <c r="G31" s="1198"/>
      <c r="H31" s="1227">
        <v>10320000</v>
      </c>
      <c r="I31" s="1228"/>
      <c r="J31" s="1171"/>
    </row>
    <row r="32" spans="1:10">
      <c r="A32" s="1229">
        <v>2</v>
      </c>
      <c r="B32" s="1230" t="s">
        <v>1113</v>
      </c>
      <c r="C32" s="1209" t="s">
        <v>1083</v>
      </c>
      <c r="D32" s="1195">
        <v>2</v>
      </c>
      <c r="E32" s="1226">
        <v>44</v>
      </c>
      <c r="F32" s="1210"/>
      <c r="G32" s="1211"/>
      <c r="H32" s="1227">
        <v>10320000</v>
      </c>
      <c r="I32" s="1159" t="s">
        <v>1114</v>
      </c>
      <c r="J32" s="1231"/>
    </row>
    <row r="33" spans="1:10" ht="17">
      <c r="A33" s="1232">
        <v>3</v>
      </c>
      <c r="B33" s="1233" t="s">
        <v>1115</v>
      </c>
      <c r="C33" s="1209" t="s">
        <v>1083</v>
      </c>
      <c r="D33" s="1209">
        <v>2</v>
      </c>
      <c r="E33" s="1226">
        <v>37</v>
      </c>
      <c r="F33" s="1210"/>
      <c r="G33" s="1211"/>
      <c r="H33" s="1227">
        <v>9480000</v>
      </c>
      <c r="I33" s="1204" t="s">
        <v>1116</v>
      </c>
      <c r="J33" s="1234"/>
    </row>
    <row r="34" spans="1:10">
      <c r="A34" s="1195">
        <v>4</v>
      </c>
      <c r="B34" s="1235" t="s">
        <v>1117</v>
      </c>
      <c r="C34" s="1195" t="s">
        <v>1083</v>
      </c>
      <c r="D34" s="1195">
        <v>1</v>
      </c>
      <c r="E34" s="1226">
        <v>45</v>
      </c>
      <c r="F34" s="1197"/>
      <c r="G34" s="1198"/>
      <c r="H34" s="1227">
        <v>10680000</v>
      </c>
      <c r="I34" s="1234"/>
      <c r="J34" s="1697" t="s">
        <v>1087</v>
      </c>
    </row>
    <row r="35" spans="1:10">
      <c r="A35" s="1195">
        <v>5</v>
      </c>
      <c r="B35" s="1225" t="s">
        <v>1118</v>
      </c>
      <c r="C35" s="1209" t="s">
        <v>1083</v>
      </c>
      <c r="D35" s="1195">
        <v>1</v>
      </c>
      <c r="E35" s="1226">
        <v>45</v>
      </c>
      <c r="F35" s="1197"/>
      <c r="G35" s="1198"/>
      <c r="H35" s="1227">
        <v>10680000</v>
      </c>
      <c r="I35" s="1234"/>
      <c r="J35" s="1698"/>
    </row>
    <row r="36" spans="1:10">
      <c r="A36" s="1195">
        <v>6</v>
      </c>
      <c r="B36" s="1235" t="s">
        <v>1119</v>
      </c>
      <c r="C36" s="1209" t="s">
        <v>1083</v>
      </c>
      <c r="D36" s="1195">
        <v>1</v>
      </c>
      <c r="E36" s="1226">
        <v>45</v>
      </c>
      <c r="F36" s="1197"/>
      <c r="G36" s="1198"/>
      <c r="H36" s="1227">
        <v>10680000</v>
      </c>
      <c r="I36" s="1236"/>
      <c r="J36" s="1204"/>
    </row>
    <row r="37" spans="1:10">
      <c r="A37" s="1195">
        <v>7</v>
      </c>
      <c r="B37" s="1237" t="s">
        <v>1120</v>
      </c>
      <c r="C37" s="1209" t="s">
        <v>1083</v>
      </c>
      <c r="D37" s="1195">
        <v>1</v>
      </c>
      <c r="E37" s="1226">
        <v>45</v>
      </c>
      <c r="F37" s="1197"/>
      <c r="G37" s="1198"/>
      <c r="H37" s="1227">
        <v>10680000</v>
      </c>
      <c r="I37" s="1236"/>
      <c r="J37" s="1204"/>
    </row>
    <row r="38" spans="1:10">
      <c r="A38" s="1175"/>
      <c r="B38" s="1238" t="s">
        <v>1121</v>
      </c>
      <c r="C38" s="1175"/>
      <c r="D38" s="1175"/>
      <c r="E38" s="1177"/>
      <c r="F38" s="1177"/>
      <c r="G38" s="1178"/>
      <c r="H38" s="1177">
        <v>73850000</v>
      </c>
      <c r="I38" s="1238"/>
      <c r="J38" s="1238"/>
    </row>
    <row r="39" spans="1:10" s="1243" customFormat="1" ht="17">
      <c r="A39" s="45" t="s">
        <v>1122</v>
      </c>
      <c r="B39" s="935"/>
      <c r="C39" s="45"/>
      <c r="D39" s="45"/>
      <c r="E39" s="1239"/>
      <c r="F39" s="1240"/>
      <c r="G39" s="1241"/>
      <c r="H39" s="1240"/>
      <c r="I39" s="1242"/>
      <c r="J39" s="1242"/>
    </row>
    <row r="40" spans="1:10" s="47" customFormat="1">
      <c r="A40" s="936"/>
      <c r="B40" s="935"/>
      <c r="C40" s="1239"/>
      <c r="D40" s="1239"/>
      <c r="E40" s="1239"/>
      <c r="F40" s="1240"/>
      <c r="G40" s="1241"/>
      <c r="H40" s="1240"/>
      <c r="I40" s="1699" t="s">
        <v>1123</v>
      </c>
      <c r="J40" s="1699"/>
    </row>
    <row r="41" spans="1:10" s="45" customFormat="1">
      <c r="A41" s="1681" t="s">
        <v>1124</v>
      </c>
      <c r="B41" s="1681"/>
      <c r="C41" s="1681" t="s">
        <v>1125</v>
      </c>
      <c r="D41" s="1681"/>
      <c r="E41" s="1681"/>
      <c r="F41" s="1681"/>
      <c r="G41" s="1681"/>
      <c r="H41" s="1681"/>
      <c r="I41" s="1681"/>
      <c r="J41" s="1681"/>
    </row>
    <row r="42" spans="1:10" s="45" customFormat="1">
      <c r="B42" s="936"/>
      <c r="G42" s="1241"/>
    </row>
    <row r="43" spans="1:10" s="47" customFormat="1">
      <c r="A43" s="45"/>
      <c r="B43" s="936"/>
      <c r="C43" s="45"/>
      <c r="D43" s="45"/>
      <c r="E43" s="45"/>
      <c r="F43" s="45"/>
      <c r="G43" s="1241"/>
      <c r="H43" s="45"/>
      <c r="I43" s="45"/>
      <c r="J43" s="45"/>
    </row>
    <row r="44" spans="1:10" s="47" customFormat="1">
      <c r="A44" s="45"/>
      <c r="B44" s="936"/>
      <c r="C44" s="45"/>
      <c r="D44" s="45"/>
      <c r="E44" s="45"/>
      <c r="F44" s="45"/>
      <c r="G44" s="1241"/>
      <c r="H44" s="45"/>
      <c r="I44" s="45"/>
      <c r="J44" s="45"/>
    </row>
    <row r="45" spans="1:10" s="1244" customFormat="1">
      <c r="A45" s="45"/>
      <c r="B45" s="936"/>
      <c r="C45" s="45"/>
      <c r="D45" s="45"/>
      <c r="E45" s="45"/>
      <c r="F45" s="45"/>
      <c r="G45" s="1241"/>
      <c r="H45" s="45"/>
      <c r="I45" s="45"/>
      <c r="J45" s="45"/>
    </row>
    <row r="46" spans="1:10">
      <c r="B46" s="936"/>
    </row>
  </sheetData>
  <mergeCells count="14">
    <mergeCell ref="A41:B41"/>
    <mergeCell ref="C41:J41"/>
    <mergeCell ref="J11:J12"/>
    <mergeCell ref="I15:I19"/>
    <mergeCell ref="J15:J19"/>
    <mergeCell ref="J28:J29"/>
    <mergeCell ref="J34:J35"/>
    <mergeCell ref="I40:J40"/>
    <mergeCell ref="A6:J6"/>
    <mergeCell ref="A1:B1"/>
    <mergeCell ref="A2:B2"/>
    <mergeCell ref="A3:B3"/>
    <mergeCell ref="A4:J4"/>
    <mergeCell ref="A5:J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6641-7FBF-CD49-82F7-EB110EA0B624}">
  <dimension ref="A1:M36"/>
  <sheetViews>
    <sheetView workbookViewId="0">
      <selection activeCell="I41" sqref="I41"/>
    </sheetView>
  </sheetViews>
  <sheetFormatPr baseColWidth="10" defaultRowHeight="13"/>
  <cols>
    <col min="1" max="1" width="20.33203125" customWidth="1"/>
    <col min="2" max="2" width="11" customWidth="1"/>
    <col min="3" max="3" width="7" customWidth="1"/>
    <col min="4" max="4" width="5.5" customWidth="1"/>
    <col min="5" max="5" width="10.1640625" customWidth="1"/>
    <col min="6" max="6" width="10.33203125" customWidth="1"/>
    <col min="7" max="7" width="11.6640625" customWidth="1"/>
    <col min="8" max="8" width="10.5" customWidth="1"/>
    <col min="9" max="9" width="11.33203125" customWidth="1"/>
    <col min="10" max="10" width="10.6640625" customWidth="1"/>
    <col min="11" max="11" width="12" customWidth="1"/>
    <col min="12" max="12" width="11.33203125" customWidth="1"/>
    <col min="13" max="13" width="9.83203125" bestFit="1" customWidth="1"/>
    <col min="14" max="256" width="8.83203125" customWidth="1"/>
    <col min="257" max="257" width="20.33203125" customWidth="1"/>
    <col min="258" max="258" width="11" customWidth="1"/>
    <col min="259" max="259" width="7" customWidth="1"/>
    <col min="260" max="260" width="5.5" customWidth="1"/>
    <col min="261" max="261" width="10.1640625" customWidth="1"/>
    <col min="262" max="262" width="10.33203125" customWidth="1"/>
    <col min="263" max="263" width="11.6640625" customWidth="1"/>
    <col min="264" max="264" width="10.5" customWidth="1"/>
    <col min="265" max="265" width="11.33203125" customWidth="1"/>
    <col min="266" max="266" width="10.6640625" customWidth="1"/>
    <col min="267" max="267" width="12" customWidth="1"/>
    <col min="268" max="268" width="11.33203125" customWidth="1"/>
    <col min="269" max="269" width="9.83203125" bestFit="1" customWidth="1"/>
    <col min="270" max="512" width="8.83203125" customWidth="1"/>
    <col min="513" max="513" width="20.33203125" customWidth="1"/>
    <col min="514" max="514" width="11" customWidth="1"/>
    <col min="515" max="515" width="7" customWidth="1"/>
    <col min="516" max="516" width="5.5" customWidth="1"/>
    <col min="517" max="517" width="10.1640625" customWidth="1"/>
    <col min="518" max="518" width="10.33203125" customWidth="1"/>
    <col min="519" max="519" width="11.6640625" customWidth="1"/>
    <col min="520" max="520" width="10.5" customWidth="1"/>
    <col min="521" max="521" width="11.33203125" customWidth="1"/>
    <col min="522" max="522" width="10.6640625" customWidth="1"/>
    <col min="523" max="523" width="12" customWidth="1"/>
    <col min="524" max="524" width="11.33203125" customWidth="1"/>
    <col min="525" max="525" width="9.83203125" bestFit="1" customWidth="1"/>
    <col min="526" max="768" width="8.83203125" customWidth="1"/>
    <col min="769" max="769" width="20.33203125" customWidth="1"/>
    <col min="770" max="770" width="11" customWidth="1"/>
    <col min="771" max="771" width="7" customWidth="1"/>
    <col min="772" max="772" width="5.5" customWidth="1"/>
    <col min="773" max="773" width="10.1640625" customWidth="1"/>
    <col min="774" max="774" width="10.33203125" customWidth="1"/>
    <col min="775" max="775" width="11.6640625" customWidth="1"/>
    <col min="776" max="776" width="10.5" customWidth="1"/>
    <col min="777" max="777" width="11.33203125" customWidth="1"/>
    <col min="778" max="778" width="10.6640625" customWidth="1"/>
    <col min="779" max="779" width="12" customWidth="1"/>
    <col min="780" max="780" width="11.33203125" customWidth="1"/>
    <col min="781" max="781" width="9.83203125" bestFit="1" customWidth="1"/>
    <col min="782" max="1024" width="8.83203125" customWidth="1"/>
    <col min="1025" max="1025" width="20.33203125" customWidth="1"/>
    <col min="1026" max="1026" width="11" customWidth="1"/>
    <col min="1027" max="1027" width="7" customWidth="1"/>
    <col min="1028" max="1028" width="5.5" customWidth="1"/>
    <col min="1029" max="1029" width="10.1640625" customWidth="1"/>
    <col min="1030" max="1030" width="10.33203125" customWidth="1"/>
    <col min="1031" max="1031" width="11.6640625" customWidth="1"/>
    <col min="1032" max="1032" width="10.5" customWidth="1"/>
    <col min="1033" max="1033" width="11.33203125" customWidth="1"/>
    <col min="1034" max="1034" width="10.6640625" customWidth="1"/>
    <col min="1035" max="1035" width="12" customWidth="1"/>
    <col min="1036" max="1036" width="11.33203125" customWidth="1"/>
    <col min="1037" max="1037" width="9.83203125" bestFit="1" customWidth="1"/>
    <col min="1038" max="1280" width="8.83203125" customWidth="1"/>
    <col min="1281" max="1281" width="20.33203125" customWidth="1"/>
    <col min="1282" max="1282" width="11" customWidth="1"/>
    <col min="1283" max="1283" width="7" customWidth="1"/>
    <col min="1284" max="1284" width="5.5" customWidth="1"/>
    <col min="1285" max="1285" width="10.1640625" customWidth="1"/>
    <col min="1286" max="1286" width="10.33203125" customWidth="1"/>
    <col min="1287" max="1287" width="11.6640625" customWidth="1"/>
    <col min="1288" max="1288" width="10.5" customWidth="1"/>
    <col min="1289" max="1289" width="11.33203125" customWidth="1"/>
    <col min="1290" max="1290" width="10.6640625" customWidth="1"/>
    <col min="1291" max="1291" width="12" customWidth="1"/>
    <col min="1292" max="1292" width="11.33203125" customWidth="1"/>
    <col min="1293" max="1293" width="9.83203125" bestFit="1" customWidth="1"/>
    <col min="1294" max="1536" width="8.83203125" customWidth="1"/>
    <col min="1537" max="1537" width="20.33203125" customWidth="1"/>
    <col min="1538" max="1538" width="11" customWidth="1"/>
    <col min="1539" max="1539" width="7" customWidth="1"/>
    <col min="1540" max="1540" width="5.5" customWidth="1"/>
    <col min="1541" max="1541" width="10.1640625" customWidth="1"/>
    <col min="1542" max="1542" width="10.33203125" customWidth="1"/>
    <col min="1543" max="1543" width="11.6640625" customWidth="1"/>
    <col min="1544" max="1544" width="10.5" customWidth="1"/>
    <col min="1545" max="1545" width="11.33203125" customWidth="1"/>
    <col min="1546" max="1546" width="10.6640625" customWidth="1"/>
    <col min="1547" max="1547" width="12" customWidth="1"/>
    <col min="1548" max="1548" width="11.33203125" customWidth="1"/>
    <col min="1549" max="1549" width="9.83203125" bestFit="1" customWidth="1"/>
    <col min="1550" max="1792" width="8.83203125" customWidth="1"/>
    <col min="1793" max="1793" width="20.33203125" customWidth="1"/>
    <col min="1794" max="1794" width="11" customWidth="1"/>
    <col min="1795" max="1795" width="7" customWidth="1"/>
    <col min="1796" max="1796" width="5.5" customWidth="1"/>
    <col min="1797" max="1797" width="10.1640625" customWidth="1"/>
    <col min="1798" max="1798" width="10.33203125" customWidth="1"/>
    <col min="1799" max="1799" width="11.6640625" customWidth="1"/>
    <col min="1800" max="1800" width="10.5" customWidth="1"/>
    <col min="1801" max="1801" width="11.33203125" customWidth="1"/>
    <col min="1802" max="1802" width="10.6640625" customWidth="1"/>
    <col min="1803" max="1803" width="12" customWidth="1"/>
    <col min="1804" max="1804" width="11.33203125" customWidth="1"/>
    <col min="1805" max="1805" width="9.83203125" bestFit="1" customWidth="1"/>
    <col min="1806" max="2048" width="8.83203125" customWidth="1"/>
    <col min="2049" max="2049" width="20.33203125" customWidth="1"/>
    <col min="2050" max="2050" width="11" customWidth="1"/>
    <col min="2051" max="2051" width="7" customWidth="1"/>
    <col min="2052" max="2052" width="5.5" customWidth="1"/>
    <col min="2053" max="2053" width="10.1640625" customWidth="1"/>
    <col min="2054" max="2054" width="10.33203125" customWidth="1"/>
    <col min="2055" max="2055" width="11.6640625" customWidth="1"/>
    <col min="2056" max="2056" width="10.5" customWidth="1"/>
    <col min="2057" max="2057" width="11.33203125" customWidth="1"/>
    <col min="2058" max="2058" width="10.6640625" customWidth="1"/>
    <col min="2059" max="2059" width="12" customWidth="1"/>
    <col min="2060" max="2060" width="11.33203125" customWidth="1"/>
    <col min="2061" max="2061" width="9.83203125" bestFit="1" customWidth="1"/>
    <col min="2062" max="2304" width="8.83203125" customWidth="1"/>
    <col min="2305" max="2305" width="20.33203125" customWidth="1"/>
    <col min="2306" max="2306" width="11" customWidth="1"/>
    <col min="2307" max="2307" width="7" customWidth="1"/>
    <col min="2308" max="2308" width="5.5" customWidth="1"/>
    <col min="2309" max="2309" width="10.1640625" customWidth="1"/>
    <col min="2310" max="2310" width="10.33203125" customWidth="1"/>
    <col min="2311" max="2311" width="11.6640625" customWidth="1"/>
    <col min="2312" max="2312" width="10.5" customWidth="1"/>
    <col min="2313" max="2313" width="11.33203125" customWidth="1"/>
    <col min="2314" max="2314" width="10.6640625" customWidth="1"/>
    <col min="2315" max="2315" width="12" customWidth="1"/>
    <col min="2316" max="2316" width="11.33203125" customWidth="1"/>
    <col min="2317" max="2317" width="9.83203125" bestFit="1" customWidth="1"/>
    <col min="2318" max="2560" width="8.83203125" customWidth="1"/>
    <col min="2561" max="2561" width="20.33203125" customWidth="1"/>
    <col min="2562" max="2562" width="11" customWidth="1"/>
    <col min="2563" max="2563" width="7" customWidth="1"/>
    <col min="2564" max="2564" width="5.5" customWidth="1"/>
    <col min="2565" max="2565" width="10.1640625" customWidth="1"/>
    <col min="2566" max="2566" width="10.33203125" customWidth="1"/>
    <col min="2567" max="2567" width="11.6640625" customWidth="1"/>
    <col min="2568" max="2568" width="10.5" customWidth="1"/>
    <col min="2569" max="2569" width="11.33203125" customWidth="1"/>
    <col min="2570" max="2570" width="10.6640625" customWidth="1"/>
    <col min="2571" max="2571" width="12" customWidth="1"/>
    <col min="2572" max="2572" width="11.33203125" customWidth="1"/>
    <col min="2573" max="2573" width="9.83203125" bestFit="1" customWidth="1"/>
    <col min="2574" max="2816" width="8.83203125" customWidth="1"/>
    <col min="2817" max="2817" width="20.33203125" customWidth="1"/>
    <col min="2818" max="2818" width="11" customWidth="1"/>
    <col min="2819" max="2819" width="7" customWidth="1"/>
    <col min="2820" max="2820" width="5.5" customWidth="1"/>
    <col min="2821" max="2821" width="10.1640625" customWidth="1"/>
    <col min="2822" max="2822" width="10.33203125" customWidth="1"/>
    <col min="2823" max="2823" width="11.6640625" customWidth="1"/>
    <col min="2824" max="2824" width="10.5" customWidth="1"/>
    <col min="2825" max="2825" width="11.33203125" customWidth="1"/>
    <col min="2826" max="2826" width="10.6640625" customWidth="1"/>
    <col min="2827" max="2827" width="12" customWidth="1"/>
    <col min="2828" max="2828" width="11.33203125" customWidth="1"/>
    <col min="2829" max="2829" width="9.83203125" bestFit="1" customWidth="1"/>
    <col min="2830" max="3072" width="8.83203125" customWidth="1"/>
    <col min="3073" max="3073" width="20.33203125" customWidth="1"/>
    <col min="3074" max="3074" width="11" customWidth="1"/>
    <col min="3075" max="3075" width="7" customWidth="1"/>
    <col min="3076" max="3076" width="5.5" customWidth="1"/>
    <col min="3077" max="3077" width="10.1640625" customWidth="1"/>
    <col min="3078" max="3078" width="10.33203125" customWidth="1"/>
    <col min="3079" max="3079" width="11.6640625" customWidth="1"/>
    <col min="3080" max="3080" width="10.5" customWidth="1"/>
    <col min="3081" max="3081" width="11.33203125" customWidth="1"/>
    <col min="3082" max="3082" width="10.6640625" customWidth="1"/>
    <col min="3083" max="3083" width="12" customWidth="1"/>
    <col min="3084" max="3084" width="11.33203125" customWidth="1"/>
    <col min="3085" max="3085" width="9.83203125" bestFit="1" customWidth="1"/>
    <col min="3086" max="3328" width="8.83203125" customWidth="1"/>
    <col min="3329" max="3329" width="20.33203125" customWidth="1"/>
    <col min="3330" max="3330" width="11" customWidth="1"/>
    <col min="3331" max="3331" width="7" customWidth="1"/>
    <col min="3332" max="3332" width="5.5" customWidth="1"/>
    <col min="3333" max="3333" width="10.1640625" customWidth="1"/>
    <col min="3334" max="3334" width="10.33203125" customWidth="1"/>
    <col min="3335" max="3335" width="11.6640625" customWidth="1"/>
    <col min="3336" max="3336" width="10.5" customWidth="1"/>
    <col min="3337" max="3337" width="11.33203125" customWidth="1"/>
    <col min="3338" max="3338" width="10.6640625" customWidth="1"/>
    <col min="3339" max="3339" width="12" customWidth="1"/>
    <col min="3340" max="3340" width="11.33203125" customWidth="1"/>
    <col min="3341" max="3341" width="9.83203125" bestFit="1" customWidth="1"/>
    <col min="3342" max="3584" width="8.83203125" customWidth="1"/>
    <col min="3585" max="3585" width="20.33203125" customWidth="1"/>
    <col min="3586" max="3586" width="11" customWidth="1"/>
    <col min="3587" max="3587" width="7" customWidth="1"/>
    <col min="3588" max="3588" width="5.5" customWidth="1"/>
    <col min="3589" max="3589" width="10.1640625" customWidth="1"/>
    <col min="3590" max="3590" width="10.33203125" customWidth="1"/>
    <col min="3591" max="3591" width="11.6640625" customWidth="1"/>
    <col min="3592" max="3592" width="10.5" customWidth="1"/>
    <col min="3593" max="3593" width="11.33203125" customWidth="1"/>
    <col min="3594" max="3594" width="10.6640625" customWidth="1"/>
    <col min="3595" max="3595" width="12" customWidth="1"/>
    <col min="3596" max="3596" width="11.33203125" customWidth="1"/>
    <col min="3597" max="3597" width="9.83203125" bestFit="1" customWidth="1"/>
    <col min="3598" max="3840" width="8.83203125" customWidth="1"/>
    <col min="3841" max="3841" width="20.33203125" customWidth="1"/>
    <col min="3842" max="3842" width="11" customWidth="1"/>
    <col min="3843" max="3843" width="7" customWidth="1"/>
    <col min="3844" max="3844" width="5.5" customWidth="1"/>
    <col min="3845" max="3845" width="10.1640625" customWidth="1"/>
    <col min="3846" max="3846" width="10.33203125" customWidth="1"/>
    <col min="3847" max="3847" width="11.6640625" customWidth="1"/>
    <col min="3848" max="3848" width="10.5" customWidth="1"/>
    <col min="3849" max="3849" width="11.33203125" customWidth="1"/>
    <col min="3850" max="3850" width="10.6640625" customWidth="1"/>
    <col min="3851" max="3851" width="12" customWidth="1"/>
    <col min="3852" max="3852" width="11.33203125" customWidth="1"/>
    <col min="3853" max="3853" width="9.83203125" bestFit="1" customWidth="1"/>
    <col min="3854" max="4096" width="8.83203125" customWidth="1"/>
    <col min="4097" max="4097" width="20.33203125" customWidth="1"/>
    <col min="4098" max="4098" width="11" customWidth="1"/>
    <col min="4099" max="4099" width="7" customWidth="1"/>
    <col min="4100" max="4100" width="5.5" customWidth="1"/>
    <col min="4101" max="4101" width="10.1640625" customWidth="1"/>
    <col min="4102" max="4102" width="10.33203125" customWidth="1"/>
    <col min="4103" max="4103" width="11.6640625" customWidth="1"/>
    <col min="4104" max="4104" width="10.5" customWidth="1"/>
    <col min="4105" max="4105" width="11.33203125" customWidth="1"/>
    <col min="4106" max="4106" width="10.6640625" customWidth="1"/>
    <col min="4107" max="4107" width="12" customWidth="1"/>
    <col min="4108" max="4108" width="11.33203125" customWidth="1"/>
    <col min="4109" max="4109" width="9.83203125" bestFit="1" customWidth="1"/>
    <col min="4110" max="4352" width="8.83203125" customWidth="1"/>
    <col min="4353" max="4353" width="20.33203125" customWidth="1"/>
    <col min="4354" max="4354" width="11" customWidth="1"/>
    <col min="4355" max="4355" width="7" customWidth="1"/>
    <col min="4356" max="4356" width="5.5" customWidth="1"/>
    <col min="4357" max="4357" width="10.1640625" customWidth="1"/>
    <col min="4358" max="4358" width="10.33203125" customWidth="1"/>
    <col min="4359" max="4359" width="11.6640625" customWidth="1"/>
    <col min="4360" max="4360" width="10.5" customWidth="1"/>
    <col min="4361" max="4361" width="11.33203125" customWidth="1"/>
    <col min="4362" max="4362" width="10.6640625" customWidth="1"/>
    <col min="4363" max="4363" width="12" customWidth="1"/>
    <col min="4364" max="4364" width="11.33203125" customWidth="1"/>
    <col min="4365" max="4365" width="9.83203125" bestFit="1" customWidth="1"/>
    <col min="4366" max="4608" width="8.83203125" customWidth="1"/>
    <col min="4609" max="4609" width="20.33203125" customWidth="1"/>
    <col min="4610" max="4610" width="11" customWidth="1"/>
    <col min="4611" max="4611" width="7" customWidth="1"/>
    <col min="4612" max="4612" width="5.5" customWidth="1"/>
    <col min="4613" max="4613" width="10.1640625" customWidth="1"/>
    <col min="4614" max="4614" width="10.33203125" customWidth="1"/>
    <col min="4615" max="4615" width="11.6640625" customWidth="1"/>
    <col min="4616" max="4616" width="10.5" customWidth="1"/>
    <col min="4617" max="4617" width="11.33203125" customWidth="1"/>
    <col min="4618" max="4618" width="10.6640625" customWidth="1"/>
    <col min="4619" max="4619" width="12" customWidth="1"/>
    <col min="4620" max="4620" width="11.33203125" customWidth="1"/>
    <col min="4621" max="4621" width="9.83203125" bestFit="1" customWidth="1"/>
    <col min="4622" max="4864" width="8.83203125" customWidth="1"/>
    <col min="4865" max="4865" width="20.33203125" customWidth="1"/>
    <col min="4866" max="4866" width="11" customWidth="1"/>
    <col min="4867" max="4867" width="7" customWidth="1"/>
    <col min="4868" max="4868" width="5.5" customWidth="1"/>
    <col min="4869" max="4869" width="10.1640625" customWidth="1"/>
    <col min="4870" max="4870" width="10.33203125" customWidth="1"/>
    <col min="4871" max="4871" width="11.6640625" customWidth="1"/>
    <col min="4872" max="4872" width="10.5" customWidth="1"/>
    <col min="4873" max="4873" width="11.33203125" customWidth="1"/>
    <col min="4874" max="4874" width="10.6640625" customWidth="1"/>
    <col min="4875" max="4875" width="12" customWidth="1"/>
    <col min="4876" max="4876" width="11.33203125" customWidth="1"/>
    <col min="4877" max="4877" width="9.83203125" bestFit="1" customWidth="1"/>
    <col min="4878" max="5120" width="8.83203125" customWidth="1"/>
    <col min="5121" max="5121" width="20.33203125" customWidth="1"/>
    <col min="5122" max="5122" width="11" customWidth="1"/>
    <col min="5123" max="5123" width="7" customWidth="1"/>
    <col min="5124" max="5124" width="5.5" customWidth="1"/>
    <col min="5125" max="5125" width="10.1640625" customWidth="1"/>
    <col min="5126" max="5126" width="10.33203125" customWidth="1"/>
    <col min="5127" max="5127" width="11.6640625" customWidth="1"/>
    <col min="5128" max="5128" width="10.5" customWidth="1"/>
    <col min="5129" max="5129" width="11.33203125" customWidth="1"/>
    <col min="5130" max="5130" width="10.6640625" customWidth="1"/>
    <col min="5131" max="5131" width="12" customWidth="1"/>
    <col min="5132" max="5132" width="11.33203125" customWidth="1"/>
    <col min="5133" max="5133" width="9.83203125" bestFit="1" customWidth="1"/>
    <col min="5134" max="5376" width="8.83203125" customWidth="1"/>
    <col min="5377" max="5377" width="20.33203125" customWidth="1"/>
    <col min="5378" max="5378" width="11" customWidth="1"/>
    <col min="5379" max="5379" width="7" customWidth="1"/>
    <col min="5380" max="5380" width="5.5" customWidth="1"/>
    <col min="5381" max="5381" width="10.1640625" customWidth="1"/>
    <col min="5382" max="5382" width="10.33203125" customWidth="1"/>
    <col min="5383" max="5383" width="11.6640625" customWidth="1"/>
    <col min="5384" max="5384" width="10.5" customWidth="1"/>
    <col min="5385" max="5385" width="11.33203125" customWidth="1"/>
    <col min="5386" max="5386" width="10.6640625" customWidth="1"/>
    <col min="5387" max="5387" width="12" customWidth="1"/>
    <col min="5388" max="5388" width="11.33203125" customWidth="1"/>
    <col min="5389" max="5389" width="9.83203125" bestFit="1" customWidth="1"/>
    <col min="5390" max="5632" width="8.83203125" customWidth="1"/>
    <col min="5633" max="5633" width="20.33203125" customWidth="1"/>
    <col min="5634" max="5634" width="11" customWidth="1"/>
    <col min="5635" max="5635" width="7" customWidth="1"/>
    <col min="5636" max="5636" width="5.5" customWidth="1"/>
    <col min="5637" max="5637" width="10.1640625" customWidth="1"/>
    <col min="5638" max="5638" width="10.33203125" customWidth="1"/>
    <col min="5639" max="5639" width="11.6640625" customWidth="1"/>
    <col min="5640" max="5640" width="10.5" customWidth="1"/>
    <col min="5641" max="5641" width="11.33203125" customWidth="1"/>
    <col min="5642" max="5642" width="10.6640625" customWidth="1"/>
    <col min="5643" max="5643" width="12" customWidth="1"/>
    <col min="5644" max="5644" width="11.33203125" customWidth="1"/>
    <col min="5645" max="5645" width="9.83203125" bestFit="1" customWidth="1"/>
    <col min="5646" max="5888" width="8.83203125" customWidth="1"/>
    <col min="5889" max="5889" width="20.33203125" customWidth="1"/>
    <col min="5890" max="5890" width="11" customWidth="1"/>
    <col min="5891" max="5891" width="7" customWidth="1"/>
    <col min="5892" max="5892" width="5.5" customWidth="1"/>
    <col min="5893" max="5893" width="10.1640625" customWidth="1"/>
    <col min="5894" max="5894" width="10.33203125" customWidth="1"/>
    <col min="5895" max="5895" width="11.6640625" customWidth="1"/>
    <col min="5896" max="5896" width="10.5" customWidth="1"/>
    <col min="5897" max="5897" width="11.33203125" customWidth="1"/>
    <col min="5898" max="5898" width="10.6640625" customWidth="1"/>
    <col min="5899" max="5899" width="12" customWidth="1"/>
    <col min="5900" max="5900" width="11.33203125" customWidth="1"/>
    <col min="5901" max="5901" width="9.83203125" bestFit="1" customWidth="1"/>
    <col min="5902" max="6144" width="8.83203125" customWidth="1"/>
    <col min="6145" max="6145" width="20.33203125" customWidth="1"/>
    <col min="6146" max="6146" width="11" customWidth="1"/>
    <col min="6147" max="6147" width="7" customWidth="1"/>
    <col min="6148" max="6148" width="5.5" customWidth="1"/>
    <col min="6149" max="6149" width="10.1640625" customWidth="1"/>
    <col min="6150" max="6150" width="10.33203125" customWidth="1"/>
    <col min="6151" max="6151" width="11.6640625" customWidth="1"/>
    <col min="6152" max="6152" width="10.5" customWidth="1"/>
    <col min="6153" max="6153" width="11.33203125" customWidth="1"/>
    <col min="6154" max="6154" width="10.6640625" customWidth="1"/>
    <col min="6155" max="6155" width="12" customWidth="1"/>
    <col min="6156" max="6156" width="11.33203125" customWidth="1"/>
    <col min="6157" max="6157" width="9.83203125" bestFit="1" customWidth="1"/>
    <col min="6158" max="6400" width="8.83203125" customWidth="1"/>
    <col min="6401" max="6401" width="20.33203125" customWidth="1"/>
    <col min="6402" max="6402" width="11" customWidth="1"/>
    <col min="6403" max="6403" width="7" customWidth="1"/>
    <col min="6404" max="6404" width="5.5" customWidth="1"/>
    <col min="6405" max="6405" width="10.1640625" customWidth="1"/>
    <col min="6406" max="6406" width="10.33203125" customWidth="1"/>
    <col min="6407" max="6407" width="11.6640625" customWidth="1"/>
    <col min="6408" max="6408" width="10.5" customWidth="1"/>
    <col min="6409" max="6409" width="11.33203125" customWidth="1"/>
    <col min="6410" max="6410" width="10.6640625" customWidth="1"/>
    <col min="6411" max="6411" width="12" customWidth="1"/>
    <col min="6412" max="6412" width="11.33203125" customWidth="1"/>
    <col min="6413" max="6413" width="9.83203125" bestFit="1" customWidth="1"/>
    <col min="6414" max="6656" width="8.83203125" customWidth="1"/>
    <col min="6657" max="6657" width="20.33203125" customWidth="1"/>
    <col min="6658" max="6658" width="11" customWidth="1"/>
    <col min="6659" max="6659" width="7" customWidth="1"/>
    <col min="6660" max="6660" width="5.5" customWidth="1"/>
    <col min="6661" max="6661" width="10.1640625" customWidth="1"/>
    <col min="6662" max="6662" width="10.33203125" customWidth="1"/>
    <col min="6663" max="6663" width="11.6640625" customWidth="1"/>
    <col min="6664" max="6664" width="10.5" customWidth="1"/>
    <col min="6665" max="6665" width="11.33203125" customWidth="1"/>
    <col min="6666" max="6666" width="10.6640625" customWidth="1"/>
    <col min="6667" max="6667" width="12" customWidth="1"/>
    <col min="6668" max="6668" width="11.33203125" customWidth="1"/>
    <col min="6669" max="6669" width="9.83203125" bestFit="1" customWidth="1"/>
    <col min="6670" max="6912" width="8.83203125" customWidth="1"/>
    <col min="6913" max="6913" width="20.33203125" customWidth="1"/>
    <col min="6914" max="6914" width="11" customWidth="1"/>
    <col min="6915" max="6915" width="7" customWidth="1"/>
    <col min="6916" max="6916" width="5.5" customWidth="1"/>
    <col min="6917" max="6917" width="10.1640625" customWidth="1"/>
    <col min="6918" max="6918" width="10.33203125" customWidth="1"/>
    <col min="6919" max="6919" width="11.6640625" customWidth="1"/>
    <col min="6920" max="6920" width="10.5" customWidth="1"/>
    <col min="6921" max="6921" width="11.33203125" customWidth="1"/>
    <col min="6922" max="6922" width="10.6640625" customWidth="1"/>
    <col min="6923" max="6923" width="12" customWidth="1"/>
    <col min="6924" max="6924" width="11.33203125" customWidth="1"/>
    <col min="6925" max="6925" width="9.83203125" bestFit="1" customWidth="1"/>
    <col min="6926" max="7168" width="8.83203125" customWidth="1"/>
    <col min="7169" max="7169" width="20.33203125" customWidth="1"/>
    <col min="7170" max="7170" width="11" customWidth="1"/>
    <col min="7171" max="7171" width="7" customWidth="1"/>
    <col min="7172" max="7172" width="5.5" customWidth="1"/>
    <col min="7173" max="7173" width="10.1640625" customWidth="1"/>
    <col min="7174" max="7174" width="10.33203125" customWidth="1"/>
    <col min="7175" max="7175" width="11.6640625" customWidth="1"/>
    <col min="7176" max="7176" width="10.5" customWidth="1"/>
    <col min="7177" max="7177" width="11.33203125" customWidth="1"/>
    <col min="7178" max="7178" width="10.6640625" customWidth="1"/>
    <col min="7179" max="7179" width="12" customWidth="1"/>
    <col min="7180" max="7180" width="11.33203125" customWidth="1"/>
    <col min="7181" max="7181" width="9.83203125" bestFit="1" customWidth="1"/>
    <col min="7182" max="7424" width="8.83203125" customWidth="1"/>
    <col min="7425" max="7425" width="20.33203125" customWidth="1"/>
    <col min="7426" max="7426" width="11" customWidth="1"/>
    <col min="7427" max="7427" width="7" customWidth="1"/>
    <col min="7428" max="7428" width="5.5" customWidth="1"/>
    <col min="7429" max="7429" width="10.1640625" customWidth="1"/>
    <col min="7430" max="7430" width="10.33203125" customWidth="1"/>
    <col min="7431" max="7431" width="11.6640625" customWidth="1"/>
    <col min="7432" max="7432" width="10.5" customWidth="1"/>
    <col min="7433" max="7433" width="11.33203125" customWidth="1"/>
    <col min="7434" max="7434" width="10.6640625" customWidth="1"/>
    <col min="7435" max="7435" width="12" customWidth="1"/>
    <col min="7436" max="7436" width="11.33203125" customWidth="1"/>
    <col min="7437" max="7437" width="9.83203125" bestFit="1" customWidth="1"/>
    <col min="7438" max="7680" width="8.83203125" customWidth="1"/>
    <col min="7681" max="7681" width="20.33203125" customWidth="1"/>
    <col min="7682" max="7682" width="11" customWidth="1"/>
    <col min="7683" max="7683" width="7" customWidth="1"/>
    <col min="7684" max="7684" width="5.5" customWidth="1"/>
    <col min="7685" max="7685" width="10.1640625" customWidth="1"/>
    <col min="7686" max="7686" width="10.33203125" customWidth="1"/>
    <col min="7687" max="7687" width="11.6640625" customWidth="1"/>
    <col min="7688" max="7688" width="10.5" customWidth="1"/>
    <col min="7689" max="7689" width="11.33203125" customWidth="1"/>
    <col min="7690" max="7690" width="10.6640625" customWidth="1"/>
    <col min="7691" max="7691" width="12" customWidth="1"/>
    <col min="7692" max="7692" width="11.33203125" customWidth="1"/>
    <col min="7693" max="7693" width="9.83203125" bestFit="1" customWidth="1"/>
    <col min="7694" max="7936" width="8.83203125" customWidth="1"/>
    <col min="7937" max="7937" width="20.33203125" customWidth="1"/>
    <col min="7938" max="7938" width="11" customWidth="1"/>
    <col min="7939" max="7939" width="7" customWidth="1"/>
    <col min="7940" max="7940" width="5.5" customWidth="1"/>
    <col min="7941" max="7941" width="10.1640625" customWidth="1"/>
    <col min="7942" max="7942" width="10.33203125" customWidth="1"/>
    <col min="7943" max="7943" width="11.6640625" customWidth="1"/>
    <col min="7944" max="7944" width="10.5" customWidth="1"/>
    <col min="7945" max="7945" width="11.33203125" customWidth="1"/>
    <col min="7946" max="7946" width="10.6640625" customWidth="1"/>
    <col min="7947" max="7947" width="12" customWidth="1"/>
    <col min="7948" max="7948" width="11.33203125" customWidth="1"/>
    <col min="7949" max="7949" width="9.83203125" bestFit="1" customWidth="1"/>
    <col min="7950" max="8192" width="8.83203125" customWidth="1"/>
    <col min="8193" max="8193" width="20.33203125" customWidth="1"/>
    <col min="8194" max="8194" width="11" customWidth="1"/>
    <col min="8195" max="8195" width="7" customWidth="1"/>
    <col min="8196" max="8196" width="5.5" customWidth="1"/>
    <col min="8197" max="8197" width="10.1640625" customWidth="1"/>
    <col min="8198" max="8198" width="10.33203125" customWidth="1"/>
    <col min="8199" max="8199" width="11.6640625" customWidth="1"/>
    <col min="8200" max="8200" width="10.5" customWidth="1"/>
    <col min="8201" max="8201" width="11.33203125" customWidth="1"/>
    <col min="8202" max="8202" width="10.6640625" customWidth="1"/>
    <col min="8203" max="8203" width="12" customWidth="1"/>
    <col min="8204" max="8204" width="11.33203125" customWidth="1"/>
    <col min="8205" max="8205" width="9.83203125" bestFit="1" customWidth="1"/>
    <col min="8206" max="8448" width="8.83203125" customWidth="1"/>
    <col min="8449" max="8449" width="20.33203125" customWidth="1"/>
    <col min="8450" max="8450" width="11" customWidth="1"/>
    <col min="8451" max="8451" width="7" customWidth="1"/>
    <col min="8452" max="8452" width="5.5" customWidth="1"/>
    <col min="8453" max="8453" width="10.1640625" customWidth="1"/>
    <col min="8454" max="8454" width="10.33203125" customWidth="1"/>
    <col min="8455" max="8455" width="11.6640625" customWidth="1"/>
    <col min="8456" max="8456" width="10.5" customWidth="1"/>
    <col min="8457" max="8457" width="11.33203125" customWidth="1"/>
    <col min="8458" max="8458" width="10.6640625" customWidth="1"/>
    <col min="8459" max="8459" width="12" customWidth="1"/>
    <col min="8460" max="8460" width="11.33203125" customWidth="1"/>
    <col min="8461" max="8461" width="9.83203125" bestFit="1" customWidth="1"/>
    <col min="8462" max="8704" width="8.83203125" customWidth="1"/>
    <col min="8705" max="8705" width="20.33203125" customWidth="1"/>
    <col min="8706" max="8706" width="11" customWidth="1"/>
    <col min="8707" max="8707" width="7" customWidth="1"/>
    <col min="8708" max="8708" width="5.5" customWidth="1"/>
    <col min="8709" max="8709" width="10.1640625" customWidth="1"/>
    <col min="8710" max="8710" width="10.33203125" customWidth="1"/>
    <col min="8711" max="8711" width="11.6640625" customWidth="1"/>
    <col min="8712" max="8712" width="10.5" customWidth="1"/>
    <col min="8713" max="8713" width="11.33203125" customWidth="1"/>
    <col min="8714" max="8714" width="10.6640625" customWidth="1"/>
    <col min="8715" max="8715" width="12" customWidth="1"/>
    <col min="8716" max="8716" width="11.33203125" customWidth="1"/>
    <col min="8717" max="8717" width="9.83203125" bestFit="1" customWidth="1"/>
    <col min="8718" max="8960" width="8.83203125" customWidth="1"/>
    <col min="8961" max="8961" width="20.33203125" customWidth="1"/>
    <col min="8962" max="8962" width="11" customWidth="1"/>
    <col min="8963" max="8963" width="7" customWidth="1"/>
    <col min="8964" max="8964" width="5.5" customWidth="1"/>
    <col min="8965" max="8965" width="10.1640625" customWidth="1"/>
    <col min="8966" max="8966" width="10.33203125" customWidth="1"/>
    <col min="8967" max="8967" width="11.6640625" customWidth="1"/>
    <col min="8968" max="8968" width="10.5" customWidth="1"/>
    <col min="8969" max="8969" width="11.33203125" customWidth="1"/>
    <col min="8970" max="8970" width="10.6640625" customWidth="1"/>
    <col min="8971" max="8971" width="12" customWidth="1"/>
    <col min="8972" max="8972" width="11.33203125" customWidth="1"/>
    <col min="8973" max="8973" width="9.83203125" bestFit="1" customWidth="1"/>
    <col min="8974" max="9216" width="8.83203125" customWidth="1"/>
    <col min="9217" max="9217" width="20.33203125" customWidth="1"/>
    <col min="9218" max="9218" width="11" customWidth="1"/>
    <col min="9219" max="9219" width="7" customWidth="1"/>
    <col min="9220" max="9220" width="5.5" customWidth="1"/>
    <col min="9221" max="9221" width="10.1640625" customWidth="1"/>
    <col min="9222" max="9222" width="10.33203125" customWidth="1"/>
    <col min="9223" max="9223" width="11.6640625" customWidth="1"/>
    <col min="9224" max="9224" width="10.5" customWidth="1"/>
    <col min="9225" max="9225" width="11.33203125" customWidth="1"/>
    <col min="9226" max="9226" width="10.6640625" customWidth="1"/>
    <col min="9227" max="9227" width="12" customWidth="1"/>
    <col min="9228" max="9228" width="11.33203125" customWidth="1"/>
    <col min="9229" max="9229" width="9.83203125" bestFit="1" customWidth="1"/>
    <col min="9230" max="9472" width="8.83203125" customWidth="1"/>
    <col min="9473" max="9473" width="20.33203125" customWidth="1"/>
    <col min="9474" max="9474" width="11" customWidth="1"/>
    <col min="9475" max="9475" width="7" customWidth="1"/>
    <col min="9476" max="9476" width="5.5" customWidth="1"/>
    <col min="9477" max="9477" width="10.1640625" customWidth="1"/>
    <col min="9478" max="9478" width="10.33203125" customWidth="1"/>
    <col min="9479" max="9479" width="11.6640625" customWidth="1"/>
    <col min="9480" max="9480" width="10.5" customWidth="1"/>
    <col min="9481" max="9481" width="11.33203125" customWidth="1"/>
    <col min="9482" max="9482" width="10.6640625" customWidth="1"/>
    <col min="9483" max="9483" width="12" customWidth="1"/>
    <col min="9484" max="9484" width="11.33203125" customWidth="1"/>
    <col min="9485" max="9485" width="9.83203125" bestFit="1" customWidth="1"/>
    <col min="9486" max="9728" width="8.83203125" customWidth="1"/>
    <col min="9729" max="9729" width="20.33203125" customWidth="1"/>
    <col min="9730" max="9730" width="11" customWidth="1"/>
    <col min="9731" max="9731" width="7" customWidth="1"/>
    <col min="9732" max="9732" width="5.5" customWidth="1"/>
    <col min="9733" max="9733" width="10.1640625" customWidth="1"/>
    <col min="9734" max="9734" width="10.33203125" customWidth="1"/>
    <col min="9735" max="9735" width="11.6640625" customWidth="1"/>
    <col min="9736" max="9736" width="10.5" customWidth="1"/>
    <col min="9737" max="9737" width="11.33203125" customWidth="1"/>
    <col min="9738" max="9738" width="10.6640625" customWidth="1"/>
    <col min="9739" max="9739" width="12" customWidth="1"/>
    <col min="9740" max="9740" width="11.33203125" customWidth="1"/>
    <col min="9741" max="9741" width="9.83203125" bestFit="1" customWidth="1"/>
    <col min="9742" max="9984" width="8.83203125" customWidth="1"/>
    <col min="9985" max="9985" width="20.33203125" customWidth="1"/>
    <col min="9986" max="9986" width="11" customWidth="1"/>
    <col min="9987" max="9987" width="7" customWidth="1"/>
    <col min="9988" max="9988" width="5.5" customWidth="1"/>
    <col min="9989" max="9989" width="10.1640625" customWidth="1"/>
    <col min="9990" max="9990" width="10.33203125" customWidth="1"/>
    <col min="9991" max="9991" width="11.6640625" customWidth="1"/>
    <col min="9992" max="9992" width="10.5" customWidth="1"/>
    <col min="9993" max="9993" width="11.33203125" customWidth="1"/>
    <col min="9994" max="9994" width="10.6640625" customWidth="1"/>
    <col min="9995" max="9995" width="12" customWidth="1"/>
    <col min="9996" max="9996" width="11.33203125" customWidth="1"/>
    <col min="9997" max="9997" width="9.83203125" bestFit="1" customWidth="1"/>
    <col min="9998" max="10240" width="8.83203125" customWidth="1"/>
    <col min="10241" max="10241" width="20.33203125" customWidth="1"/>
    <col min="10242" max="10242" width="11" customWidth="1"/>
    <col min="10243" max="10243" width="7" customWidth="1"/>
    <col min="10244" max="10244" width="5.5" customWidth="1"/>
    <col min="10245" max="10245" width="10.1640625" customWidth="1"/>
    <col min="10246" max="10246" width="10.33203125" customWidth="1"/>
    <col min="10247" max="10247" width="11.6640625" customWidth="1"/>
    <col min="10248" max="10248" width="10.5" customWidth="1"/>
    <col min="10249" max="10249" width="11.33203125" customWidth="1"/>
    <col min="10250" max="10250" width="10.6640625" customWidth="1"/>
    <col min="10251" max="10251" width="12" customWidth="1"/>
    <col min="10252" max="10252" width="11.33203125" customWidth="1"/>
    <col min="10253" max="10253" width="9.83203125" bestFit="1" customWidth="1"/>
    <col min="10254" max="10496" width="8.83203125" customWidth="1"/>
    <col min="10497" max="10497" width="20.33203125" customWidth="1"/>
    <col min="10498" max="10498" width="11" customWidth="1"/>
    <col min="10499" max="10499" width="7" customWidth="1"/>
    <col min="10500" max="10500" width="5.5" customWidth="1"/>
    <col min="10501" max="10501" width="10.1640625" customWidth="1"/>
    <col min="10502" max="10502" width="10.33203125" customWidth="1"/>
    <col min="10503" max="10503" width="11.6640625" customWidth="1"/>
    <col min="10504" max="10504" width="10.5" customWidth="1"/>
    <col min="10505" max="10505" width="11.33203125" customWidth="1"/>
    <col min="10506" max="10506" width="10.6640625" customWidth="1"/>
    <col min="10507" max="10507" width="12" customWidth="1"/>
    <col min="10508" max="10508" width="11.33203125" customWidth="1"/>
    <col min="10509" max="10509" width="9.83203125" bestFit="1" customWidth="1"/>
    <col min="10510" max="10752" width="8.83203125" customWidth="1"/>
    <col min="10753" max="10753" width="20.33203125" customWidth="1"/>
    <col min="10754" max="10754" width="11" customWidth="1"/>
    <col min="10755" max="10755" width="7" customWidth="1"/>
    <col min="10756" max="10756" width="5.5" customWidth="1"/>
    <col min="10757" max="10757" width="10.1640625" customWidth="1"/>
    <col min="10758" max="10758" width="10.33203125" customWidth="1"/>
    <col min="10759" max="10759" width="11.6640625" customWidth="1"/>
    <col min="10760" max="10760" width="10.5" customWidth="1"/>
    <col min="10761" max="10761" width="11.33203125" customWidth="1"/>
    <col min="10762" max="10762" width="10.6640625" customWidth="1"/>
    <col min="10763" max="10763" width="12" customWidth="1"/>
    <col min="10764" max="10764" width="11.33203125" customWidth="1"/>
    <col min="10765" max="10765" width="9.83203125" bestFit="1" customWidth="1"/>
    <col min="10766" max="11008" width="8.83203125" customWidth="1"/>
    <col min="11009" max="11009" width="20.33203125" customWidth="1"/>
    <col min="11010" max="11010" width="11" customWidth="1"/>
    <col min="11011" max="11011" width="7" customWidth="1"/>
    <col min="11012" max="11012" width="5.5" customWidth="1"/>
    <col min="11013" max="11013" width="10.1640625" customWidth="1"/>
    <col min="11014" max="11014" width="10.33203125" customWidth="1"/>
    <col min="11015" max="11015" width="11.6640625" customWidth="1"/>
    <col min="11016" max="11016" width="10.5" customWidth="1"/>
    <col min="11017" max="11017" width="11.33203125" customWidth="1"/>
    <col min="11018" max="11018" width="10.6640625" customWidth="1"/>
    <col min="11019" max="11019" width="12" customWidth="1"/>
    <col min="11020" max="11020" width="11.33203125" customWidth="1"/>
    <col min="11021" max="11021" width="9.83203125" bestFit="1" customWidth="1"/>
    <col min="11022" max="11264" width="8.83203125" customWidth="1"/>
    <col min="11265" max="11265" width="20.33203125" customWidth="1"/>
    <col min="11266" max="11266" width="11" customWidth="1"/>
    <col min="11267" max="11267" width="7" customWidth="1"/>
    <col min="11268" max="11268" width="5.5" customWidth="1"/>
    <col min="11269" max="11269" width="10.1640625" customWidth="1"/>
    <col min="11270" max="11270" width="10.33203125" customWidth="1"/>
    <col min="11271" max="11271" width="11.6640625" customWidth="1"/>
    <col min="11272" max="11272" width="10.5" customWidth="1"/>
    <col min="11273" max="11273" width="11.33203125" customWidth="1"/>
    <col min="11274" max="11274" width="10.6640625" customWidth="1"/>
    <col min="11275" max="11275" width="12" customWidth="1"/>
    <col min="11276" max="11276" width="11.33203125" customWidth="1"/>
    <col min="11277" max="11277" width="9.83203125" bestFit="1" customWidth="1"/>
    <col min="11278" max="11520" width="8.83203125" customWidth="1"/>
    <col min="11521" max="11521" width="20.33203125" customWidth="1"/>
    <col min="11522" max="11522" width="11" customWidth="1"/>
    <col min="11523" max="11523" width="7" customWidth="1"/>
    <col min="11524" max="11524" width="5.5" customWidth="1"/>
    <col min="11525" max="11525" width="10.1640625" customWidth="1"/>
    <col min="11526" max="11526" width="10.33203125" customWidth="1"/>
    <col min="11527" max="11527" width="11.6640625" customWidth="1"/>
    <col min="11528" max="11528" width="10.5" customWidth="1"/>
    <col min="11529" max="11529" width="11.33203125" customWidth="1"/>
    <col min="11530" max="11530" width="10.6640625" customWidth="1"/>
    <col min="11531" max="11531" width="12" customWidth="1"/>
    <col min="11532" max="11532" width="11.33203125" customWidth="1"/>
    <col min="11533" max="11533" width="9.83203125" bestFit="1" customWidth="1"/>
    <col min="11534" max="11776" width="8.83203125" customWidth="1"/>
    <col min="11777" max="11777" width="20.33203125" customWidth="1"/>
    <col min="11778" max="11778" width="11" customWidth="1"/>
    <col min="11779" max="11779" width="7" customWidth="1"/>
    <col min="11780" max="11780" width="5.5" customWidth="1"/>
    <col min="11781" max="11781" width="10.1640625" customWidth="1"/>
    <col min="11782" max="11782" width="10.33203125" customWidth="1"/>
    <col min="11783" max="11783" width="11.6640625" customWidth="1"/>
    <col min="11784" max="11784" width="10.5" customWidth="1"/>
    <col min="11785" max="11785" width="11.33203125" customWidth="1"/>
    <col min="11786" max="11786" width="10.6640625" customWidth="1"/>
    <col min="11787" max="11787" width="12" customWidth="1"/>
    <col min="11788" max="11788" width="11.33203125" customWidth="1"/>
    <col min="11789" max="11789" width="9.83203125" bestFit="1" customWidth="1"/>
    <col min="11790" max="12032" width="8.83203125" customWidth="1"/>
    <col min="12033" max="12033" width="20.33203125" customWidth="1"/>
    <col min="12034" max="12034" width="11" customWidth="1"/>
    <col min="12035" max="12035" width="7" customWidth="1"/>
    <col min="12036" max="12036" width="5.5" customWidth="1"/>
    <col min="12037" max="12037" width="10.1640625" customWidth="1"/>
    <col min="12038" max="12038" width="10.33203125" customWidth="1"/>
    <col min="12039" max="12039" width="11.6640625" customWidth="1"/>
    <col min="12040" max="12040" width="10.5" customWidth="1"/>
    <col min="12041" max="12041" width="11.33203125" customWidth="1"/>
    <col min="12042" max="12042" width="10.6640625" customWidth="1"/>
    <col min="12043" max="12043" width="12" customWidth="1"/>
    <col min="12044" max="12044" width="11.33203125" customWidth="1"/>
    <col min="12045" max="12045" width="9.83203125" bestFit="1" customWidth="1"/>
    <col min="12046" max="12288" width="8.83203125" customWidth="1"/>
    <col min="12289" max="12289" width="20.33203125" customWidth="1"/>
    <col min="12290" max="12290" width="11" customWidth="1"/>
    <col min="12291" max="12291" width="7" customWidth="1"/>
    <col min="12292" max="12292" width="5.5" customWidth="1"/>
    <col min="12293" max="12293" width="10.1640625" customWidth="1"/>
    <col min="12294" max="12294" width="10.33203125" customWidth="1"/>
    <col min="12295" max="12295" width="11.6640625" customWidth="1"/>
    <col min="12296" max="12296" width="10.5" customWidth="1"/>
    <col min="12297" max="12297" width="11.33203125" customWidth="1"/>
    <col min="12298" max="12298" width="10.6640625" customWidth="1"/>
    <col min="12299" max="12299" width="12" customWidth="1"/>
    <col min="12300" max="12300" width="11.33203125" customWidth="1"/>
    <col min="12301" max="12301" width="9.83203125" bestFit="1" customWidth="1"/>
    <col min="12302" max="12544" width="8.83203125" customWidth="1"/>
    <col min="12545" max="12545" width="20.33203125" customWidth="1"/>
    <col min="12546" max="12546" width="11" customWidth="1"/>
    <col min="12547" max="12547" width="7" customWidth="1"/>
    <col min="12548" max="12548" width="5.5" customWidth="1"/>
    <col min="12549" max="12549" width="10.1640625" customWidth="1"/>
    <col min="12550" max="12550" width="10.33203125" customWidth="1"/>
    <col min="12551" max="12551" width="11.6640625" customWidth="1"/>
    <col min="12552" max="12552" width="10.5" customWidth="1"/>
    <col min="12553" max="12553" width="11.33203125" customWidth="1"/>
    <col min="12554" max="12554" width="10.6640625" customWidth="1"/>
    <col min="12555" max="12555" width="12" customWidth="1"/>
    <col min="12556" max="12556" width="11.33203125" customWidth="1"/>
    <col min="12557" max="12557" width="9.83203125" bestFit="1" customWidth="1"/>
    <col min="12558" max="12800" width="8.83203125" customWidth="1"/>
    <col min="12801" max="12801" width="20.33203125" customWidth="1"/>
    <col min="12802" max="12802" width="11" customWidth="1"/>
    <col min="12803" max="12803" width="7" customWidth="1"/>
    <col min="12804" max="12804" width="5.5" customWidth="1"/>
    <col min="12805" max="12805" width="10.1640625" customWidth="1"/>
    <col min="12806" max="12806" width="10.33203125" customWidth="1"/>
    <col min="12807" max="12807" width="11.6640625" customWidth="1"/>
    <col min="12808" max="12808" width="10.5" customWidth="1"/>
    <col min="12809" max="12809" width="11.33203125" customWidth="1"/>
    <col min="12810" max="12810" width="10.6640625" customWidth="1"/>
    <col min="12811" max="12811" width="12" customWidth="1"/>
    <col min="12812" max="12812" width="11.33203125" customWidth="1"/>
    <col min="12813" max="12813" width="9.83203125" bestFit="1" customWidth="1"/>
    <col min="12814" max="13056" width="8.83203125" customWidth="1"/>
    <col min="13057" max="13057" width="20.33203125" customWidth="1"/>
    <col min="13058" max="13058" width="11" customWidth="1"/>
    <col min="13059" max="13059" width="7" customWidth="1"/>
    <col min="13060" max="13060" width="5.5" customWidth="1"/>
    <col min="13061" max="13061" width="10.1640625" customWidth="1"/>
    <col min="13062" max="13062" width="10.33203125" customWidth="1"/>
    <col min="13063" max="13063" width="11.6640625" customWidth="1"/>
    <col min="13064" max="13064" width="10.5" customWidth="1"/>
    <col min="13065" max="13065" width="11.33203125" customWidth="1"/>
    <col min="13066" max="13066" width="10.6640625" customWidth="1"/>
    <col min="13067" max="13067" width="12" customWidth="1"/>
    <col min="13068" max="13068" width="11.33203125" customWidth="1"/>
    <col min="13069" max="13069" width="9.83203125" bestFit="1" customWidth="1"/>
    <col min="13070" max="13312" width="8.83203125" customWidth="1"/>
    <col min="13313" max="13313" width="20.33203125" customWidth="1"/>
    <col min="13314" max="13314" width="11" customWidth="1"/>
    <col min="13315" max="13315" width="7" customWidth="1"/>
    <col min="13316" max="13316" width="5.5" customWidth="1"/>
    <col min="13317" max="13317" width="10.1640625" customWidth="1"/>
    <col min="13318" max="13318" width="10.33203125" customWidth="1"/>
    <col min="13319" max="13319" width="11.6640625" customWidth="1"/>
    <col min="13320" max="13320" width="10.5" customWidth="1"/>
    <col min="13321" max="13321" width="11.33203125" customWidth="1"/>
    <col min="13322" max="13322" width="10.6640625" customWidth="1"/>
    <col min="13323" max="13323" width="12" customWidth="1"/>
    <col min="13324" max="13324" width="11.33203125" customWidth="1"/>
    <col min="13325" max="13325" width="9.83203125" bestFit="1" customWidth="1"/>
    <col min="13326" max="13568" width="8.83203125" customWidth="1"/>
    <col min="13569" max="13569" width="20.33203125" customWidth="1"/>
    <col min="13570" max="13570" width="11" customWidth="1"/>
    <col min="13571" max="13571" width="7" customWidth="1"/>
    <col min="13572" max="13572" width="5.5" customWidth="1"/>
    <col min="13573" max="13573" width="10.1640625" customWidth="1"/>
    <col min="13574" max="13574" width="10.33203125" customWidth="1"/>
    <col min="13575" max="13575" width="11.6640625" customWidth="1"/>
    <col min="13576" max="13576" width="10.5" customWidth="1"/>
    <col min="13577" max="13577" width="11.33203125" customWidth="1"/>
    <col min="13578" max="13578" width="10.6640625" customWidth="1"/>
    <col min="13579" max="13579" width="12" customWidth="1"/>
    <col min="13580" max="13580" width="11.33203125" customWidth="1"/>
    <col min="13581" max="13581" width="9.83203125" bestFit="1" customWidth="1"/>
    <col min="13582" max="13824" width="8.83203125" customWidth="1"/>
    <col min="13825" max="13825" width="20.33203125" customWidth="1"/>
    <col min="13826" max="13826" width="11" customWidth="1"/>
    <col min="13827" max="13827" width="7" customWidth="1"/>
    <col min="13828" max="13828" width="5.5" customWidth="1"/>
    <col min="13829" max="13829" width="10.1640625" customWidth="1"/>
    <col min="13830" max="13830" width="10.33203125" customWidth="1"/>
    <col min="13831" max="13831" width="11.6640625" customWidth="1"/>
    <col min="13832" max="13832" width="10.5" customWidth="1"/>
    <col min="13833" max="13833" width="11.33203125" customWidth="1"/>
    <col min="13834" max="13834" width="10.6640625" customWidth="1"/>
    <col min="13835" max="13835" width="12" customWidth="1"/>
    <col min="13836" max="13836" width="11.33203125" customWidth="1"/>
    <col min="13837" max="13837" width="9.83203125" bestFit="1" customWidth="1"/>
    <col min="13838" max="14080" width="8.83203125" customWidth="1"/>
    <col min="14081" max="14081" width="20.33203125" customWidth="1"/>
    <col min="14082" max="14082" width="11" customWidth="1"/>
    <col min="14083" max="14083" width="7" customWidth="1"/>
    <col min="14084" max="14084" width="5.5" customWidth="1"/>
    <col min="14085" max="14085" width="10.1640625" customWidth="1"/>
    <col min="14086" max="14086" width="10.33203125" customWidth="1"/>
    <col min="14087" max="14087" width="11.6640625" customWidth="1"/>
    <col min="14088" max="14088" width="10.5" customWidth="1"/>
    <col min="14089" max="14089" width="11.33203125" customWidth="1"/>
    <col min="14090" max="14090" width="10.6640625" customWidth="1"/>
    <col min="14091" max="14091" width="12" customWidth="1"/>
    <col min="14092" max="14092" width="11.33203125" customWidth="1"/>
    <col min="14093" max="14093" width="9.83203125" bestFit="1" customWidth="1"/>
    <col min="14094" max="14336" width="8.83203125" customWidth="1"/>
    <col min="14337" max="14337" width="20.33203125" customWidth="1"/>
    <col min="14338" max="14338" width="11" customWidth="1"/>
    <col min="14339" max="14339" width="7" customWidth="1"/>
    <col min="14340" max="14340" width="5.5" customWidth="1"/>
    <col min="14341" max="14341" width="10.1640625" customWidth="1"/>
    <col min="14342" max="14342" width="10.33203125" customWidth="1"/>
    <col min="14343" max="14343" width="11.6640625" customWidth="1"/>
    <col min="14344" max="14344" width="10.5" customWidth="1"/>
    <col min="14345" max="14345" width="11.33203125" customWidth="1"/>
    <col min="14346" max="14346" width="10.6640625" customWidth="1"/>
    <col min="14347" max="14347" width="12" customWidth="1"/>
    <col min="14348" max="14348" width="11.33203125" customWidth="1"/>
    <col min="14349" max="14349" width="9.83203125" bestFit="1" customWidth="1"/>
    <col min="14350" max="14592" width="8.83203125" customWidth="1"/>
    <col min="14593" max="14593" width="20.33203125" customWidth="1"/>
    <col min="14594" max="14594" width="11" customWidth="1"/>
    <col min="14595" max="14595" width="7" customWidth="1"/>
    <col min="14596" max="14596" width="5.5" customWidth="1"/>
    <col min="14597" max="14597" width="10.1640625" customWidth="1"/>
    <col min="14598" max="14598" width="10.33203125" customWidth="1"/>
    <col min="14599" max="14599" width="11.6640625" customWidth="1"/>
    <col min="14600" max="14600" width="10.5" customWidth="1"/>
    <col min="14601" max="14601" width="11.33203125" customWidth="1"/>
    <col min="14602" max="14602" width="10.6640625" customWidth="1"/>
    <col min="14603" max="14603" width="12" customWidth="1"/>
    <col min="14604" max="14604" width="11.33203125" customWidth="1"/>
    <col min="14605" max="14605" width="9.83203125" bestFit="1" customWidth="1"/>
    <col min="14606" max="14848" width="8.83203125" customWidth="1"/>
    <col min="14849" max="14849" width="20.33203125" customWidth="1"/>
    <col min="14850" max="14850" width="11" customWidth="1"/>
    <col min="14851" max="14851" width="7" customWidth="1"/>
    <col min="14852" max="14852" width="5.5" customWidth="1"/>
    <col min="14853" max="14853" width="10.1640625" customWidth="1"/>
    <col min="14854" max="14854" width="10.33203125" customWidth="1"/>
    <col min="14855" max="14855" width="11.6640625" customWidth="1"/>
    <col min="14856" max="14856" width="10.5" customWidth="1"/>
    <col min="14857" max="14857" width="11.33203125" customWidth="1"/>
    <col min="14858" max="14858" width="10.6640625" customWidth="1"/>
    <col min="14859" max="14859" width="12" customWidth="1"/>
    <col min="14860" max="14860" width="11.33203125" customWidth="1"/>
    <col min="14861" max="14861" width="9.83203125" bestFit="1" customWidth="1"/>
    <col min="14862" max="15104" width="8.83203125" customWidth="1"/>
    <col min="15105" max="15105" width="20.33203125" customWidth="1"/>
    <col min="15106" max="15106" width="11" customWidth="1"/>
    <col min="15107" max="15107" width="7" customWidth="1"/>
    <col min="15108" max="15108" width="5.5" customWidth="1"/>
    <col min="15109" max="15109" width="10.1640625" customWidth="1"/>
    <col min="15110" max="15110" width="10.33203125" customWidth="1"/>
    <col min="15111" max="15111" width="11.6640625" customWidth="1"/>
    <col min="15112" max="15112" width="10.5" customWidth="1"/>
    <col min="15113" max="15113" width="11.33203125" customWidth="1"/>
    <col min="15114" max="15114" width="10.6640625" customWidth="1"/>
    <col min="15115" max="15115" width="12" customWidth="1"/>
    <col min="15116" max="15116" width="11.33203125" customWidth="1"/>
    <col min="15117" max="15117" width="9.83203125" bestFit="1" customWidth="1"/>
    <col min="15118" max="15360" width="8.83203125" customWidth="1"/>
    <col min="15361" max="15361" width="20.33203125" customWidth="1"/>
    <col min="15362" max="15362" width="11" customWidth="1"/>
    <col min="15363" max="15363" width="7" customWidth="1"/>
    <col min="15364" max="15364" width="5.5" customWidth="1"/>
    <col min="15365" max="15365" width="10.1640625" customWidth="1"/>
    <col min="15366" max="15366" width="10.33203125" customWidth="1"/>
    <col min="15367" max="15367" width="11.6640625" customWidth="1"/>
    <col min="15368" max="15368" width="10.5" customWidth="1"/>
    <col min="15369" max="15369" width="11.33203125" customWidth="1"/>
    <col min="15370" max="15370" width="10.6640625" customWidth="1"/>
    <col min="15371" max="15371" width="12" customWidth="1"/>
    <col min="15372" max="15372" width="11.33203125" customWidth="1"/>
    <col min="15373" max="15373" width="9.83203125" bestFit="1" customWidth="1"/>
    <col min="15374" max="15616" width="8.83203125" customWidth="1"/>
    <col min="15617" max="15617" width="20.33203125" customWidth="1"/>
    <col min="15618" max="15618" width="11" customWidth="1"/>
    <col min="15619" max="15619" width="7" customWidth="1"/>
    <col min="15620" max="15620" width="5.5" customWidth="1"/>
    <col min="15621" max="15621" width="10.1640625" customWidth="1"/>
    <col min="15622" max="15622" width="10.33203125" customWidth="1"/>
    <col min="15623" max="15623" width="11.6640625" customWidth="1"/>
    <col min="15624" max="15624" width="10.5" customWidth="1"/>
    <col min="15625" max="15625" width="11.33203125" customWidth="1"/>
    <col min="15626" max="15626" width="10.6640625" customWidth="1"/>
    <col min="15627" max="15627" width="12" customWidth="1"/>
    <col min="15628" max="15628" width="11.33203125" customWidth="1"/>
    <col min="15629" max="15629" width="9.83203125" bestFit="1" customWidth="1"/>
    <col min="15630" max="15872" width="8.83203125" customWidth="1"/>
    <col min="15873" max="15873" width="20.33203125" customWidth="1"/>
    <col min="15874" max="15874" width="11" customWidth="1"/>
    <col min="15875" max="15875" width="7" customWidth="1"/>
    <col min="15876" max="15876" width="5.5" customWidth="1"/>
    <col min="15877" max="15877" width="10.1640625" customWidth="1"/>
    <col min="15878" max="15878" width="10.33203125" customWidth="1"/>
    <col min="15879" max="15879" width="11.6640625" customWidth="1"/>
    <col min="15880" max="15880" width="10.5" customWidth="1"/>
    <col min="15881" max="15881" width="11.33203125" customWidth="1"/>
    <col min="15882" max="15882" width="10.6640625" customWidth="1"/>
    <col min="15883" max="15883" width="12" customWidth="1"/>
    <col min="15884" max="15884" width="11.33203125" customWidth="1"/>
    <col min="15885" max="15885" width="9.83203125" bestFit="1" customWidth="1"/>
    <col min="15886" max="16128" width="8.83203125" customWidth="1"/>
    <col min="16129" max="16129" width="20.33203125" customWidth="1"/>
    <col min="16130" max="16130" width="11" customWidth="1"/>
    <col min="16131" max="16131" width="7" customWidth="1"/>
    <col min="16132" max="16132" width="5.5" customWidth="1"/>
    <col min="16133" max="16133" width="10.1640625" customWidth="1"/>
    <col min="16134" max="16134" width="10.33203125" customWidth="1"/>
    <col min="16135" max="16135" width="11.6640625" customWidth="1"/>
    <col min="16136" max="16136" width="10.5" customWidth="1"/>
    <col min="16137" max="16137" width="11.33203125" customWidth="1"/>
    <col min="16138" max="16138" width="10.6640625" customWidth="1"/>
    <col min="16139" max="16139" width="12" customWidth="1"/>
    <col min="16140" max="16140" width="11.33203125" customWidth="1"/>
    <col min="16141" max="16141" width="9.83203125" bestFit="1" customWidth="1"/>
    <col min="16142" max="16384" width="8.83203125" customWidth="1"/>
  </cols>
  <sheetData>
    <row r="1" spans="1:13" ht="16">
      <c r="A1" s="1277"/>
      <c r="B1" s="1284" t="s">
        <v>1011</v>
      </c>
      <c r="C1" s="1284"/>
      <c r="D1" s="1284"/>
      <c r="E1" s="1284"/>
      <c r="F1" s="934"/>
      <c r="G1" s="934"/>
      <c r="H1" s="934" t="s">
        <v>1012</v>
      </c>
      <c r="I1" s="934"/>
      <c r="J1" s="934"/>
      <c r="K1" s="1285"/>
      <c r="L1" s="1285"/>
    </row>
    <row r="2" spans="1:13" ht="18">
      <c r="A2" s="1277"/>
      <c r="B2" s="934" t="s">
        <v>138</v>
      </c>
      <c r="C2" s="934"/>
      <c r="D2" s="934"/>
      <c r="E2" s="934"/>
      <c r="F2" s="934"/>
      <c r="G2" s="934"/>
      <c r="H2" s="1286" t="s">
        <v>1013</v>
      </c>
      <c r="I2" s="1286"/>
      <c r="J2" s="1287"/>
      <c r="K2" s="1287"/>
      <c r="L2" s="1287"/>
    </row>
    <row r="3" spans="1:13" ht="18" hidden="1">
      <c r="A3" s="1288"/>
      <c r="B3" s="1285"/>
      <c r="C3" s="1285"/>
      <c r="D3" s="1285"/>
      <c r="E3" s="1285"/>
      <c r="F3" s="1289"/>
      <c r="G3" s="1289"/>
      <c r="H3" s="1287"/>
      <c r="I3" s="1287"/>
      <c r="J3" s="1287"/>
      <c r="K3" s="1287"/>
      <c r="L3" s="1287"/>
    </row>
    <row r="4" spans="1:13" ht="23">
      <c r="A4" s="122"/>
      <c r="B4" s="1290" t="s">
        <v>1163</v>
      </c>
      <c r="C4" s="1290"/>
      <c r="D4" s="1291"/>
      <c r="E4" s="1291"/>
      <c r="F4" s="1291"/>
      <c r="G4" s="1292"/>
      <c r="H4" s="1292"/>
      <c r="I4" s="1292"/>
      <c r="J4" s="1292"/>
      <c r="K4" s="1293"/>
      <c r="L4" s="1293"/>
    </row>
    <row r="5" spans="1:13" ht="21">
      <c r="A5" s="508" t="s">
        <v>1164</v>
      </c>
      <c r="B5" s="1294"/>
      <c r="C5" s="1294"/>
      <c r="D5" s="1294" t="s">
        <v>1165</v>
      </c>
      <c r="E5" s="1294"/>
      <c r="F5" s="1294"/>
      <c r="G5" s="1295"/>
      <c r="H5" s="1295"/>
      <c r="I5" s="1296"/>
      <c r="J5" s="1296"/>
      <c r="K5" s="1297"/>
      <c r="L5" s="1297"/>
    </row>
    <row r="6" spans="1:13" ht="16">
      <c r="D6" s="1298"/>
      <c r="E6" s="1299"/>
      <c r="F6" s="1299"/>
      <c r="G6" s="1299"/>
      <c r="H6" s="1299"/>
      <c r="I6" s="1299"/>
      <c r="J6" s="1299"/>
      <c r="K6" s="1"/>
    </row>
    <row r="7" spans="1:13" hidden="1">
      <c r="E7" s="1"/>
      <c r="F7" s="1"/>
      <c r="G7" s="1"/>
      <c r="H7" s="1"/>
      <c r="I7" s="1"/>
      <c r="J7" s="1"/>
      <c r="K7" s="1"/>
    </row>
    <row r="8" spans="1:13" ht="39">
      <c r="A8" s="1248" t="s">
        <v>1126</v>
      </c>
      <c r="B8" s="1249" t="s">
        <v>1127</v>
      </c>
      <c r="C8" s="1249" t="s">
        <v>1128</v>
      </c>
      <c r="D8" s="1249" t="s">
        <v>1129</v>
      </c>
      <c r="E8" s="1250" t="s">
        <v>1130</v>
      </c>
      <c r="F8" s="1250" t="s">
        <v>1131</v>
      </c>
      <c r="G8" s="1250" t="s">
        <v>1132</v>
      </c>
      <c r="H8" s="1250" t="s">
        <v>1133</v>
      </c>
      <c r="I8" s="1250" t="s">
        <v>1134</v>
      </c>
      <c r="J8" s="1250" t="s">
        <v>1135</v>
      </c>
      <c r="K8" s="1251" t="s">
        <v>1136</v>
      </c>
      <c r="L8" s="1250" t="s">
        <v>1137</v>
      </c>
    </row>
    <row r="9" spans="1:13">
      <c r="A9" s="1252"/>
      <c r="B9" s="1253"/>
      <c r="C9" s="1254"/>
      <c r="D9" s="1255"/>
      <c r="E9" s="1256" t="s">
        <v>1138</v>
      </c>
      <c r="F9" s="1257" t="s">
        <v>1139</v>
      </c>
      <c r="G9" s="1257" t="s">
        <v>1140</v>
      </c>
      <c r="H9" s="1257" t="s">
        <v>1141</v>
      </c>
      <c r="I9" s="1257" t="s">
        <v>1142</v>
      </c>
      <c r="J9" s="1257" t="s">
        <v>1143</v>
      </c>
      <c r="K9" s="1258" t="s">
        <v>1144</v>
      </c>
      <c r="L9" s="1259"/>
    </row>
    <row r="10" spans="1:13" ht="14">
      <c r="A10" s="1702" t="s">
        <v>1112</v>
      </c>
      <c r="B10" s="1260" t="s">
        <v>1145</v>
      </c>
      <c r="C10" s="1261">
        <v>20</v>
      </c>
      <c r="D10" s="1262">
        <v>2</v>
      </c>
      <c r="E10" s="1263">
        <v>900000</v>
      </c>
      <c r="F10" s="1263">
        <v>200000</v>
      </c>
      <c r="G10" s="1264">
        <v>1200000</v>
      </c>
      <c r="H10" s="1265">
        <v>1000000</v>
      </c>
      <c r="I10" s="1263">
        <v>320000</v>
      </c>
      <c r="J10" s="1264">
        <v>1200000</v>
      </c>
      <c r="K10" s="1263">
        <v>700000</v>
      </c>
      <c r="L10" s="1266">
        <f>SUM(E10:K10)</f>
        <v>5520000</v>
      </c>
    </row>
    <row r="11" spans="1:13" ht="14">
      <c r="A11" s="1702"/>
      <c r="B11" s="1260" t="s">
        <v>1146</v>
      </c>
      <c r="C11" s="1261">
        <v>20</v>
      </c>
      <c r="D11" s="1262">
        <v>2</v>
      </c>
      <c r="E11" s="1263"/>
      <c r="F11" s="1263">
        <v>200000</v>
      </c>
      <c r="G11" s="1264">
        <v>1200000</v>
      </c>
      <c r="H11" s="1265">
        <v>1000000</v>
      </c>
      <c r="I11" s="1263">
        <v>320000</v>
      </c>
      <c r="J11" s="1264">
        <v>1200000</v>
      </c>
      <c r="K11" s="1267"/>
      <c r="L11" s="1268">
        <f>SUM(F11:J11)</f>
        <v>3920000</v>
      </c>
      <c r="M11" s="1300"/>
    </row>
    <row r="12" spans="1:13" ht="14">
      <c r="A12" s="1701" t="s">
        <v>1113</v>
      </c>
      <c r="B12" s="1260" t="s">
        <v>1147</v>
      </c>
      <c r="C12" s="1261">
        <v>20</v>
      </c>
      <c r="D12" s="1262">
        <v>2</v>
      </c>
      <c r="E12" s="1263">
        <v>900000</v>
      </c>
      <c r="F12" s="1263">
        <v>200000</v>
      </c>
      <c r="G12" s="1264">
        <v>1200000</v>
      </c>
      <c r="H12" s="1265">
        <v>1000000</v>
      </c>
      <c r="I12" s="1263">
        <v>320000</v>
      </c>
      <c r="J12" s="1264">
        <v>1200000</v>
      </c>
      <c r="K12" s="1263">
        <v>700000</v>
      </c>
      <c r="L12" s="1266">
        <f>SUM(E12:K12)</f>
        <v>5520000</v>
      </c>
    </row>
    <row r="13" spans="1:13" ht="14">
      <c r="A13" s="1701"/>
      <c r="B13" s="1260" t="s">
        <v>1148</v>
      </c>
      <c r="C13" s="1261">
        <v>20</v>
      </c>
      <c r="D13" s="1262">
        <v>2</v>
      </c>
      <c r="E13" s="1263"/>
      <c r="F13" s="1263">
        <v>200000</v>
      </c>
      <c r="G13" s="1264">
        <v>1200000</v>
      </c>
      <c r="H13" s="1265">
        <v>1000000</v>
      </c>
      <c r="I13" s="1263">
        <v>320000</v>
      </c>
      <c r="J13" s="1264">
        <v>1200000</v>
      </c>
      <c r="K13" s="1267"/>
      <c r="L13" s="1268">
        <f>SUM(F13:J13)</f>
        <v>3920000</v>
      </c>
      <c r="M13" s="1300"/>
    </row>
    <row r="14" spans="1:13" ht="14">
      <c r="A14" s="1701" t="s">
        <v>1149</v>
      </c>
      <c r="B14" s="1260" t="s">
        <v>1147</v>
      </c>
      <c r="C14" s="1261">
        <v>20</v>
      </c>
      <c r="D14" s="1262">
        <v>2</v>
      </c>
      <c r="E14" s="1263">
        <v>900000</v>
      </c>
      <c r="F14" s="1263">
        <v>200000</v>
      </c>
      <c r="G14" s="1264">
        <v>1200000</v>
      </c>
      <c r="H14" s="1265">
        <v>1000000</v>
      </c>
      <c r="I14" s="1263">
        <v>320000</v>
      </c>
      <c r="J14" s="1264">
        <v>1200000</v>
      </c>
      <c r="K14" s="1263">
        <v>700000</v>
      </c>
      <c r="L14" s="1266">
        <f>SUM(E14:K14)</f>
        <v>5520000</v>
      </c>
      <c r="M14" s="1300"/>
    </row>
    <row r="15" spans="1:13" ht="14">
      <c r="A15" s="1701"/>
      <c r="B15" s="1260" t="s">
        <v>1148</v>
      </c>
      <c r="C15" s="1261">
        <v>20</v>
      </c>
      <c r="D15" s="1262">
        <v>2</v>
      </c>
      <c r="E15" s="1263"/>
      <c r="F15" s="1263">
        <v>200000</v>
      </c>
      <c r="G15" s="1264">
        <v>1200000</v>
      </c>
      <c r="H15" s="1265">
        <v>1000000</v>
      </c>
      <c r="I15" s="1263">
        <v>320000</v>
      </c>
      <c r="J15" s="1264">
        <v>1200000</v>
      </c>
      <c r="K15" s="1267"/>
      <c r="L15" s="1268">
        <f>SUM(F15:J15)</f>
        <v>3920000</v>
      </c>
      <c r="M15" s="1300"/>
    </row>
    <row r="16" spans="1:13" ht="14">
      <c r="A16" s="1701" t="s">
        <v>1150</v>
      </c>
      <c r="B16" s="1260" t="s">
        <v>1147</v>
      </c>
      <c r="C16" s="1261">
        <v>20</v>
      </c>
      <c r="D16" s="1262">
        <v>2</v>
      </c>
      <c r="E16" s="1263">
        <v>900000</v>
      </c>
      <c r="F16" s="1263">
        <v>200000</v>
      </c>
      <c r="G16" s="1264">
        <v>1200000</v>
      </c>
      <c r="H16" s="1265">
        <v>1000000</v>
      </c>
      <c r="I16" s="1263">
        <v>320000</v>
      </c>
      <c r="J16" s="1264">
        <v>1200000</v>
      </c>
      <c r="K16" s="1263">
        <v>700000</v>
      </c>
      <c r="L16" s="1266">
        <f>SUM(E16:K16)</f>
        <v>5520000</v>
      </c>
      <c r="M16" s="1300"/>
    </row>
    <row r="17" spans="1:13" ht="14">
      <c r="A17" s="1701"/>
      <c r="B17" s="1260" t="s">
        <v>1148</v>
      </c>
      <c r="C17" s="1261">
        <v>20</v>
      </c>
      <c r="D17" s="1262">
        <v>2</v>
      </c>
      <c r="E17" s="1263"/>
      <c r="F17" s="1263">
        <v>200000</v>
      </c>
      <c r="G17" s="1264">
        <v>1200000</v>
      </c>
      <c r="H17" s="1265">
        <v>1000000</v>
      </c>
      <c r="I17" s="1263">
        <v>320000</v>
      </c>
      <c r="J17" s="1264">
        <v>1200000</v>
      </c>
      <c r="K17" s="1267"/>
      <c r="L17" s="1268">
        <f>SUM(F17:J17)</f>
        <v>3920000</v>
      </c>
      <c r="M17" s="1300"/>
    </row>
    <row r="18" spans="1:13" ht="16">
      <c r="A18" s="1269" t="s">
        <v>1115</v>
      </c>
      <c r="B18" s="1260" t="s">
        <v>1151</v>
      </c>
      <c r="C18" s="1261">
        <v>20</v>
      </c>
      <c r="D18" s="1262">
        <v>2</v>
      </c>
      <c r="E18" s="1263">
        <v>900000</v>
      </c>
      <c r="F18" s="1263">
        <v>200000</v>
      </c>
      <c r="G18" s="1264">
        <v>1200000</v>
      </c>
      <c r="H18" s="1265">
        <v>1000000</v>
      </c>
      <c r="I18" s="1263">
        <v>320000</v>
      </c>
      <c r="J18" s="1264">
        <v>1200000</v>
      </c>
      <c r="K18" s="1263">
        <v>700000</v>
      </c>
      <c r="L18" s="1270">
        <f>SUM(E18:K18)</f>
        <v>5520000</v>
      </c>
    </row>
    <row r="19" spans="1:13" ht="16">
      <c r="A19" s="1269"/>
      <c r="B19" s="1260" t="s">
        <v>1152</v>
      </c>
      <c r="C19" s="1261">
        <v>20</v>
      </c>
      <c r="D19" s="1262">
        <v>2</v>
      </c>
      <c r="E19" s="1263"/>
      <c r="F19" s="1263">
        <v>200000</v>
      </c>
      <c r="G19" s="1264">
        <v>1200000</v>
      </c>
      <c r="H19" s="1265">
        <v>1000000</v>
      </c>
      <c r="I19" s="1263">
        <v>320000</v>
      </c>
      <c r="J19" s="1264">
        <v>1200000</v>
      </c>
      <c r="K19" s="1267"/>
      <c r="L19" s="1266">
        <f>SUM(F19:J19)</f>
        <v>3920000</v>
      </c>
      <c r="M19" s="1300"/>
    </row>
    <row r="20" spans="1:13" ht="14">
      <c r="A20" s="1702" t="s">
        <v>1117</v>
      </c>
      <c r="B20" s="1271" t="s">
        <v>1153</v>
      </c>
      <c r="C20" s="1261">
        <v>22</v>
      </c>
      <c r="D20" s="1262">
        <v>2</v>
      </c>
      <c r="E20" s="1263">
        <v>900000</v>
      </c>
      <c r="F20" s="1263">
        <v>200000</v>
      </c>
      <c r="G20" s="1264">
        <v>1320000</v>
      </c>
      <c r="H20" s="1265">
        <v>1200000</v>
      </c>
      <c r="I20" s="1263">
        <v>640000</v>
      </c>
      <c r="J20" s="1264">
        <v>1320000</v>
      </c>
      <c r="K20" s="1263">
        <v>700000</v>
      </c>
      <c r="L20" s="1266">
        <f>SUM(E20:K20)</f>
        <v>6280000</v>
      </c>
    </row>
    <row r="21" spans="1:13" ht="14">
      <c r="A21" s="1702"/>
      <c r="B21" s="1260" t="s">
        <v>1154</v>
      </c>
      <c r="C21" s="1261">
        <v>23</v>
      </c>
      <c r="D21" s="1262">
        <v>2</v>
      </c>
      <c r="E21" s="1272"/>
      <c r="F21" s="1263">
        <v>200000</v>
      </c>
      <c r="G21" s="1263">
        <v>1380000</v>
      </c>
      <c r="H21" s="1265">
        <v>1200000</v>
      </c>
      <c r="I21" s="1263">
        <v>640000</v>
      </c>
      <c r="J21" s="1263">
        <v>1380000</v>
      </c>
      <c r="L21" s="1268">
        <f>SUM(F21:J21)</f>
        <v>4800000</v>
      </c>
      <c r="M21" s="1300"/>
    </row>
    <row r="22" spans="1:13" ht="14">
      <c r="A22" s="1702" t="s">
        <v>1118</v>
      </c>
      <c r="B22" s="1260" t="s">
        <v>1155</v>
      </c>
      <c r="C22" s="1261">
        <v>22</v>
      </c>
      <c r="D22" s="1262">
        <v>2</v>
      </c>
      <c r="E22" s="1263">
        <v>900000</v>
      </c>
      <c r="F22" s="1263">
        <v>200000</v>
      </c>
      <c r="G22" s="1273">
        <v>1320000</v>
      </c>
      <c r="H22" s="1265">
        <v>1200000</v>
      </c>
      <c r="I22" s="1263">
        <v>640000</v>
      </c>
      <c r="J22" s="1273">
        <v>1320000</v>
      </c>
      <c r="K22" s="1263">
        <v>700000</v>
      </c>
      <c r="L22" s="1266">
        <f>SUM(E22:K22)</f>
        <v>6280000</v>
      </c>
    </row>
    <row r="23" spans="1:13" ht="14">
      <c r="A23" s="1702"/>
      <c r="B23" s="1260" t="s">
        <v>1156</v>
      </c>
      <c r="C23" s="1261">
        <v>23</v>
      </c>
      <c r="D23" s="1262">
        <v>2</v>
      </c>
      <c r="F23" s="1263">
        <v>200000</v>
      </c>
      <c r="G23" s="1263">
        <v>1380000</v>
      </c>
      <c r="H23" s="1265">
        <v>1200000</v>
      </c>
      <c r="I23" s="1263">
        <v>640000</v>
      </c>
      <c r="J23" s="1263">
        <v>1380000</v>
      </c>
      <c r="L23" s="1266">
        <f>SUM(E23:K23)</f>
        <v>4800000</v>
      </c>
      <c r="M23" s="1300"/>
    </row>
    <row r="24" spans="1:13" ht="14">
      <c r="A24" s="1702" t="s">
        <v>1119</v>
      </c>
      <c r="B24" s="1260" t="s">
        <v>1157</v>
      </c>
      <c r="C24" s="1261">
        <v>22</v>
      </c>
      <c r="D24" s="1262">
        <v>2</v>
      </c>
      <c r="E24" s="1263">
        <v>900000</v>
      </c>
      <c r="F24" s="1263">
        <v>200000</v>
      </c>
      <c r="G24" s="1273">
        <v>1320000</v>
      </c>
      <c r="H24" s="1265">
        <v>1200000</v>
      </c>
      <c r="I24" s="1263">
        <v>640000</v>
      </c>
      <c r="J24" s="1273">
        <v>1320000</v>
      </c>
      <c r="K24" s="1263">
        <v>700000</v>
      </c>
      <c r="L24" s="1266">
        <f>SUM(E24:K24)</f>
        <v>6280000</v>
      </c>
      <c r="M24" s="1300"/>
    </row>
    <row r="25" spans="1:13" ht="14">
      <c r="A25" s="1702"/>
      <c r="B25" s="1260" t="s">
        <v>1158</v>
      </c>
      <c r="C25" s="1261">
        <v>23</v>
      </c>
      <c r="D25" s="1262">
        <v>2</v>
      </c>
      <c r="E25" s="1272"/>
      <c r="F25" s="1263">
        <v>200000</v>
      </c>
      <c r="G25" s="1263">
        <v>1380000</v>
      </c>
      <c r="H25" s="1265">
        <v>1200000</v>
      </c>
      <c r="I25" s="1263">
        <v>640000</v>
      </c>
      <c r="J25" s="1263">
        <v>1380000</v>
      </c>
      <c r="K25" s="1267"/>
      <c r="L25" s="1268">
        <f>SUM(F25:J25)</f>
        <v>4800000</v>
      </c>
    </row>
    <row r="26" spans="1:13" ht="16">
      <c r="A26" s="1269" t="s">
        <v>1120</v>
      </c>
      <c r="B26" s="1260" t="s">
        <v>1159</v>
      </c>
      <c r="C26" s="1261">
        <v>22</v>
      </c>
      <c r="D26" s="1262">
        <v>2</v>
      </c>
      <c r="E26" s="1263">
        <v>900000</v>
      </c>
      <c r="F26" s="1263">
        <v>200000</v>
      </c>
      <c r="G26" s="1273">
        <v>1320000</v>
      </c>
      <c r="H26" s="1265">
        <v>1200000</v>
      </c>
      <c r="I26" s="1263">
        <v>640000</v>
      </c>
      <c r="J26" s="1273">
        <v>1320000</v>
      </c>
      <c r="K26" s="1263">
        <v>700000</v>
      </c>
      <c r="L26" s="1266">
        <f>SUM(E26:K26)</f>
        <v>6280000</v>
      </c>
    </row>
    <row r="27" spans="1:13" ht="14">
      <c r="A27" s="1274"/>
      <c r="B27" s="1260" t="s">
        <v>1160</v>
      </c>
      <c r="C27" s="1261">
        <v>23</v>
      </c>
      <c r="D27" s="1262">
        <v>2</v>
      </c>
      <c r="E27" s="1272"/>
      <c r="F27" s="1263">
        <v>200000</v>
      </c>
      <c r="G27" s="1263">
        <v>1380000</v>
      </c>
      <c r="H27" s="1265">
        <v>1200000</v>
      </c>
      <c r="I27" s="1263">
        <v>640000</v>
      </c>
      <c r="J27" s="1263">
        <v>1380000</v>
      </c>
      <c r="K27" s="1267"/>
      <c r="L27" s="1268">
        <f>SUM(F27:J27)</f>
        <v>4800000</v>
      </c>
      <c r="M27" s="1300"/>
    </row>
    <row r="28" spans="1:13" ht="16">
      <c r="A28" s="1275" t="s">
        <v>353</v>
      </c>
      <c r="B28" s="1254"/>
      <c r="C28" s="1276">
        <v>380</v>
      </c>
      <c r="D28" s="1276">
        <v>36</v>
      </c>
      <c r="E28" s="1227">
        <v>8100000</v>
      </c>
      <c r="F28" s="1227">
        <v>3600000</v>
      </c>
      <c r="G28" s="1227">
        <v>22800000</v>
      </c>
      <c r="H28" s="1227">
        <v>19600000</v>
      </c>
      <c r="I28" s="1227">
        <v>8320000</v>
      </c>
      <c r="J28" s="1227">
        <v>22800000</v>
      </c>
      <c r="K28" s="1227">
        <v>6300000</v>
      </c>
      <c r="L28" s="1222">
        <v>91520000</v>
      </c>
    </row>
    <row r="29" spans="1:13" ht="16">
      <c r="A29" s="936"/>
      <c r="B29" s="935"/>
      <c r="C29" s="1239"/>
      <c r="D29" s="1239"/>
      <c r="E29" s="1239"/>
      <c r="F29" s="1240"/>
      <c r="G29" s="1241"/>
      <c r="H29" s="1240"/>
      <c r="I29" s="1700" t="s">
        <v>1161</v>
      </c>
      <c r="J29" s="1700"/>
    </row>
    <row r="30" spans="1:13" ht="18">
      <c r="A30" s="1277" t="s">
        <v>1162</v>
      </c>
      <c r="B30" s="1278"/>
      <c r="C30" s="1279"/>
      <c r="D30" s="1280"/>
      <c r="E30" s="1281"/>
      <c r="F30" s="1282"/>
      <c r="G30" s="1281"/>
      <c r="H30" s="1281"/>
      <c r="I30" s="1283"/>
      <c r="J30" s="1"/>
      <c r="K30" s="1"/>
      <c r="L30" s="1"/>
    </row>
    <row r="31" spans="1:13" ht="16">
      <c r="A31" s="45"/>
      <c r="B31" s="936"/>
      <c r="C31" s="45"/>
      <c r="D31" s="45"/>
      <c r="E31" s="45"/>
      <c r="F31" s="45"/>
      <c r="G31" s="1241"/>
      <c r="H31" s="45"/>
      <c r="I31" s="45"/>
      <c r="J31" s="45"/>
    </row>
    <row r="32" spans="1:13" ht="16">
      <c r="A32" s="45"/>
      <c r="B32" s="936"/>
      <c r="C32" s="45"/>
      <c r="D32" s="45"/>
      <c r="E32" s="45"/>
      <c r="F32" s="45"/>
      <c r="G32" s="1241"/>
      <c r="H32" s="45"/>
      <c r="I32" s="45"/>
      <c r="J32" s="45"/>
    </row>
    <row r="33" spans="1:10" ht="16">
      <c r="A33" s="45"/>
      <c r="B33" s="936"/>
      <c r="C33" s="45"/>
      <c r="D33" s="45"/>
      <c r="E33" s="45"/>
      <c r="F33" s="45"/>
      <c r="G33" s="1241"/>
      <c r="H33" s="45"/>
      <c r="I33" s="45"/>
      <c r="J33" s="45"/>
    </row>
    <row r="34" spans="1:10" ht="16">
      <c r="A34" s="45"/>
      <c r="B34" s="936"/>
      <c r="C34" s="45"/>
      <c r="D34" s="45"/>
      <c r="E34" s="45"/>
      <c r="F34" s="45"/>
      <c r="G34" s="1241"/>
      <c r="H34" s="45"/>
      <c r="I34" s="45"/>
      <c r="J34" s="45"/>
    </row>
    <row r="35" spans="1:10" ht="16">
      <c r="A35" s="1159"/>
      <c r="B35" s="936"/>
      <c r="C35" s="1245"/>
      <c r="D35" s="1245"/>
      <c r="E35" s="1246"/>
      <c r="F35" s="1246"/>
      <c r="G35" s="1247"/>
      <c r="H35" s="1246"/>
      <c r="I35" s="1159"/>
      <c r="J35" s="1159"/>
    </row>
    <row r="36" spans="1:10" ht="16">
      <c r="A36" s="1159"/>
      <c r="B36" s="1159"/>
      <c r="C36" s="1245"/>
      <c r="D36" s="1245"/>
      <c r="E36" s="1246"/>
      <c r="F36" s="1246"/>
      <c r="G36" s="1247"/>
      <c r="H36" s="1246"/>
      <c r="I36" s="1159"/>
      <c r="J36" s="1159"/>
    </row>
  </sheetData>
  <mergeCells count="8">
    <mergeCell ref="I29:J29"/>
    <mergeCell ref="A16:A17"/>
    <mergeCell ref="A10:A11"/>
    <mergeCell ref="A20:A21"/>
    <mergeCell ref="A22:A23"/>
    <mergeCell ref="A24:A25"/>
    <mergeCell ref="A12:A13"/>
    <mergeCell ref="A14:A1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CA51-0788-E443-8C83-7E238882B59A}">
  <dimension ref="A1:H46"/>
  <sheetViews>
    <sheetView topLeftCell="A8" workbookViewId="0">
      <selection sqref="A1:XFD1048576"/>
    </sheetView>
  </sheetViews>
  <sheetFormatPr baseColWidth="10" defaultColWidth="9.1640625" defaultRowHeight="16.5" customHeight="1"/>
  <cols>
    <col min="1" max="1" width="6.5" style="1" customWidth="1"/>
    <col min="2" max="2" width="35" style="1346" customWidth="1"/>
    <col min="3" max="3" width="11" customWidth="1"/>
    <col min="4" max="4" width="11.1640625" customWidth="1"/>
    <col min="5" max="5" width="13.1640625" customWidth="1"/>
    <col min="6" max="6" width="16.33203125" customWidth="1"/>
    <col min="7" max="7" width="32.6640625" customWidth="1"/>
    <col min="10" max="10" width="19.5" customWidth="1"/>
    <col min="257" max="257" width="6.5" customWidth="1"/>
    <col min="258" max="258" width="35" customWidth="1"/>
    <col min="259" max="259" width="11" customWidth="1"/>
    <col min="260" max="260" width="11.1640625" customWidth="1"/>
    <col min="261" max="261" width="13.1640625" customWidth="1"/>
    <col min="262" max="262" width="16.33203125" customWidth="1"/>
    <col min="263" max="263" width="32.6640625" customWidth="1"/>
    <col min="266" max="266" width="19.5" customWidth="1"/>
    <col min="513" max="513" width="6.5" customWidth="1"/>
    <col min="514" max="514" width="35" customWidth="1"/>
    <col min="515" max="515" width="11" customWidth="1"/>
    <col min="516" max="516" width="11.1640625" customWidth="1"/>
    <col min="517" max="517" width="13.1640625" customWidth="1"/>
    <col min="518" max="518" width="16.33203125" customWidth="1"/>
    <col min="519" max="519" width="32.6640625" customWidth="1"/>
    <col min="522" max="522" width="19.5" customWidth="1"/>
    <col min="769" max="769" width="6.5" customWidth="1"/>
    <col min="770" max="770" width="35" customWidth="1"/>
    <col min="771" max="771" width="11" customWidth="1"/>
    <col min="772" max="772" width="11.1640625" customWidth="1"/>
    <col min="773" max="773" width="13.1640625" customWidth="1"/>
    <col min="774" max="774" width="16.33203125" customWidth="1"/>
    <col min="775" max="775" width="32.6640625" customWidth="1"/>
    <col min="778" max="778" width="19.5" customWidth="1"/>
    <col min="1025" max="1025" width="6.5" customWidth="1"/>
    <col min="1026" max="1026" width="35" customWidth="1"/>
    <col min="1027" max="1027" width="11" customWidth="1"/>
    <col min="1028" max="1028" width="11.1640625" customWidth="1"/>
    <col min="1029" max="1029" width="13.1640625" customWidth="1"/>
    <col min="1030" max="1030" width="16.33203125" customWidth="1"/>
    <col min="1031" max="1031" width="32.6640625" customWidth="1"/>
    <col min="1034" max="1034" width="19.5" customWidth="1"/>
    <col min="1281" max="1281" width="6.5" customWidth="1"/>
    <col min="1282" max="1282" width="35" customWidth="1"/>
    <col min="1283" max="1283" width="11" customWidth="1"/>
    <col min="1284" max="1284" width="11.1640625" customWidth="1"/>
    <col min="1285" max="1285" width="13.1640625" customWidth="1"/>
    <col min="1286" max="1286" width="16.33203125" customWidth="1"/>
    <col min="1287" max="1287" width="32.6640625" customWidth="1"/>
    <col min="1290" max="1290" width="19.5" customWidth="1"/>
    <col min="1537" max="1537" width="6.5" customWidth="1"/>
    <col min="1538" max="1538" width="35" customWidth="1"/>
    <col min="1539" max="1539" width="11" customWidth="1"/>
    <col min="1540" max="1540" width="11.1640625" customWidth="1"/>
    <col min="1541" max="1541" width="13.1640625" customWidth="1"/>
    <col min="1542" max="1542" width="16.33203125" customWidth="1"/>
    <col min="1543" max="1543" width="32.6640625" customWidth="1"/>
    <col min="1546" max="1546" width="19.5" customWidth="1"/>
    <col min="1793" max="1793" width="6.5" customWidth="1"/>
    <col min="1794" max="1794" width="35" customWidth="1"/>
    <col min="1795" max="1795" width="11" customWidth="1"/>
    <col min="1796" max="1796" width="11.1640625" customWidth="1"/>
    <col min="1797" max="1797" width="13.1640625" customWidth="1"/>
    <col min="1798" max="1798" width="16.33203125" customWidth="1"/>
    <col min="1799" max="1799" width="32.6640625" customWidth="1"/>
    <col min="1802" max="1802" width="19.5" customWidth="1"/>
    <col min="2049" max="2049" width="6.5" customWidth="1"/>
    <col min="2050" max="2050" width="35" customWidth="1"/>
    <col min="2051" max="2051" width="11" customWidth="1"/>
    <col min="2052" max="2052" width="11.1640625" customWidth="1"/>
    <col min="2053" max="2053" width="13.1640625" customWidth="1"/>
    <col min="2054" max="2054" width="16.33203125" customWidth="1"/>
    <col min="2055" max="2055" width="32.6640625" customWidth="1"/>
    <col min="2058" max="2058" width="19.5" customWidth="1"/>
    <col min="2305" max="2305" width="6.5" customWidth="1"/>
    <col min="2306" max="2306" width="35" customWidth="1"/>
    <col min="2307" max="2307" width="11" customWidth="1"/>
    <col min="2308" max="2308" width="11.1640625" customWidth="1"/>
    <col min="2309" max="2309" width="13.1640625" customWidth="1"/>
    <col min="2310" max="2310" width="16.33203125" customWidth="1"/>
    <col min="2311" max="2311" width="32.6640625" customWidth="1"/>
    <col min="2314" max="2314" width="19.5" customWidth="1"/>
    <col min="2561" max="2561" width="6.5" customWidth="1"/>
    <col min="2562" max="2562" width="35" customWidth="1"/>
    <col min="2563" max="2563" width="11" customWidth="1"/>
    <col min="2564" max="2564" width="11.1640625" customWidth="1"/>
    <col min="2565" max="2565" width="13.1640625" customWidth="1"/>
    <col min="2566" max="2566" width="16.33203125" customWidth="1"/>
    <col min="2567" max="2567" width="32.6640625" customWidth="1"/>
    <col min="2570" max="2570" width="19.5" customWidth="1"/>
    <col min="2817" max="2817" width="6.5" customWidth="1"/>
    <col min="2818" max="2818" width="35" customWidth="1"/>
    <col min="2819" max="2819" width="11" customWidth="1"/>
    <col min="2820" max="2820" width="11.1640625" customWidth="1"/>
    <col min="2821" max="2821" width="13.1640625" customWidth="1"/>
    <col min="2822" max="2822" width="16.33203125" customWidth="1"/>
    <col min="2823" max="2823" width="32.6640625" customWidth="1"/>
    <col min="2826" max="2826" width="19.5" customWidth="1"/>
    <col min="3073" max="3073" width="6.5" customWidth="1"/>
    <col min="3074" max="3074" width="35" customWidth="1"/>
    <col min="3075" max="3075" width="11" customWidth="1"/>
    <col min="3076" max="3076" width="11.1640625" customWidth="1"/>
    <col min="3077" max="3077" width="13.1640625" customWidth="1"/>
    <col min="3078" max="3078" width="16.33203125" customWidth="1"/>
    <col min="3079" max="3079" width="32.6640625" customWidth="1"/>
    <col min="3082" max="3082" width="19.5" customWidth="1"/>
    <col min="3329" max="3329" width="6.5" customWidth="1"/>
    <col min="3330" max="3330" width="35" customWidth="1"/>
    <col min="3331" max="3331" width="11" customWidth="1"/>
    <col min="3332" max="3332" width="11.1640625" customWidth="1"/>
    <col min="3333" max="3333" width="13.1640625" customWidth="1"/>
    <col min="3334" max="3334" width="16.33203125" customWidth="1"/>
    <col min="3335" max="3335" width="32.6640625" customWidth="1"/>
    <col min="3338" max="3338" width="19.5" customWidth="1"/>
    <col min="3585" max="3585" width="6.5" customWidth="1"/>
    <col min="3586" max="3586" width="35" customWidth="1"/>
    <col min="3587" max="3587" width="11" customWidth="1"/>
    <col min="3588" max="3588" width="11.1640625" customWidth="1"/>
    <col min="3589" max="3589" width="13.1640625" customWidth="1"/>
    <col min="3590" max="3590" width="16.33203125" customWidth="1"/>
    <col min="3591" max="3591" width="32.6640625" customWidth="1"/>
    <col min="3594" max="3594" width="19.5" customWidth="1"/>
    <col min="3841" max="3841" width="6.5" customWidth="1"/>
    <col min="3842" max="3842" width="35" customWidth="1"/>
    <col min="3843" max="3843" width="11" customWidth="1"/>
    <col min="3844" max="3844" width="11.1640625" customWidth="1"/>
    <col min="3845" max="3845" width="13.1640625" customWidth="1"/>
    <col min="3846" max="3846" width="16.33203125" customWidth="1"/>
    <col min="3847" max="3847" width="32.6640625" customWidth="1"/>
    <col min="3850" max="3850" width="19.5" customWidth="1"/>
    <col min="4097" max="4097" width="6.5" customWidth="1"/>
    <col min="4098" max="4098" width="35" customWidth="1"/>
    <col min="4099" max="4099" width="11" customWidth="1"/>
    <col min="4100" max="4100" width="11.1640625" customWidth="1"/>
    <col min="4101" max="4101" width="13.1640625" customWidth="1"/>
    <col min="4102" max="4102" width="16.33203125" customWidth="1"/>
    <col min="4103" max="4103" width="32.6640625" customWidth="1"/>
    <col min="4106" max="4106" width="19.5" customWidth="1"/>
    <col min="4353" max="4353" width="6.5" customWidth="1"/>
    <col min="4354" max="4354" width="35" customWidth="1"/>
    <col min="4355" max="4355" width="11" customWidth="1"/>
    <col min="4356" max="4356" width="11.1640625" customWidth="1"/>
    <col min="4357" max="4357" width="13.1640625" customWidth="1"/>
    <col min="4358" max="4358" width="16.33203125" customWidth="1"/>
    <col min="4359" max="4359" width="32.6640625" customWidth="1"/>
    <col min="4362" max="4362" width="19.5" customWidth="1"/>
    <col min="4609" max="4609" width="6.5" customWidth="1"/>
    <col min="4610" max="4610" width="35" customWidth="1"/>
    <col min="4611" max="4611" width="11" customWidth="1"/>
    <col min="4612" max="4612" width="11.1640625" customWidth="1"/>
    <col min="4613" max="4613" width="13.1640625" customWidth="1"/>
    <col min="4614" max="4614" width="16.33203125" customWidth="1"/>
    <col min="4615" max="4615" width="32.6640625" customWidth="1"/>
    <col min="4618" max="4618" width="19.5" customWidth="1"/>
    <col min="4865" max="4865" width="6.5" customWidth="1"/>
    <col min="4866" max="4866" width="35" customWidth="1"/>
    <col min="4867" max="4867" width="11" customWidth="1"/>
    <col min="4868" max="4868" width="11.1640625" customWidth="1"/>
    <col min="4869" max="4869" width="13.1640625" customWidth="1"/>
    <col min="4870" max="4870" width="16.33203125" customWidth="1"/>
    <col min="4871" max="4871" width="32.6640625" customWidth="1"/>
    <col min="4874" max="4874" width="19.5" customWidth="1"/>
    <col min="5121" max="5121" width="6.5" customWidth="1"/>
    <col min="5122" max="5122" width="35" customWidth="1"/>
    <col min="5123" max="5123" width="11" customWidth="1"/>
    <col min="5124" max="5124" width="11.1640625" customWidth="1"/>
    <col min="5125" max="5125" width="13.1640625" customWidth="1"/>
    <col min="5126" max="5126" width="16.33203125" customWidth="1"/>
    <col min="5127" max="5127" width="32.6640625" customWidth="1"/>
    <col min="5130" max="5130" width="19.5" customWidth="1"/>
    <col min="5377" max="5377" width="6.5" customWidth="1"/>
    <col min="5378" max="5378" width="35" customWidth="1"/>
    <col min="5379" max="5379" width="11" customWidth="1"/>
    <col min="5380" max="5380" width="11.1640625" customWidth="1"/>
    <col min="5381" max="5381" width="13.1640625" customWidth="1"/>
    <col min="5382" max="5382" width="16.33203125" customWidth="1"/>
    <col min="5383" max="5383" width="32.6640625" customWidth="1"/>
    <col min="5386" max="5386" width="19.5" customWidth="1"/>
    <col min="5633" max="5633" width="6.5" customWidth="1"/>
    <col min="5634" max="5634" width="35" customWidth="1"/>
    <col min="5635" max="5635" width="11" customWidth="1"/>
    <col min="5636" max="5636" width="11.1640625" customWidth="1"/>
    <col min="5637" max="5637" width="13.1640625" customWidth="1"/>
    <col min="5638" max="5638" width="16.33203125" customWidth="1"/>
    <col min="5639" max="5639" width="32.6640625" customWidth="1"/>
    <col min="5642" max="5642" width="19.5" customWidth="1"/>
    <col min="5889" max="5889" width="6.5" customWidth="1"/>
    <col min="5890" max="5890" width="35" customWidth="1"/>
    <col min="5891" max="5891" width="11" customWidth="1"/>
    <col min="5892" max="5892" width="11.1640625" customWidth="1"/>
    <col min="5893" max="5893" width="13.1640625" customWidth="1"/>
    <col min="5894" max="5894" width="16.33203125" customWidth="1"/>
    <col min="5895" max="5895" width="32.6640625" customWidth="1"/>
    <col min="5898" max="5898" width="19.5" customWidth="1"/>
    <col min="6145" max="6145" width="6.5" customWidth="1"/>
    <col min="6146" max="6146" width="35" customWidth="1"/>
    <col min="6147" max="6147" width="11" customWidth="1"/>
    <col min="6148" max="6148" width="11.1640625" customWidth="1"/>
    <col min="6149" max="6149" width="13.1640625" customWidth="1"/>
    <col min="6150" max="6150" width="16.33203125" customWidth="1"/>
    <col min="6151" max="6151" width="32.6640625" customWidth="1"/>
    <col min="6154" max="6154" width="19.5" customWidth="1"/>
    <col min="6401" max="6401" width="6.5" customWidth="1"/>
    <col min="6402" max="6402" width="35" customWidth="1"/>
    <col min="6403" max="6403" width="11" customWidth="1"/>
    <col min="6404" max="6404" width="11.1640625" customWidth="1"/>
    <col min="6405" max="6405" width="13.1640625" customWidth="1"/>
    <col min="6406" max="6406" width="16.33203125" customWidth="1"/>
    <col min="6407" max="6407" width="32.6640625" customWidth="1"/>
    <col min="6410" max="6410" width="19.5" customWidth="1"/>
    <col min="6657" max="6657" width="6.5" customWidth="1"/>
    <col min="6658" max="6658" width="35" customWidth="1"/>
    <col min="6659" max="6659" width="11" customWidth="1"/>
    <col min="6660" max="6660" width="11.1640625" customWidth="1"/>
    <col min="6661" max="6661" width="13.1640625" customWidth="1"/>
    <col min="6662" max="6662" width="16.33203125" customWidth="1"/>
    <col min="6663" max="6663" width="32.6640625" customWidth="1"/>
    <col min="6666" max="6666" width="19.5" customWidth="1"/>
    <col min="6913" max="6913" width="6.5" customWidth="1"/>
    <col min="6914" max="6914" width="35" customWidth="1"/>
    <col min="6915" max="6915" width="11" customWidth="1"/>
    <col min="6916" max="6916" width="11.1640625" customWidth="1"/>
    <col min="6917" max="6917" width="13.1640625" customWidth="1"/>
    <col min="6918" max="6918" width="16.33203125" customWidth="1"/>
    <col min="6919" max="6919" width="32.6640625" customWidth="1"/>
    <col min="6922" max="6922" width="19.5" customWidth="1"/>
    <col min="7169" max="7169" width="6.5" customWidth="1"/>
    <col min="7170" max="7170" width="35" customWidth="1"/>
    <col min="7171" max="7171" width="11" customWidth="1"/>
    <col min="7172" max="7172" width="11.1640625" customWidth="1"/>
    <col min="7173" max="7173" width="13.1640625" customWidth="1"/>
    <col min="7174" max="7174" width="16.33203125" customWidth="1"/>
    <col min="7175" max="7175" width="32.6640625" customWidth="1"/>
    <col min="7178" max="7178" width="19.5" customWidth="1"/>
    <col min="7425" max="7425" width="6.5" customWidth="1"/>
    <col min="7426" max="7426" width="35" customWidth="1"/>
    <col min="7427" max="7427" width="11" customWidth="1"/>
    <col min="7428" max="7428" width="11.1640625" customWidth="1"/>
    <col min="7429" max="7429" width="13.1640625" customWidth="1"/>
    <col min="7430" max="7430" width="16.33203125" customWidth="1"/>
    <col min="7431" max="7431" width="32.6640625" customWidth="1"/>
    <col min="7434" max="7434" width="19.5" customWidth="1"/>
    <col min="7681" max="7681" width="6.5" customWidth="1"/>
    <col min="7682" max="7682" width="35" customWidth="1"/>
    <col min="7683" max="7683" width="11" customWidth="1"/>
    <col min="7684" max="7684" width="11.1640625" customWidth="1"/>
    <col min="7685" max="7685" width="13.1640625" customWidth="1"/>
    <col min="7686" max="7686" width="16.33203125" customWidth="1"/>
    <col min="7687" max="7687" width="32.6640625" customWidth="1"/>
    <col min="7690" max="7690" width="19.5" customWidth="1"/>
    <col min="7937" max="7937" width="6.5" customWidth="1"/>
    <col min="7938" max="7938" width="35" customWidth="1"/>
    <col min="7939" max="7939" width="11" customWidth="1"/>
    <col min="7940" max="7940" width="11.1640625" customWidth="1"/>
    <col min="7941" max="7941" width="13.1640625" customWidth="1"/>
    <col min="7942" max="7942" width="16.33203125" customWidth="1"/>
    <col min="7943" max="7943" width="32.6640625" customWidth="1"/>
    <col min="7946" max="7946" width="19.5" customWidth="1"/>
    <col min="8193" max="8193" width="6.5" customWidth="1"/>
    <col min="8194" max="8194" width="35" customWidth="1"/>
    <col min="8195" max="8195" width="11" customWidth="1"/>
    <col min="8196" max="8196" width="11.1640625" customWidth="1"/>
    <col min="8197" max="8197" width="13.1640625" customWidth="1"/>
    <col min="8198" max="8198" width="16.33203125" customWidth="1"/>
    <col min="8199" max="8199" width="32.6640625" customWidth="1"/>
    <col min="8202" max="8202" width="19.5" customWidth="1"/>
    <col min="8449" max="8449" width="6.5" customWidth="1"/>
    <col min="8450" max="8450" width="35" customWidth="1"/>
    <col min="8451" max="8451" width="11" customWidth="1"/>
    <col min="8452" max="8452" width="11.1640625" customWidth="1"/>
    <col min="8453" max="8453" width="13.1640625" customWidth="1"/>
    <col min="8454" max="8454" width="16.33203125" customWidth="1"/>
    <col min="8455" max="8455" width="32.6640625" customWidth="1"/>
    <col min="8458" max="8458" width="19.5" customWidth="1"/>
    <col min="8705" max="8705" width="6.5" customWidth="1"/>
    <col min="8706" max="8706" width="35" customWidth="1"/>
    <col min="8707" max="8707" width="11" customWidth="1"/>
    <col min="8708" max="8708" width="11.1640625" customWidth="1"/>
    <col min="8709" max="8709" width="13.1640625" customWidth="1"/>
    <col min="8710" max="8710" width="16.33203125" customWidth="1"/>
    <col min="8711" max="8711" width="32.6640625" customWidth="1"/>
    <col min="8714" max="8714" width="19.5" customWidth="1"/>
    <col min="8961" max="8961" width="6.5" customWidth="1"/>
    <col min="8962" max="8962" width="35" customWidth="1"/>
    <col min="8963" max="8963" width="11" customWidth="1"/>
    <col min="8964" max="8964" width="11.1640625" customWidth="1"/>
    <col min="8965" max="8965" width="13.1640625" customWidth="1"/>
    <col min="8966" max="8966" width="16.33203125" customWidth="1"/>
    <col min="8967" max="8967" width="32.6640625" customWidth="1"/>
    <col min="8970" max="8970" width="19.5" customWidth="1"/>
    <col min="9217" max="9217" width="6.5" customWidth="1"/>
    <col min="9218" max="9218" width="35" customWidth="1"/>
    <col min="9219" max="9219" width="11" customWidth="1"/>
    <col min="9220" max="9220" width="11.1640625" customWidth="1"/>
    <col min="9221" max="9221" width="13.1640625" customWidth="1"/>
    <col min="9222" max="9222" width="16.33203125" customWidth="1"/>
    <col min="9223" max="9223" width="32.6640625" customWidth="1"/>
    <col min="9226" max="9226" width="19.5" customWidth="1"/>
    <col min="9473" max="9473" width="6.5" customWidth="1"/>
    <col min="9474" max="9474" width="35" customWidth="1"/>
    <col min="9475" max="9475" width="11" customWidth="1"/>
    <col min="9476" max="9476" width="11.1640625" customWidth="1"/>
    <col min="9477" max="9477" width="13.1640625" customWidth="1"/>
    <col min="9478" max="9478" width="16.33203125" customWidth="1"/>
    <col min="9479" max="9479" width="32.6640625" customWidth="1"/>
    <col min="9482" max="9482" width="19.5" customWidth="1"/>
    <col min="9729" max="9729" width="6.5" customWidth="1"/>
    <col min="9730" max="9730" width="35" customWidth="1"/>
    <col min="9731" max="9731" width="11" customWidth="1"/>
    <col min="9732" max="9732" width="11.1640625" customWidth="1"/>
    <col min="9733" max="9733" width="13.1640625" customWidth="1"/>
    <col min="9734" max="9734" width="16.33203125" customWidth="1"/>
    <col min="9735" max="9735" width="32.6640625" customWidth="1"/>
    <col min="9738" max="9738" width="19.5" customWidth="1"/>
    <col min="9985" max="9985" width="6.5" customWidth="1"/>
    <col min="9986" max="9986" width="35" customWidth="1"/>
    <col min="9987" max="9987" width="11" customWidth="1"/>
    <col min="9988" max="9988" width="11.1640625" customWidth="1"/>
    <col min="9989" max="9989" width="13.1640625" customWidth="1"/>
    <col min="9990" max="9990" width="16.33203125" customWidth="1"/>
    <col min="9991" max="9991" width="32.6640625" customWidth="1"/>
    <col min="9994" max="9994" width="19.5" customWidth="1"/>
    <col min="10241" max="10241" width="6.5" customWidth="1"/>
    <col min="10242" max="10242" width="35" customWidth="1"/>
    <col min="10243" max="10243" width="11" customWidth="1"/>
    <col min="10244" max="10244" width="11.1640625" customWidth="1"/>
    <col min="10245" max="10245" width="13.1640625" customWidth="1"/>
    <col min="10246" max="10246" width="16.33203125" customWidth="1"/>
    <col min="10247" max="10247" width="32.6640625" customWidth="1"/>
    <col min="10250" max="10250" width="19.5" customWidth="1"/>
    <col min="10497" max="10497" width="6.5" customWidth="1"/>
    <col min="10498" max="10498" width="35" customWidth="1"/>
    <col min="10499" max="10499" width="11" customWidth="1"/>
    <col min="10500" max="10500" width="11.1640625" customWidth="1"/>
    <col min="10501" max="10501" width="13.1640625" customWidth="1"/>
    <col min="10502" max="10502" width="16.33203125" customWidth="1"/>
    <col min="10503" max="10503" width="32.6640625" customWidth="1"/>
    <col min="10506" max="10506" width="19.5" customWidth="1"/>
    <col min="10753" max="10753" width="6.5" customWidth="1"/>
    <col min="10754" max="10754" width="35" customWidth="1"/>
    <col min="10755" max="10755" width="11" customWidth="1"/>
    <col min="10756" max="10756" width="11.1640625" customWidth="1"/>
    <col min="10757" max="10757" width="13.1640625" customWidth="1"/>
    <col min="10758" max="10758" width="16.33203125" customWidth="1"/>
    <col min="10759" max="10759" width="32.6640625" customWidth="1"/>
    <col min="10762" max="10762" width="19.5" customWidth="1"/>
    <col min="11009" max="11009" width="6.5" customWidth="1"/>
    <col min="11010" max="11010" width="35" customWidth="1"/>
    <col min="11011" max="11011" width="11" customWidth="1"/>
    <col min="11012" max="11012" width="11.1640625" customWidth="1"/>
    <col min="11013" max="11013" width="13.1640625" customWidth="1"/>
    <col min="11014" max="11014" width="16.33203125" customWidth="1"/>
    <col min="11015" max="11015" width="32.6640625" customWidth="1"/>
    <col min="11018" max="11018" width="19.5" customWidth="1"/>
    <col min="11265" max="11265" width="6.5" customWidth="1"/>
    <col min="11266" max="11266" width="35" customWidth="1"/>
    <col min="11267" max="11267" width="11" customWidth="1"/>
    <col min="11268" max="11268" width="11.1640625" customWidth="1"/>
    <col min="11269" max="11269" width="13.1640625" customWidth="1"/>
    <col min="11270" max="11270" width="16.33203125" customWidth="1"/>
    <col min="11271" max="11271" width="32.6640625" customWidth="1"/>
    <col min="11274" max="11274" width="19.5" customWidth="1"/>
    <col min="11521" max="11521" width="6.5" customWidth="1"/>
    <col min="11522" max="11522" width="35" customWidth="1"/>
    <col min="11523" max="11523" width="11" customWidth="1"/>
    <col min="11524" max="11524" width="11.1640625" customWidth="1"/>
    <col min="11525" max="11525" width="13.1640625" customWidth="1"/>
    <col min="11526" max="11526" width="16.33203125" customWidth="1"/>
    <col min="11527" max="11527" width="32.6640625" customWidth="1"/>
    <col min="11530" max="11530" width="19.5" customWidth="1"/>
    <col min="11777" max="11777" width="6.5" customWidth="1"/>
    <col min="11778" max="11778" width="35" customWidth="1"/>
    <col min="11779" max="11779" width="11" customWidth="1"/>
    <col min="11780" max="11780" width="11.1640625" customWidth="1"/>
    <col min="11781" max="11781" width="13.1640625" customWidth="1"/>
    <col min="11782" max="11782" width="16.33203125" customWidth="1"/>
    <col min="11783" max="11783" width="32.6640625" customWidth="1"/>
    <col min="11786" max="11786" width="19.5" customWidth="1"/>
    <col min="12033" max="12033" width="6.5" customWidth="1"/>
    <col min="12034" max="12034" width="35" customWidth="1"/>
    <col min="12035" max="12035" width="11" customWidth="1"/>
    <col min="12036" max="12036" width="11.1640625" customWidth="1"/>
    <col min="12037" max="12037" width="13.1640625" customWidth="1"/>
    <col min="12038" max="12038" width="16.33203125" customWidth="1"/>
    <col min="12039" max="12039" width="32.6640625" customWidth="1"/>
    <col min="12042" max="12042" width="19.5" customWidth="1"/>
    <col min="12289" max="12289" width="6.5" customWidth="1"/>
    <col min="12290" max="12290" width="35" customWidth="1"/>
    <col min="12291" max="12291" width="11" customWidth="1"/>
    <col min="12292" max="12292" width="11.1640625" customWidth="1"/>
    <col min="12293" max="12293" width="13.1640625" customWidth="1"/>
    <col min="12294" max="12294" width="16.33203125" customWidth="1"/>
    <col min="12295" max="12295" width="32.6640625" customWidth="1"/>
    <col min="12298" max="12298" width="19.5" customWidth="1"/>
    <col min="12545" max="12545" width="6.5" customWidth="1"/>
    <col min="12546" max="12546" width="35" customWidth="1"/>
    <col min="12547" max="12547" width="11" customWidth="1"/>
    <col min="12548" max="12548" width="11.1640625" customWidth="1"/>
    <col min="12549" max="12549" width="13.1640625" customWidth="1"/>
    <col min="12550" max="12550" width="16.33203125" customWidth="1"/>
    <col min="12551" max="12551" width="32.6640625" customWidth="1"/>
    <col min="12554" max="12554" width="19.5" customWidth="1"/>
    <col min="12801" max="12801" width="6.5" customWidth="1"/>
    <col min="12802" max="12802" width="35" customWidth="1"/>
    <col min="12803" max="12803" width="11" customWidth="1"/>
    <col min="12804" max="12804" width="11.1640625" customWidth="1"/>
    <col min="12805" max="12805" width="13.1640625" customWidth="1"/>
    <col min="12806" max="12806" width="16.33203125" customWidth="1"/>
    <col min="12807" max="12807" width="32.6640625" customWidth="1"/>
    <col min="12810" max="12810" width="19.5" customWidth="1"/>
    <col min="13057" max="13057" width="6.5" customWidth="1"/>
    <col min="13058" max="13058" width="35" customWidth="1"/>
    <col min="13059" max="13059" width="11" customWidth="1"/>
    <col min="13060" max="13060" width="11.1640625" customWidth="1"/>
    <col min="13061" max="13061" width="13.1640625" customWidth="1"/>
    <col min="13062" max="13062" width="16.33203125" customWidth="1"/>
    <col min="13063" max="13063" width="32.6640625" customWidth="1"/>
    <col min="13066" max="13066" width="19.5" customWidth="1"/>
    <col min="13313" max="13313" width="6.5" customWidth="1"/>
    <col min="13314" max="13314" width="35" customWidth="1"/>
    <col min="13315" max="13315" width="11" customWidth="1"/>
    <col min="13316" max="13316" width="11.1640625" customWidth="1"/>
    <col min="13317" max="13317" width="13.1640625" customWidth="1"/>
    <col min="13318" max="13318" width="16.33203125" customWidth="1"/>
    <col min="13319" max="13319" width="32.6640625" customWidth="1"/>
    <col min="13322" max="13322" width="19.5" customWidth="1"/>
    <col min="13569" max="13569" width="6.5" customWidth="1"/>
    <col min="13570" max="13570" width="35" customWidth="1"/>
    <col min="13571" max="13571" width="11" customWidth="1"/>
    <col min="13572" max="13572" width="11.1640625" customWidth="1"/>
    <col min="13573" max="13573" width="13.1640625" customWidth="1"/>
    <col min="13574" max="13574" width="16.33203125" customWidth="1"/>
    <col min="13575" max="13575" width="32.6640625" customWidth="1"/>
    <col min="13578" max="13578" width="19.5" customWidth="1"/>
    <col min="13825" max="13825" width="6.5" customWidth="1"/>
    <col min="13826" max="13826" width="35" customWidth="1"/>
    <col min="13827" max="13827" width="11" customWidth="1"/>
    <col min="13828" max="13828" width="11.1640625" customWidth="1"/>
    <col min="13829" max="13829" width="13.1640625" customWidth="1"/>
    <col min="13830" max="13830" width="16.33203125" customWidth="1"/>
    <col min="13831" max="13831" width="32.6640625" customWidth="1"/>
    <col min="13834" max="13834" width="19.5" customWidth="1"/>
    <col min="14081" max="14081" width="6.5" customWidth="1"/>
    <col min="14082" max="14082" width="35" customWidth="1"/>
    <col min="14083" max="14083" width="11" customWidth="1"/>
    <col min="14084" max="14084" width="11.1640625" customWidth="1"/>
    <col min="14085" max="14085" width="13.1640625" customWidth="1"/>
    <col min="14086" max="14086" width="16.33203125" customWidth="1"/>
    <col min="14087" max="14087" width="32.6640625" customWidth="1"/>
    <col min="14090" max="14090" width="19.5" customWidth="1"/>
    <col min="14337" max="14337" width="6.5" customWidth="1"/>
    <col min="14338" max="14338" width="35" customWidth="1"/>
    <col min="14339" max="14339" width="11" customWidth="1"/>
    <col min="14340" max="14340" width="11.1640625" customWidth="1"/>
    <col min="14341" max="14341" width="13.1640625" customWidth="1"/>
    <col min="14342" max="14342" width="16.33203125" customWidth="1"/>
    <col min="14343" max="14343" width="32.6640625" customWidth="1"/>
    <col min="14346" max="14346" width="19.5" customWidth="1"/>
    <col min="14593" max="14593" width="6.5" customWidth="1"/>
    <col min="14594" max="14594" width="35" customWidth="1"/>
    <col min="14595" max="14595" width="11" customWidth="1"/>
    <col min="14596" max="14596" width="11.1640625" customWidth="1"/>
    <col min="14597" max="14597" width="13.1640625" customWidth="1"/>
    <col min="14598" max="14598" width="16.33203125" customWidth="1"/>
    <col min="14599" max="14599" width="32.6640625" customWidth="1"/>
    <col min="14602" max="14602" width="19.5" customWidth="1"/>
    <col min="14849" max="14849" width="6.5" customWidth="1"/>
    <col min="14850" max="14850" width="35" customWidth="1"/>
    <col min="14851" max="14851" width="11" customWidth="1"/>
    <col min="14852" max="14852" width="11.1640625" customWidth="1"/>
    <col min="14853" max="14853" width="13.1640625" customWidth="1"/>
    <col min="14854" max="14854" width="16.33203125" customWidth="1"/>
    <col min="14855" max="14855" width="32.6640625" customWidth="1"/>
    <col min="14858" max="14858" width="19.5" customWidth="1"/>
    <col min="15105" max="15105" width="6.5" customWidth="1"/>
    <col min="15106" max="15106" width="35" customWidth="1"/>
    <col min="15107" max="15107" width="11" customWidth="1"/>
    <col min="15108" max="15108" width="11.1640625" customWidth="1"/>
    <col min="15109" max="15109" width="13.1640625" customWidth="1"/>
    <col min="15110" max="15110" width="16.33203125" customWidth="1"/>
    <col min="15111" max="15111" width="32.6640625" customWidth="1"/>
    <col min="15114" max="15114" width="19.5" customWidth="1"/>
    <col min="15361" max="15361" width="6.5" customWidth="1"/>
    <col min="15362" max="15362" width="35" customWidth="1"/>
    <col min="15363" max="15363" width="11" customWidth="1"/>
    <col min="15364" max="15364" width="11.1640625" customWidth="1"/>
    <col min="15365" max="15365" width="13.1640625" customWidth="1"/>
    <col min="15366" max="15366" width="16.33203125" customWidth="1"/>
    <col min="15367" max="15367" width="32.6640625" customWidth="1"/>
    <col min="15370" max="15370" width="19.5" customWidth="1"/>
    <col min="15617" max="15617" width="6.5" customWidth="1"/>
    <col min="15618" max="15618" width="35" customWidth="1"/>
    <col min="15619" max="15619" width="11" customWidth="1"/>
    <col min="15620" max="15620" width="11.1640625" customWidth="1"/>
    <col min="15621" max="15621" width="13.1640625" customWidth="1"/>
    <col min="15622" max="15622" width="16.33203125" customWidth="1"/>
    <col min="15623" max="15623" width="32.6640625" customWidth="1"/>
    <col min="15626" max="15626" width="19.5" customWidth="1"/>
    <col min="15873" max="15873" width="6.5" customWidth="1"/>
    <col min="15874" max="15874" width="35" customWidth="1"/>
    <col min="15875" max="15875" width="11" customWidth="1"/>
    <col min="15876" max="15876" width="11.1640625" customWidth="1"/>
    <col min="15877" max="15877" width="13.1640625" customWidth="1"/>
    <col min="15878" max="15878" width="16.33203125" customWidth="1"/>
    <col min="15879" max="15879" width="32.6640625" customWidth="1"/>
    <col min="15882" max="15882" width="19.5" customWidth="1"/>
    <col min="16129" max="16129" width="6.5" customWidth="1"/>
    <col min="16130" max="16130" width="35" customWidth="1"/>
    <col min="16131" max="16131" width="11" customWidth="1"/>
    <col min="16132" max="16132" width="11.1640625" customWidth="1"/>
    <col min="16133" max="16133" width="13.1640625" customWidth="1"/>
    <col min="16134" max="16134" width="16.33203125" customWidth="1"/>
    <col min="16135" max="16135" width="32.6640625" customWidth="1"/>
    <col min="16138" max="16138" width="19.5" customWidth="1"/>
  </cols>
  <sheetData>
    <row r="1" spans="1:8" ht="16">
      <c r="B1" s="508" t="s">
        <v>3</v>
      </c>
      <c r="C1" s="1704"/>
      <c r="D1" s="1704"/>
      <c r="E1" s="1704"/>
      <c r="F1" s="1704"/>
      <c r="G1" s="1704"/>
      <c r="H1" s="1301"/>
    </row>
    <row r="2" spans="1:8" ht="16">
      <c r="A2" s="507"/>
      <c r="B2" s="1302" t="s">
        <v>1068</v>
      </c>
      <c r="C2" s="1704"/>
      <c r="D2" s="1704"/>
      <c r="E2" s="1704"/>
      <c r="F2" s="1704"/>
      <c r="G2" s="1704"/>
      <c r="H2" s="1301"/>
    </row>
    <row r="3" spans="1:8" ht="16">
      <c r="B3" s="1303"/>
      <c r="C3" s="508"/>
      <c r="D3" s="932"/>
      <c r="E3" s="932"/>
      <c r="F3" s="508"/>
      <c r="G3" s="508"/>
      <c r="H3" s="508"/>
    </row>
    <row r="4" spans="1:8" ht="18">
      <c r="A4" s="1705" t="s">
        <v>1166</v>
      </c>
      <c r="B4" s="1705"/>
      <c r="C4" s="1705"/>
      <c r="D4" s="1705"/>
      <c r="E4" s="1705"/>
      <c r="F4" s="1705"/>
      <c r="G4" s="1705"/>
      <c r="H4" s="1304"/>
    </row>
    <row r="5" spans="1:8" s="817" customFormat="1" ht="16">
      <c r="A5" s="1303"/>
      <c r="B5" s="1303"/>
      <c r="C5" s="507" t="s">
        <v>1167</v>
      </c>
      <c r="F5" s="1303"/>
      <c r="G5" s="1303"/>
      <c r="H5" s="1305"/>
    </row>
    <row r="6" spans="1:8" ht="18">
      <c r="A6" s="1306"/>
      <c r="B6" s="1306"/>
      <c r="C6" s="507" t="s">
        <v>1168</v>
      </c>
      <c r="D6" s="1303"/>
      <c r="E6" s="1306"/>
      <c r="F6" s="1306"/>
      <c r="G6" s="1306"/>
      <c r="H6" s="1304"/>
    </row>
    <row r="7" spans="1:8" ht="17">
      <c r="A7" s="1307" t="s">
        <v>0</v>
      </c>
      <c r="B7" s="1308" t="s">
        <v>41</v>
      </c>
      <c r="C7" s="1307" t="s">
        <v>1</v>
      </c>
      <c r="D7" s="1307" t="s">
        <v>373</v>
      </c>
      <c r="E7" s="1307" t="s">
        <v>28</v>
      </c>
      <c r="F7" s="1307" t="s">
        <v>29</v>
      </c>
      <c r="G7" s="1307" t="s">
        <v>1077</v>
      </c>
    </row>
    <row r="8" spans="1:8" s="1311" customFormat="1" ht="17">
      <c r="A8" s="1307">
        <v>1</v>
      </c>
      <c r="B8" s="1706" t="s">
        <v>1169</v>
      </c>
      <c r="C8" s="1707"/>
      <c r="D8" s="1707"/>
      <c r="E8" s="1707"/>
      <c r="F8" s="1309">
        <f>SUM(F9:F12)</f>
        <v>1200000</v>
      </c>
      <c r="G8" s="1310"/>
    </row>
    <row r="9" spans="1:8" s="1311" customFormat="1" ht="17">
      <c r="A9" s="1312" t="s">
        <v>124</v>
      </c>
      <c r="B9" s="1313" t="s">
        <v>1025</v>
      </c>
      <c r="C9" s="1314" t="s">
        <v>1042</v>
      </c>
      <c r="D9" s="1315">
        <v>1</v>
      </c>
      <c r="E9" s="1316">
        <v>200000</v>
      </c>
      <c r="F9" s="1317">
        <f>D9*E9</f>
        <v>200000</v>
      </c>
      <c r="G9" s="1318" t="s">
        <v>1170</v>
      </c>
    </row>
    <row r="10" spans="1:8" s="1311" customFormat="1" ht="17">
      <c r="A10" s="1314" t="s">
        <v>578</v>
      </c>
      <c r="B10" s="1313" t="s">
        <v>1171</v>
      </c>
      <c r="C10" s="1314" t="s">
        <v>1042</v>
      </c>
      <c r="D10" s="1315">
        <v>2</v>
      </c>
      <c r="E10" s="1316">
        <v>100000</v>
      </c>
      <c r="F10" s="1317">
        <f>D10*E10</f>
        <v>200000</v>
      </c>
      <c r="G10" s="1318" t="s">
        <v>1170</v>
      </c>
    </row>
    <row r="11" spans="1:8" s="1311" customFormat="1" ht="17">
      <c r="A11" s="1312" t="s">
        <v>1172</v>
      </c>
      <c r="B11" s="1313" t="s">
        <v>1173</v>
      </c>
      <c r="C11" s="1314" t="s">
        <v>1042</v>
      </c>
      <c r="D11" s="1315">
        <v>2</v>
      </c>
      <c r="E11" s="1316">
        <v>200000</v>
      </c>
      <c r="F11" s="1317">
        <v>400000</v>
      </c>
      <c r="G11" s="1318" t="s">
        <v>1170</v>
      </c>
    </row>
    <row r="12" spans="1:8" s="1311" customFormat="1" ht="17">
      <c r="A12" s="1314" t="s">
        <v>1174</v>
      </c>
      <c r="B12" s="1313" t="s">
        <v>1175</v>
      </c>
      <c r="C12" s="1314" t="s">
        <v>1042</v>
      </c>
      <c r="D12" s="1315">
        <v>4</v>
      </c>
      <c r="E12" s="1316">
        <v>100000</v>
      </c>
      <c r="F12" s="1317">
        <v>400000</v>
      </c>
      <c r="G12" s="1318" t="s">
        <v>1170</v>
      </c>
    </row>
    <row r="13" spans="1:8" s="1311" customFormat="1" ht="17">
      <c r="A13" s="1307">
        <v>2</v>
      </c>
      <c r="B13" s="1706" t="s">
        <v>1176</v>
      </c>
      <c r="C13" s="1707"/>
      <c r="D13" s="1707"/>
      <c r="E13" s="1707"/>
      <c r="F13" s="1319">
        <f>SUM(F14:F16)</f>
        <v>800000</v>
      </c>
      <c r="G13" s="1320"/>
    </row>
    <row r="14" spans="1:8" s="1311" customFormat="1" ht="17">
      <c r="A14" s="1314" t="s">
        <v>131</v>
      </c>
      <c r="B14" s="1313" t="s">
        <v>1025</v>
      </c>
      <c r="C14" s="1314" t="s">
        <v>1042</v>
      </c>
      <c r="D14" s="1315">
        <v>1</v>
      </c>
      <c r="E14" s="1316">
        <v>200000</v>
      </c>
      <c r="F14" s="1316">
        <v>200000</v>
      </c>
      <c r="G14" s="1318" t="s">
        <v>1170</v>
      </c>
    </row>
    <row r="15" spans="1:8" s="1311" customFormat="1" ht="17">
      <c r="A15" s="1314" t="s">
        <v>132</v>
      </c>
      <c r="B15" s="1313" t="s">
        <v>1171</v>
      </c>
      <c r="C15" s="1314" t="s">
        <v>1042</v>
      </c>
      <c r="D15" s="1315">
        <v>2</v>
      </c>
      <c r="E15" s="1316">
        <v>100000</v>
      </c>
      <c r="F15" s="1317">
        <v>200000</v>
      </c>
      <c r="G15" s="1318" t="s">
        <v>1170</v>
      </c>
    </row>
    <row r="16" spans="1:8" s="1311" customFormat="1" ht="17">
      <c r="A16" s="1314" t="s">
        <v>133</v>
      </c>
      <c r="B16" s="1313" t="s">
        <v>1175</v>
      </c>
      <c r="C16" s="1314" t="s">
        <v>1042</v>
      </c>
      <c r="D16" s="1315">
        <v>4</v>
      </c>
      <c r="E16" s="1316">
        <v>100000</v>
      </c>
      <c r="F16" s="1317">
        <v>400000</v>
      </c>
      <c r="G16" s="1318" t="s">
        <v>1170</v>
      </c>
    </row>
    <row r="17" spans="1:7" s="1311" customFormat="1" ht="17">
      <c r="A17" s="1307">
        <v>3</v>
      </c>
      <c r="B17" s="1706" t="s">
        <v>1177</v>
      </c>
      <c r="C17" s="1707"/>
      <c r="D17" s="1707"/>
      <c r="E17" s="1707"/>
      <c r="F17" s="1319">
        <f>SUM(F18:F21)</f>
        <v>1400000</v>
      </c>
      <c r="G17" s="1320"/>
    </row>
    <row r="18" spans="1:7" s="1311" customFormat="1" ht="17">
      <c r="A18" s="1314" t="s">
        <v>1178</v>
      </c>
      <c r="B18" s="1313" t="s">
        <v>1179</v>
      </c>
      <c r="C18" s="1314" t="s">
        <v>1180</v>
      </c>
      <c r="D18" s="1314">
        <v>1</v>
      </c>
      <c r="E18" s="1316">
        <v>500000</v>
      </c>
      <c r="F18" s="1316">
        <v>500000</v>
      </c>
      <c r="G18" s="1318" t="s">
        <v>1170</v>
      </c>
    </row>
    <row r="19" spans="1:7" s="1311" customFormat="1" ht="17">
      <c r="A19" s="1314" t="s">
        <v>1181</v>
      </c>
      <c r="B19" s="1313" t="s">
        <v>1182</v>
      </c>
      <c r="C19" s="1314" t="s">
        <v>1180</v>
      </c>
      <c r="D19" s="1314">
        <v>1</v>
      </c>
      <c r="E19" s="1316">
        <v>400000</v>
      </c>
      <c r="F19" s="1316">
        <v>400000</v>
      </c>
      <c r="G19" s="1318" t="s">
        <v>1170</v>
      </c>
    </row>
    <row r="20" spans="1:7" s="1311" customFormat="1" ht="17">
      <c r="A20" s="1314" t="s">
        <v>1183</v>
      </c>
      <c r="B20" s="1313" t="s">
        <v>1184</v>
      </c>
      <c r="C20" s="1314" t="s">
        <v>1180</v>
      </c>
      <c r="D20" s="1314">
        <v>1</v>
      </c>
      <c r="E20" s="1316">
        <v>300000</v>
      </c>
      <c r="F20" s="1316">
        <v>300000</v>
      </c>
      <c r="G20" s="1318" t="s">
        <v>1170</v>
      </c>
    </row>
    <row r="21" spans="1:7" s="1311" customFormat="1" ht="17">
      <c r="A21" s="1314">
        <v>3.4</v>
      </c>
      <c r="B21" s="1313" t="s">
        <v>1185</v>
      </c>
      <c r="C21" s="1314" t="s">
        <v>1180</v>
      </c>
      <c r="D21" s="1314">
        <v>1</v>
      </c>
      <c r="E21" s="1316">
        <v>200000</v>
      </c>
      <c r="F21" s="1316">
        <v>200000</v>
      </c>
      <c r="G21" s="1318" t="s">
        <v>1170</v>
      </c>
    </row>
    <row r="22" spans="1:7" s="1311" customFormat="1" ht="17">
      <c r="A22" s="1307">
        <v>4</v>
      </c>
      <c r="B22" s="1321" t="s">
        <v>1186</v>
      </c>
      <c r="C22" s="1318"/>
      <c r="D22" s="1322"/>
      <c r="E22" s="1323"/>
      <c r="F22" s="1319">
        <v>1600000</v>
      </c>
      <c r="G22" s="1318"/>
    </row>
    <row r="23" spans="1:7" s="1311" customFormat="1" ht="17">
      <c r="A23" s="1324">
        <v>4.0999999999999996</v>
      </c>
      <c r="B23" s="1325" t="s">
        <v>1187</v>
      </c>
      <c r="C23" s="1326" t="s">
        <v>1188</v>
      </c>
      <c r="D23" s="1327">
        <v>2</v>
      </c>
      <c r="E23" s="1328">
        <v>500000</v>
      </c>
      <c r="F23" s="1329">
        <v>1000000</v>
      </c>
      <c r="G23" s="1318" t="s">
        <v>1170</v>
      </c>
    </row>
    <row r="24" spans="1:7" s="1311" customFormat="1" ht="17">
      <c r="A24" s="1324">
        <v>4.0999999999999996</v>
      </c>
      <c r="B24" s="1325" t="s">
        <v>1189</v>
      </c>
      <c r="C24" s="1326" t="s">
        <v>1188</v>
      </c>
      <c r="D24" s="1327">
        <v>2</v>
      </c>
      <c r="E24" s="1328">
        <v>500000</v>
      </c>
      <c r="F24" s="1329">
        <v>1000000</v>
      </c>
      <c r="G24" s="1318" t="s">
        <v>1170</v>
      </c>
    </row>
    <row r="25" spans="1:7" s="1311" customFormat="1" ht="17">
      <c r="A25" s="1307">
        <v>5</v>
      </c>
      <c r="B25" s="1320" t="s">
        <v>1190</v>
      </c>
      <c r="C25" s="1326" t="s">
        <v>1180</v>
      </c>
      <c r="D25" s="1327">
        <v>4</v>
      </c>
      <c r="E25" s="1328">
        <v>1000000</v>
      </c>
      <c r="F25" s="1319">
        <v>4000000</v>
      </c>
      <c r="G25" s="1318" t="s">
        <v>1170</v>
      </c>
    </row>
    <row r="26" spans="1:7" s="1311" customFormat="1" ht="18" thickBot="1">
      <c r="A26" s="1324">
        <v>6</v>
      </c>
      <c r="B26" s="1330" t="s">
        <v>105</v>
      </c>
      <c r="C26" s="1326"/>
      <c r="D26" s="1327"/>
      <c r="E26" s="1328"/>
      <c r="F26" s="1319">
        <v>4160000</v>
      </c>
      <c r="G26" s="1318"/>
    </row>
    <row r="27" spans="1:7" s="1311" customFormat="1" ht="18" thickBot="1">
      <c r="A27" s="1324">
        <v>6.1</v>
      </c>
      <c r="B27" s="1331" t="s">
        <v>1191</v>
      </c>
      <c r="C27" s="1326" t="s">
        <v>1042</v>
      </c>
      <c r="D27" s="1327">
        <v>10</v>
      </c>
      <c r="E27" s="1328">
        <v>100000</v>
      </c>
      <c r="F27" s="1329">
        <v>1000000</v>
      </c>
      <c r="G27" s="1318" t="s">
        <v>1170</v>
      </c>
    </row>
    <row r="28" spans="1:7" s="1311" customFormat="1" ht="17">
      <c r="A28" s="1324">
        <v>6.2</v>
      </c>
      <c r="B28" s="1332" t="s">
        <v>1192</v>
      </c>
      <c r="C28" s="1326" t="s">
        <v>370</v>
      </c>
      <c r="D28" s="1327">
        <v>30</v>
      </c>
      <c r="E28" s="1328">
        <v>20</v>
      </c>
      <c r="F28" s="1329">
        <v>600000</v>
      </c>
      <c r="G28" s="1318" t="s">
        <v>1193</v>
      </c>
    </row>
    <row r="29" spans="1:7" s="1311" customFormat="1" ht="17">
      <c r="A29" s="1333">
        <v>6.3</v>
      </c>
      <c r="B29" s="1334" t="s">
        <v>1194</v>
      </c>
      <c r="C29" s="1335" t="s">
        <v>1195</v>
      </c>
      <c r="D29" s="1327">
        <v>7</v>
      </c>
      <c r="E29" s="1328">
        <v>50000</v>
      </c>
      <c r="F29" s="1336">
        <v>350000</v>
      </c>
      <c r="G29" s="1318" t="s">
        <v>1193</v>
      </c>
    </row>
    <row r="30" spans="1:7" s="1311" customFormat="1" ht="17">
      <c r="A30" s="1324">
        <v>6.4</v>
      </c>
      <c r="B30" s="1334" t="s">
        <v>1196</v>
      </c>
      <c r="C30" s="1335" t="s">
        <v>370</v>
      </c>
      <c r="D30" s="1327">
        <v>1</v>
      </c>
      <c r="E30" s="1328">
        <v>315000</v>
      </c>
      <c r="F30" s="1328">
        <v>315000</v>
      </c>
      <c r="G30" s="1318" t="s">
        <v>1193</v>
      </c>
    </row>
    <row r="31" spans="1:7" s="1311" customFormat="1" ht="34">
      <c r="A31" s="1333">
        <v>6.5</v>
      </c>
      <c r="B31" s="1332" t="s">
        <v>1197</v>
      </c>
      <c r="C31" s="1326" t="s">
        <v>1042</v>
      </c>
      <c r="D31" s="1327">
        <v>4</v>
      </c>
      <c r="E31" s="1328">
        <v>50000</v>
      </c>
      <c r="F31" s="1337">
        <v>200000</v>
      </c>
      <c r="G31" s="1318" t="s">
        <v>1170</v>
      </c>
    </row>
    <row r="32" spans="1:7" s="1311" customFormat="1" ht="17">
      <c r="A32" s="1333">
        <v>6.6</v>
      </c>
      <c r="B32" s="1334" t="s">
        <v>1198</v>
      </c>
      <c r="C32" s="1335" t="s">
        <v>1199</v>
      </c>
      <c r="D32" s="1327">
        <v>2</v>
      </c>
      <c r="E32" s="1328">
        <v>97000</v>
      </c>
      <c r="F32" s="1329">
        <v>195000</v>
      </c>
      <c r="G32" s="1318" t="s">
        <v>1193</v>
      </c>
    </row>
    <row r="33" spans="1:7" s="1311" customFormat="1" ht="17">
      <c r="A33" s="1333">
        <v>6.7</v>
      </c>
      <c r="B33" s="1334" t="s">
        <v>1200</v>
      </c>
      <c r="C33" s="1335" t="s">
        <v>1201</v>
      </c>
      <c r="D33" s="1333">
        <v>1</v>
      </c>
      <c r="E33" s="1328"/>
      <c r="F33" s="1329">
        <v>500000</v>
      </c>
      <c r="G33" s="1318" t="s">
        <v>1193</v>
      </c>
    </row>
    <row r="34" spans="1:7" s="1311" customFormat="1" ht="17">
      <c r="A34" s="1327">
        <v>6.8</v>
      </c>
      <c r="B34" s="1334" t="s">
        <v>1202</v>
      </c>
      <c r="C34" s="1335" t="s">
        <v>370</v>
      </c>
      <c r="D34" s="1327">
        <v>20</v>
      </c>
      <c r="E34" s="1328">
        <v>30000</v>
      </c>
      <c r="F34" s="1329">
        <v>600000</v>
      </c>
      <c r="G34" s="1318" t="s">
        <v>1193</v>
      </c>
    </row>
    <row r="35" spans="1:7" s="1311" customFormat="1" ht="17">
      <c r="A35" s="1318">
        <v>6.9</v>
      </c>
      <c r="B35" s="1338" t="s">
        <v>1203</v>
      </c>
      <c r="C35" s="1335" t="s">
        <v>370</v>
      </c>
      <c r="D35" s="1327">
        <v>4</v>
      </c>
      <c r="E35" s="1328">
        <v>100000</v>
      </c>
      <c r="F35" s="1329">
        <v>400000</v>
      </c>
      <c r="G35" s="1318" t="s">
        <v>1193</v>
      </c>
    </row>
    <row r="36" spans="1:7" s="1311" customFormat="1" ht="17">
      <c r="A36" s="1327"/>
      <c r="B36" s="1320" t="s">
        <v>353</v>
      </c>
      <c r="C36" s="1339"/>
      <c r="D36" s="1340"/>
      <c r="E36" s="1340"/>
      <c r="F36" s="1319">
        <v>13160000</v>
      </c>
      <c r="G36" s="1318"/>
    </row>
    <row r="37" spans="1:7" s="1311" customFormat="1" ht="18">
      <c r="A37" s="1341"/>
      <c r="B37" s="1342" t="s">
        <v>1204</v>
      </c>
      <c r="C37" s="1343" t="s">
        <v>1205</v>
      </c>
      <c r="D37" s="1343" t="s">
        <v>1206</v>
      </c>
      <c r="E37" s="1343" t="s">
        <v>1207</v>
      </c>
      <c r="F37" s="1344"/>
    </row>
    <row r="38" spans="1:7" s="1347" customFormat="1" ht="17">
      <c r="A38" s="1345"/>
      <c r="B38" s="1346"/>
      <c r="C38" s="1703" t="s">
        <v>1208</v>
      </c>
      <c r="D38" s="1703"/>
      <c r="E38" s="1703"/>
      <c r="F38" s="1703"/>
      <c r="G38" s="1703"/>
    </row>
    <row r="39" spans="1:7" ht="16">
      <c r="B39" s="1348" t="s">
        <v>1068</v>
      </c>
      <c r="D39" s="1277"/>
      <c r="E39" s="1277"/>
      <c r="F39" s="1277" t="s">
        <v>1209</v>
      </c>
      <c r="G39" s="1277"/>
    </row>
    <row r="42" spans="1:7" ht="16">
      <c r="A42" s="1349"/>
      <c r="B42" s="1277"/>
      <c r="C42" s="934"/>
      <c r="D42" s="1277"/>
      <c r="E42" s="1277"/>
      <c r="F42" s="1277"/>
    </row>
    <row r="43" spans="1:7" ht="16">
      <c r="B43" s="1277"/>
      <c r="C43" s="934"/>
      <c r="D43" s="1277"/>
      <c r="E43" s="1277"/>
      <c r="F43" s="1277"/>
    </row>
    <row r="44" spans="1:7" ht="16">
      <c r="B44" s="1277"/>
      <c r="C44" s="934"/>
      <c r="D44" s="1277"/>
      <c r="E44" s="1277"/>
      <c r="F44" s="1277" t="s">
        <v>301</v>
      </c>
    </row>
    <row r="45" spans="1:7" ht="16">
      <c r="B45" s="1350"/>
      <c r="C45" s="934"/>
      <c r="D45" s="1277"/>
      <c r="E45" s="1277"/>
      <c r="F45" s="1277"/>
    </row>
    <row r="46" spans="1:7" ht="16">
      <c r="B46" s="934" t="s">
        <v>1210</v>
      </c>
      <c r="C46" s="1277"/>
      <c r="D46" s="1277" t="s">
        <v>1211</v>
      </c>
      <c r="E46" s="1277"/>
      <c r="F46" s="1277"/>
      <c r="G46" s="1277" t="s">
        <v>1212</v>
      </c>
    </row>
  </sheetData>
  <mergeCells count="7">
    <mergeCell ref="C38:G38"/>
    <mergeCell ref="C1:G1"/>
    <mergeCell ref="C2:G2"/>
    <mergeCell ref="A4:G4"/>
    <mergeCell ref="B8:E8"/>
    <mergeCell ref="B13:E13"/>
    <mergeCell ref="B17:E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08"/>
  <sheetViews>
    <sheetView zoomScale="110" zoomScaleNormal="110" workbookViewId="0">
      <pane xSplit="2" ySplit="7" topLeftCell="C295" activePane="bottomRight" state="frozen"/>
      <selection pane="topRight" activeCell="C1" sqref="C1"/>
      <selection pane="bottomLeft" activeCell="A8" sqref="A8"/>
      <selection pane="bottomRight" activeCell="N300" sqref="N300:Q300"/>
    </sheetView>
  </sheetViews>
  <sheetFormatPr baseColWidth="10" defaultColWidth="9.1640625" defaultRowHeight="13"/>
  <cols>
    <col min="1" max="1" width="5.5" style="1076" customWidth="1"/>
    <col min="2" max="2" width="41.1640625" style="1076" customWidth="1"/>
    <col min="3" max="3" width="7" style="1078" customWidth="1"/>
    <col min="4" max="4" width="6.5" style="1078" customWidth="1"/>
    <col min="5" max="5" width="6" style="1078" customWidth="1"/>
    <col min="6" max="6" width="7.5" style="190" customWidth="1"/>
    <col min="7" max="7" width="6.83203125" style="1078" customWidth="1"/>
    <col min="8" max="8" width="11.1640625" style="1078" customWidth="1"/>
    <col min="9" max="10" width="8.33203125" style="1078" customWidth="1"/>
    <col min="11" max="11" width="6.5" style="1077" customWidth="1"/>
    <col min="12" max="12" width="7.6640625" style="1077" customWidth="1"/>
    <col min="13" max="13" width="9.5" style="1077" customWidth="1"/>
    <col min="14" max="14" width="11" style="1077" customWidth="1"/>
    <col min="15" max="15" width="6.6640625" style="1077" customWidth="1"/>
    <col min="16" max="16" width="9.6640625" style="1077" customWidth="1"/>
    <col min="17" max="17" width="12.6640625" style="950" customWidth="1"/>
    <col min="18" max="16384" width="9.1640625" style="950"/>
  </cols>
  <sheetData>
    <row r="1" spans="1:17" ht="14.25" customHeight="1">
      <c r="A1" s="1566" t="s">
        <v>3</v>
      </c>
      <c r="B1" s="1566"/>
      <c r="C1" s="1566"/>
      <c r="D1" s="914"/>
      <c r="E1" s="914"/>
      <c r="F1" s="914"/>
      <c r="G1" s="914"/>
      <c r="H1" s="190"/>
      <c r="I1" s="1559"/>
      <c r="J1" s="1559"/>
      <c r="K1" s="1559"/>
      <c r="L1" s="1559"/>
      <c r="M1" s="1559"/>
      <c r="N1" s="1559"/>
      <c r="O1" s="64"/>
      <c r="P1" s="64"/>
      <c r="Q1" s="341" t="s">
        <v>30</v>
      </c>
    </row>
    <row r="2" spans="1:17">
      <c r="A2" s="1567" t="s">
        <v>530</v>
      </c>
      <c r="B2" s="1567"/>
      <c r="C2" s="1567"/>
      <c r="D2" s="915"/>
      <c r="E2" s="915"/>
      <c r="F2" s="914"/>
      <c r="G2" s="915"/>
      <c r="H2" s="190"/>
      <c r="I2" s="1559"/>
      <c r="J2" s="1559"/>
      <c r="K2" s="1559"/>
      <c r="L2" s="1559"/>
      <c r="M2" s="1559"/>
      <c r="N2" s="1559"/>
      <c r="O2" s="64"/>
      <c r="P2" s="64"/>
      <c r="Q2" s="64"/>
    </row>
    <row r="3" spans="1:17" ht="30" customHeight="1">
      <c r="A3" s="1568" t="s">
        <v>981</v>
      </c>
      <c r="B3" s="1568"/>
      <c r="C3" s="1568"/>
      <c r="D3" s="1568"/>
      <c r="E3" s="1568"/>
      <c r="F3" s="1568"/>
      <c r="G3" s="1568"/>
      <c r="H3" s="1568"/>
      <c r="I3" s="1568"/>
      <c r="J3" s="1568"/>
      <c r="K3" s="1568"/>
      <c r="L3" s="1568"/>
      <c r="M3" s="1568"/>
      <c r="N3" s="1568"/>
      <c r="O3" s="1568"/>
      <c r="P3" s="1568"/>
      <c r="Q3" s="1568"/>
    </row>
    <row r="4" spans="1:17" ht="14" thickBot="1">
      <c r="A4" s="70"/>
      <c r="B4" s="70"/>
      <c r="C4" s="71"/>
      <c r="D4" s="71"/>
      <c r="E4" s="71"/>
      <c r="F4" s="71"/>
      <c r="G4" s="71"/>
      <c r="H4" s="71"/>
      <c r="I4" s="71"/>
      <c r="J4" s="71"/>
      <c r="K4" s="70"/>
      <c r="L4" s="70"/>
      <c r="M4" s="70"/>
      <c r="N4" s="70" t="s">
        <v>20</v>
      </c>
      <c r="O4" s="70"/>
      <c r="P4" s="70"/>
      <c r="Q4" s="71"/>
    </row>
    <row r="5" spans="1:17" ht="99" customHeight="1" thickTop="1">
      <c r="A5" s="1564" t="s">
        <v>0</v>
      </c>
      <c r="B5" s="1562" t="s">
        <v>171</v>
      </c>
      <c r="C5" s="1562" t="s">
        <v>204</v>
      </c>
      <c r="D5" s="912" t="s">
        <v>205</v>
      </c>
      <c r="E5" s="1562" t="s">
        <v>152</v>
      </c>
      <c r="F5" s="1562" t="s">
        <v>159</v>
      </c>
      <c r="G5" s="1562" t="s">
        <v>208</v>
      </c>
      <c r="H5" s="1578" t="s">
        <v>207</v>
      </c>
      <c r="I5" s="1580" t="s">
        <v>209</v>
      </c>
      <c r="J5" s="1581"/>
      <c r="K5" s="1582"/>
      <c r="L5" s="1562" t="s">
        <v>210</v>
      </c>
      <c r="M5" s="1562" t="s">
        <v>211</v>
      </c>
      <c r="N5" s="1562" t="s">
        <v>39</v>
      </c>
      <c r="O5" s="1562" t="s">
        <v>86</v>
      </c>
      <c r="P5" s="1562" t="s">
        <v>87</v>
      </c>
      <c r="Q5" s="1569" t="s">
        <v>2</v>
      </c>
    </row>
    <row r="6" spans="1:17" ht="50" customHeight="1">
      <c r="A6" s="1565"/>
      <c r="B6" s="1563"/>
      <c r="C6" s="1563"/>
      <c r="D6" s="913"/>
      <c r="E6" s="1563"/>
      <c r="F6" s="1563"/>
      <c r="G6" s="1563"/>
      <c r="H6" s="1579"/>
      <c r="I6" s="704" t="s">
        <v>160</v>
      </c>
      <c r="J6" s="704" t="s">
        <v>101</v>
      </c>
      <c r="K6" s="704" t="s">
        <v>158</v>
      </c>
      <c r="L6" s="1563"/>
      <c r="M6" s="1563"/>
      <c r="N6" s="1563"/>
      <c r="O6" s="1563"/>
      <c r="P6" s="1563"/>
      <c r="Q6" s="1570"/>
    </row>
    <row r="7" spans="1:17" s="951" customFormat="1" ht="30" customHeight="1">
      <c r="A7" s="72" t="s">
        <v>115</v>
      </c>
      <c r="B7" s="705" t="s">
        <v>116</v>
      </c>
      <c r="C7" s="705" t="s">
        <v>117</v>
      </c>
      <c r="D7" s="706" t="s">
        <v>118</v>
      </c>
      <c r="E7" s="706" t="s">
        <v>119</v>
      </c>
      <c r="F7" s="707" t="s">
        <v>768</v>
      </c>
      <c r="G7" s="706" t="s">
        <v>121</v>
      </c>
      <c r="H7" s="706" t="s">
        <v>769</v>
      </c>
      <c r="I7" s="706" t="s">
        <v>770</v>
      </c>
      <c r="J7" s="706" t="s">
        <v>125</v>
      </c>
      <c r="K7" s="706" t="s">
        <v>134</v>
      </c>
      <c r="L7" s="706" t="s">
        <v>126</v>
      </c>
      <c r="M7" s="706" t="s">
        <v>127</v>
      </c>
      <c r="N7" s="706" t="s">
        <v>128</v>
      </c>
      <c r="O7" s="706" t="s">
        <v>129</v>
      </c>
      <c r="P7" s="219" t="s">
        <v>130</v>
      </c>
      <c r="Q7" s="219" t="s">
        <v>206</v>
      </c>
    </row>
    <row r="8" spans="1:17" ht="25" customHeight="1">
      <c r="A8" s="226" t="s">
        <v>6</v>
      </c>
      <c r="B8" s="952"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953" customFormat="1" ht="25" customHeight="1">
      <c r="A11" s="262" t="s">
        <v>147</v>
      </c>
      <c r="B11" s="263" t="s">
        <v>161</v>
      </c>
      <c r="C11" s="264"/>
      <c r="D11" s="264"/>
      <c r="E11" s="264"/>
      <c r="F11" s="916"/>
      <c r="G11" s="264"/>
      <c r="H11" s="264"/>
      <c r="I11" s="265"/>
      <c r="J11" s="265"/>
      <c r="K11" s="265"/>
      <c r="L11" s="265"/>
      <c r="M11" s="265"/>
      <c r="N11" s="265"/>
      <c r="O11" s="265"/>
      <c r="P11" s="265"/>
      <c r="Q11" s="266"/>
    </row>
    <row r="12" spans="1:17" s="953" customFormat="1" ht="25" customHeight="1">
      <c r="A12" s="954" t="s">
        <v>226</v>
      </c>
      <c r="B12" s="955" t="s">
        <v>910</v>
      </c>
      <c r="C12" s="920">
        <v>4</v>
      </c>
      <c r="D12" s="923">
        <v>1</v>
      </c>
      <c r="E12" s="920">
        <v>2</v>
      </c>
      <c r="F12" s="271">
        <f>I12+J12+K12</f>
        <v>132</v>
      </c>
      <c r="G12" s="919">
        <v>40</v>
      </c>
      <c r="H12" s="916">
        <f>C12*E12*G12</f>
        <v>320</v>
      </c>
      <c r="I12" s="269">
        <f>IF(G12&lt;70, C12*E12*16.5*1, C12*E12*16.5*1.3)</f>
        <v>132</v>
      </c>
      <c r="J12" s="265"/>
      <c r="K12" s="265"/>
      <c r="L12" s="265"/>
      <c r="M12" s="265"/>
      <c r="N12" s="265"/>
      <c r="O12" s="265"/>
      <c r="P12" s="265"/>
      <c r="Q12" s="266"/>
    </row>
    <row r="13" spans="1:17" s="953" customFormat="1" ht="25" customHeight="1">
      <c r="A13" s="954" t="s">
        <v>227</v>
      </c>
      <c r="B13" s="955" t="s">
        <v>911</v>
      </c>
      <c r="C13" s="920">
        <v>4</v>
      </c>
      <c r="D13" s="920">
        <v>1</v>
      </c>
      <c r="E13" s="920">
        <v>2</v>
      </c>
      <c r="F13" s="271">
        <f>I13+J13+K13</f>
        <v>132</v>
      </c>
      <c r="G13" s="919">
        <v>40</v>
      </c>
      <c r="H13" s="916">
        <f t="shared" ref="H13:H43" si="0">C13*E13*G13</f>
        <v>320</v>
      </c>
      <c r="I13" s="269">
        <f t="shared" ref="I13:I41" si="1">IF(G13&lt;70, C13*E13*16.5*1, C13*E13*16.5*1.3)</f>
        <v>132</v>
      </c>
      <c r="J13" s="265"/>
      <c r="K13" s="265"/>
      <c r="L13" s="265"/>
      <c r="M13" s="265"/>
      <c r="N13" s="265"/>
      <c r="O13" s="265"/>
      <c r="P13" s="265"/>
      <c r="Q13" s="262" t="s">
        <v>698</v>
      </c>
    </row>
    <row r="14" spans="1:17" s="953" customFormat="1" ht="25" customHeight="1">
      <c r="A14" s="954" t="s">
        <v>228</v>
      </c>
      <c r="B14" s="956" t="s">
        <v>838</v>
      </c>
      <c r="C14" s="920">
        <v>2</v>
      </c>
      <c r="D14" s="920">
        <v>1</v>
      </c>
      <c r="E14" s="957">
        <v>4</v>
      </c>
      <c r="F14" s="271">
        <f t="shared" ref="F14:F43" si="2">I14+J14+K14</f>
        <v>171.6</v>
      </c>
      <c r="G14" s="919">
        <v>75</v>
      </c>
      <c r="H14" s="916">
        <f t="shared" si="0"/>
        <v>600</v>
      </c>
      <c r="I14" s="269">
        <f t="shared" si="1"/>
        <v>171.6</v>
      </c>
      <c r="J14" s="265"/>
      <c r="K14" s="265"/>
      <c r="L14" s="265"/>
      <c r="M14" s="265"/>
      <c r="N14" s="265"/>
      <c r="O14" s="265"/>
      <c r="P14" s="265"/>
      <c r="Q14" s="266"/>
    </row>
    <row r="15" spans="1:17" s="953" customFormat="1" ht="25" customHeight="1">
      <c r="A15" s="954" t="s">
        <v>229</v>
      </c>
      <c r="B15" s="956" t="s">
        <v>839</v>
      </c>
      <c r="C15" s="920">
        <v>3</v>
      </c>
      <c r="D15" s="920">
        <v>1</v>
      </c>
      <c r="E15" s="920">
        <v>4</v>
      </c>
      <c r="F15" s="271">
        <f t="shared" si="2"/>
        <v>257.40000000000003</v>
      </c>
      <c r="G15" s="919">
        <v>75</v>
      </c>
      <c r="H15" s="916">
        <f t="shared" si="0"/>
        <v>900</v>
      </c>
      <c r="I15" s="269">
        <f t="shared" si="1"/>
        <v>257.40000000000003</v>
      </c>
      <c r="J15" s="265"/>
      <c r="K15" s="265"/>
      <c r="L15" s="265"/>
      <c r="M15" s="265"/>
      <c r="N15" s="265"/>
      <c r="O15" s="265"/>
      <c r="P15" s="265"/>
      <c r="Q15" s="266"/>
    </row>
    <row r="16" spans="1:17" s="953" customFormat="1" ht="25" customHeight="1">
      <c r="A16" s="954" t="s">
        <v>230</v>
      </c>
      <c r="B16" s="956" t="s">
        <v>251</v>
      </c>
      <c r="C16" s="920">
        <v>2</v>
      </c>
      <c r="D16" s="920">
        <v>1</v>
      </c>
      <c r="E16" s="920">
        <v>4</v>
      </c>
      <c r="F16" s="271">
        <f t="shared" si="2"/>
        <v>171.6</v>
      </c>
      <c r="G16" s="919">
        <v>75</v>
      </c>
      <c r="H16" s="916">
        <f t="shared" si="0"/>
        <v>600</v>
      </c>
      <c r="I16" s="269">
        <f t="shared" si="1"/>
        <v>171.6</v>
      </c>
      <c r="J16" s="265"/>
      <c r="K16" s="265"/>
      <c r="L16" s="265"/>
      <c r="M16" s="265"/>
      <c r="N16" s="265"/>
      <c r="O16" s="265"/>
      <c r="P16" s="265"/>
      <c r="Q16" s="266"/>
    </row>
    <row r="17" spans="1:17" s="953" customFormat="1" ht="25" customHeight="1">
      <c r="A17" s="954" t="s">
        <v>231</v>
      </c>
      <c r="B17" s="956" t="s">
        <v>840</v>
      </c>
      <c r="C17" s="920">
        <v>3</v>
      </c>
      <c r="D17" s="920">
        <v>1.3</v>
      </c>
      <c r="E17" s="920">
        <v>14</v>
      </c>
      <c r="F17" s="271">
        <f t="shared" si="2"/>
        <v>693</v>
      </c>
      <c r="G17" s="919">
        <v>20</v>
      </c>
      <c r="H17" s="916">
        <f t="shared" si="0"/>
        <v>840</v>
      </c>
      <c r="I17" s="269">
        <f t="shared" si="1"/>
        <v>693</v>
      </c>
      <c r="J17" s="265"/>
      <c r="K17" s="265"/>
      <c r="L17" s="265"/>
      <c r="M17" s="265"/>
      <c r="N17" s="265"/>
      <c r="O17" s="265"/>
      <c r="P17" s="265"/>
      <c r="Q17" s="266"/>
    </row>
    <row r="18" spans="1:17" s="953" customFormat="1" ht="25" customHeight="1">
      <c r="A18" s="954" t="s">
        <v>282</v>
      </c>
      <c r="B18" s="955" t="s">
        <v>254</v>
      </c>
      <c r="C18" s="923">
        <v>4</v>
      </c>
      <c r="D18" s="923">
        <v>1.4</v>
      </c>
      <c r="E18" s="923">
        <v>14</v>
      </c>
      <c r="F18" s="271">
        <f t="shared" si="2"/>
        <v>924</v>
      </c>
      <c r="G18" s="927">
        <v>20</v>
      </c>
      <c r="H18" s="916">
        <f t="shared" si="0"/>
        <v>1120</v>
      </c>
      <c r="I18" s="269">
        <f t="shared" si="1"/>
        <v>924</v>
      </c>
      <c r="J18" s="265"/>
      <c r="K18" s="265"/>
      <c r="L18" s="265"/>
      <c r="M18" s="265"/>
      <c r="N18" s="265"/>
      <c r="O18" s="265"/>
      <c r="P18" s="265"/>
      <c r="Q18" s="266"/>
    </row>
    <row r="19" spans="1:17" s="953" customFormat="1" ht="25" customHeight="1">
      <c r="A19" s="954" t="s">
        <v>283</v>
      </c>
      <c r="B19" s="958" t="s">
        <v>841</v>
      </c>
      <c r="C19" s="920">
        <v>2</v>
      </c>
      <c r="D19" s="920">
        <v>1</v>
      </c>
      <c r="E19" s="920">
        <v>2</v>
      </c>
      <c r="F19" s="271">
        <f t="shared" si="2"/>
        <v>85.8</v>
      </c>
      <c r="G19" s="919">
        <v>70</v>
      </c>
      <c r="H19" s="916">
        <f t="shared" si="0"/>
        <v>280</v>
      </c>
      <c r="I19" s="269">
        <f t="shared" si="1"/>
        <v>85.8</v>
      </c>
      <c r="J19" s="265"/>
      <c r="K19" s="265"/>
      <c r="L19" s="265"/>
      <c r="M19" s="265"/>
      <c r="N19" s="265"/>
      <c r="O19" s="265"/>
      <c r="P19" s="265"/>
      <c r="Q19" s="266"/>
    </row>
    <row r="20" spans="1:17" s="953" customFormat="1" ht="25" customHeight="1">
      <c r="A20" s="954" t="s">
        <v>284</v>
      </c>
      <c r="B20" s="959" t="s">
        <v>842</v>
      </c>
      <c r="C20" s="920">
        <v>4</v>
      </c>
      <c r="D20" s="920">
        <v>1</v>
      </c>
      <c r="E20" s="920">
        <v>2</v>
      </c>
      <c r="F20" s="271">
        <f t="shared" si="2"/>
        <v>171.6</v>
      </c>
      <c r="G20" s="919">
        <v>70</v>
      </c>
      <c r="H20" s="916">
        <f t="shared" si="0"/>
        <v>560</v>
      </c>
      <c r="I20" s="269">
        <f t="shared" si="1"/>
        <v>171.6</v>
      </c>
      <c r="J20" s="265"/>
      <c r="K20" s="265"/>
      <c r="L20" s="265"/>
      <c r="M20" s="265"/>
      <c r="N20" s="265"/>
      <c r="O20" s="265"/>
      <c r="P20" s="265"/>
      <c r="Q20" s="266"/>
    </row>
    <row r="21" spans="1:17" s="953" customFormat="1" ht="25" customHeight="1">
      <c r="A21" s="954" t="s">
        <v>285</v>
      </c>
      <c r="B21" s="958" t="s">
        <v>843</v>
      </c>
      <c r="C21" s="920">
        <v>5</v>
      </c>
      <c r="D21" s="920">
        <v>1</v>
      </c>
      <c r="E21" s="920">
        <v>3</v>
      </c>
      <c r="F21" s="271">
        <f t="shared" si="2"/>
        <v>321.75</v>
      </c>
      <c r="G21" s="919">
        <v>70</v>
      </c>
      <c r="H21" s="916">
        <f t="shared" si="0"/>
        <v>1050</v>
      </c>
      <c r="I21" s="269">
        <f t="shared" si="1"/>
        <v>321.75</v>
      </c>
      <c r="J21" s="270"/>
      <c r="K21" s="270"/>
      <c r="L21" s="270"/>
      <c r="M21" s="270"/>
      <c r="N21" s="270"/>
      <c r="O21" s="270"/>
      <c r="P21" s="270"/>
      <c r="Q21" s="271"/>
    </row>
    <row r="22" spans="1:17" s="953" customFormat="1" ht="25" customHeight="1">
      <c r="A22" s="954" t="s">
        <v>286</v>
      </c>
      <c r="B22" s="11" t="s">
        <v>844</v>
      </c>
      <c r="C22" s="920">
        <v>3</v>
      </c>
      <c r="D22" s="920">
        <v>1</v>
      </c>
      <c r="E22" s="920">
        <v>3</v>
      </c>
      <c r="F22" s="271">
        <f t="shared" si="2"/>
        <v>193.05</v>
      </c>
      <c r="G22" s="919">
        <v>70</v>
      </c>
      <c r="H22" s="916">
        <f t="shared" si="0"/>
        <v>630</v>
      </c>
      <c r="I22" s="269">
        <f t="shared" si="1"/>
        <v>193.05</v>
      </c>
      <c r="J22" s="270"/>
      <c r="K22" s="270"/>
      <c r="L22" s="270"/>
      <c r="M22" s="270"/>
      <c r="N22" s="270"/>
      <c r="O22" s="270"/>
      <c r="P22" s="270"/>
      <c r="Q22" s="271"/>
    </row>
    <row r="23" spans="1:17" s="953" customFormat="1" ht="25" customHeight="1">
      <c r="A23" s="954" t="s">
        <v>289</v>
      </c>
      <c r="B23" s="955" t="s">
        <v>267</v>
      </c>
      <c r="C23" s="920">
        <v>2</v>
      </c>
      <c r="D23" s="920">
        <v>1</v>
      </c>
      <c r="E23" s="920">
        <v>2</v>
      </c>
      <c r="F23" s="271">
        <f t="shared" si="2"/>
        <v>66</v>
      </c>
      <c r="G23" s="919">
        <v>40</v>
      </c>
      <c r="H23" s="916">
        <f t="shared" si="0"/>
        <v>160</v>
      </c>
      <c r="I23" s="269">
        <f t="shared" si="1"/>
        <v>66</v>
      </c>
      <c r="J23" s="270"/>
      <c r="K23" s="270"/>
      <c r="L23" s="270"/>
      <c r="M23" s="270"/>
      <c r="N23" s="270"/>
      <c r="O23" s="270"/>
      <c r="P23" s="270"/>
      <c r="Q23" s="271"/>
    </row>
    <row r="24" spans="1:17" s="953" customFormat="1" ht="25" customHeight="1">
      <c r="A24" s="954" t="s">
        <v>290</v>
      </c>
      <c r="B24" s="955" t="s">
        <v>845</v>
      </c>
      <c r="C24" s="920">
        <v>2</v>
      </c>
      <c r="D24" s="920">
        <v>1</v>
      </c>
      <c r="E24" s="957">
        <v>2</v>
      </c>
      <c r="F24" s="271">
        <f t="shared" si="2"/>
        <v>66</v>
      </c>
      <c r="G24" s="919">
        <v>40</v>
      </c>
      <c r="H24" s="916">
        <f t="shared" si="0"/>
        <v>160</v>
      </c>
      <c r="I24" s="269">
        <f t="shared" si="1"/>
        <v>66</v>
      </c>
      <c r="J24" s="270"/>
      <c r="K24" s="270"/>
      <c r="L24" s="270"/>
      <c r="M24" s="270"/>
      <c r="N24" s="270"/>
      <c r="O24" s="270"/>
      <c r="P24" s="270"/>
      <c r="Q24" s="271"/>
    </row>
    <row r="25" spans="1:17" s="953" customFormat="1" ht="25" customHeight="1">
      <c r="A25" s="954" t="s">
        <v>291</v>
      </c>
      <c r="B25" s="958" t="s">
        <v>846</v>
      </c>
      <c r="C25" s="920">
        <v>5</v>
      </c>
      <c r="D25" s="920">
        <v>1.08</v>
      </c>
      <c r="E25" s="920">
        <v>3</v>
      </c>
      <c r="F25" s="271">
        <f t="shared" si="2"/>
        <v>321.75</v>
      </c>
      <c r="G25" s="919">
        <v>70</v>
      </c>
      <c r="H25" s="916">
        <f t="shared" si="0"/>
        <v>1050</v>
      </c>
      <c r="I25" s="269">
        <f t="shared" si="1"/>
        <v>321.75</v>
      </c>
      <c r="J25" s="270"/>
      <c r="K25" s="270"/>
      <c r="L25" s="270"/>
      <c r="M25" s="270"/>
      <c r="N25" s="270"/>
      <c r="O25" s="270"/>
      <c r="P25" s="270"/>
      <c r="Q25" s="271"/>
    </row>
    <row r="26" spans="1:17" s="953" customFormat="1" ht="25" customHeight="1">
      <c r="A26" s="954" t="s">
        <v>292</v>
      </c>
      <c r="B26" s="959" t="s">
        <v>847</v>
      </c>
      <c r="C26" s="920">
        <v>5</v>
      </c>
      <c r="D26" s="920">
        <v>1.08</v>
      </c>
      <c r="E26" s="920">
        <v>3</v>
      </c>
      <c r="F26" s="271">
        <f t="shared" si="2"/>
        <v>321.75</v>
      </c>
      <c r="G26" s="919">
        <v>70</v>
      </c>
      <c r="H26" s="916">
        <f t="shared" si="0"/>
        <v>1050</v>
      </c>
      <c r="I26" s="269">
        <f t="shared" si="1"/>
        <v>321.75</v>
      </c>
      <c r="J26" s="270"/>
      <c r="K26" s="270"/>
      <c r="L26" s="270"/>
      <c r="M26" s="270"/>
      <c r="N26" s="270"/>
      <c r="O26" s="270"/>
      <c r="P26" s="270"/>
      <c r="Q26" s="271"/>
    </row>
    <row r="27" spans="1:17" s="953" customFormat="1" ht="25" customHeight="1">
      <c r="A27" s="954" t="s">
        <v>394</v>
      </c>
      <c r="B27" s="958" t="s">
        <v>848</v>
      </c>
      <c r="C27" s="920">
        <v>5</v>
      </c>
      <c r="D27" s="920">
        <v>1.08</v>
      </c>
      <c r="E27" s="920">
        <v>3</v>
      </c>
      <c r="F27" s="271">
        <f t="shared" si="2"/>
        <v>321.75</v>
      </c>
      <c r="G27" s="919">
        <v>70</v>
      </c>
      <c r="H27" s="916">
        <f t="shared" si="0"/>
        <v>1050</v>
      </c>
      <c r="I27" s="269">
        <f t="shared" si="1"/>
        <v>321.75</v>
      </c>
      <c r="J27" s="270"/>
      <c r="K27" s="270"/>
      <c r="L27" s="270"/>
      <c r="M27" s="270"/>
      <c r="N27" s="270"/>
      <c r="O27" s="270"/>
      <c r="P27" s="270"/>
      <c r="Q27" s="271"/>
    </row>
    <row r="28" spans="1:17" s="953" customFormat="1" ht="25" customHeight="1">
      <c r="A28" s="954" t="s">
        <v>395</v>
      </c>
      <c r="B28" s="958" t="s">
        <v>849</v>
      </c>
      <c r="C28" s="920">
        <v>2</v>
      </c>
      <c r="D28" s="920">
        <v>1.4</v>
      </c>
      <c r="E28" s="920">
        <v>3</v>
      </c>
      <c r="F28" s="271">
        <f t="shared" si="2"/>
        <v>99</v>
      </c>
      <c r="G28" s="919">
        <v>40</v>
      </c>
      <c r="H28" s="916">
        <f t="shared" si="0"/>
        <v>240</v>
      </c>
      <c r="I28" s="269">
        <f t="shared" si="1"/>
        <v>99</v>
      </c>
      <c r="J28" s="270"/>
      <c r="K28" s="270"/>
      <c r="L28" s="270"/>
      <c r="M28" s="270"/>
      <c r="N28" s="270"/>
      <c r="O28" s="270"/>
      <c r="P28" s="270"/>
      <c r="Q28" s="271"/>
    </row>
    <row r="29" spans="1:17" s="953" customFormat="1" ht="25" customHeight="1">
      <c r="A29" s="954" t="s">
        <v>396</v>
      </c>
      <c r="B29" s="958" t="s">
        <v>850</v>
      </c>
      <c r="C29" s="920">
        <v>3</v>
      </c>
      <c r="D29" s="920">
        <v>1</v>
      </c>
      <c r="E29" s="920">
        <v>3</v>
      </c>
      <c r="F29" s="271">
        <f t="shared" si="2"/>
        <v>148.5</v>
      </c>
      <c r="G29" s="919">
        <v>65</v>
      </c>
      <c r="H29" s="916">
        <f t="shared" si="0"/>
        <v>585</v>
      </c>
      <c r="I29" s="269">
        <f t="shared" si="1"/>
        <v>148.5</v>
      </c>
      <c r="J29" s="270"/>
      <c r="K29" s="270"/>
      <c r="L29" s="270"/>
      <c r="M29" s="270"/>
      <c r="N29" s="270"/>
      <c r="O29" s="270"/>
      <c r="P29" s="270"/>
      <c r="Q29" s="271"/>
    </row>
    <row r="30" spans="1:17" s="953" customFormat="1" ht="25" customHeight="1">
      <c r="A30" s="954" t="s">
        <v>397</v>
      </c>
      <c r="B30" s="955" t="s">
        <v>851</v>
      </c>
      <c r="C30" s="920">
        <v>2</v>
      </c>
      <c r="D30" s="920">
        <v>1</v>
      </c>
      <c r="E30" s="920">
        <v>1</v>
      </c>
      <c r="F30" s="271">
        <f t="shared" si="2"/>
        <v>42.9</v>
      </c>
      <c r="G30" s="919">
        <v>70</v>
      </c>
      <c r="H30" s="916">
        <f t="shared" si="0"/>
        <v>140</v>
      </c>
      <c r="I30" s="269">
        <f t="shared" si="1"/>
        <v>42.9</v>
      </c>
      <c r="J30" s="270"/>
      <c r="K30" s="270"/>
      <c r="L30" s="270"/>
      <c r="M30" s="270"/>
      <c r="N30" s="270"/>
      <c r="O30" s="270"/>
      <c r="P30" s="270"/>
      <c r="Q30" s="271"/>
    </row>
    <row r="31" spans="1:17" s="953" customFormat="1" ht="25" customHeight="1">
      <c r="A31" s="954" t="s">
        <v>398</v>
      </c>
      <c r="B31" s="955" t="s">
        <v>852</v>
      </c>
      <c r="C31" s="920">
        <v>2</v>
      </c>
      <c r="D31" s="920">
        <v>1</v>
      </c>
      <c r="E31" s="920">
        <v>1</v>
      </c>
      <c r="F31" s="271">
        <f t="shared" si="2"/>
        <v>42.9</v>
      </c>
      <c r="G31" s="919">
        <v>70</v>
      </c>
      <c r="H31" s="916">
        <f t="shared" si="0"/>
        <v>140</v>
      </c>
      <c r="I31" s="269">
        <f t="shared" si="1"/>
        <v>42.9</v>
      </c>
      <c r="J31" s="270"/>
      <c r="K31" s="270"/>
      <c r="L31" s="270"/>
      <c r="M31" s="270"/>
      <c r="N31" s="270"/>
      <c r="O31" s="270"/>
      <c r="P31" s="270"/>
      <c r="Q31" s="271"/>
    </row>
    <row r="32" spans="1:17" s="953" customFormat="1" ht="25" customHeight="1">
      <c r="A32" s="954" t="s">
        <v>399</v>
      </c>
      <c r="B32" s="11" t="s">
        <v>266</v>
      </c>
      <c r="C32" s="960">
        <v>3</v>
      </c>
      <c r="D32" s="920">
        <v>1</v>
      </c>
      <c r="E32" s="961">
        <v>3</v>
      </c>
      <c r="F32" s="271">
        <f t="shared" si="2"/>
        <v>193.05</v>
      </c>
      <c r="G32" s="962">
        <v>70</v>
      </c>
      <c r="H32" s="916">
        <f t="shared" si="0"/>
        <v>630</v>
      </c>
      <c r="I32" s="269">
        <f t="shared" si="1"/>
        <v>193.05</v>
      </c>
      <c r="J32" s="270"/>
      <c r="K32" s="270"/>
      <c r="L32" s="270"/>
      <c r="M32" s="270"/>
      <c r="N32" s="270"/>
      <c r="O32" s="270"/>
      <c r="P32" s="270"/>
      <c r="Q32" s="271"/>
    </row>
    <row r="33" spans="1:17" s="953" customFormat="1" ht="25" customHeight="1">
      <c r="A33" s="954" t="s">
        <v>400</v>
      </c>
      <c r="B33" s="955" t="s">
        <v>647</v>
      </c>
      <c r="C33" s="920">
        <v>3</v>
      </c>
      <c r="D33" s="920">
        <v>1</v>
      </c>
      <c r="E33" s="920">
        <v>3</v>
      </c>
      <c r="F33" s="271">
        <f t="shared" si="2"/>
        <v>193.05</v>
      </c>
      <c r="G33" s="919">
        <v>70</v>
      </c>
      <c r="H33" s="916">
        <f t="shared" si="0"/>
        <v>630</v>
      </c>
      <c r="I33" s="269">
        <f t="shared" si="1"/>
        <v>193.05</v>
      </c>
      <c r="J33" s="270"/>
      <c r="K33" s="270"/>
      <c r="L33" s="270"/>
      <c r="M33" s="270"/>
      <c r="N33" s="270"/>
      <c r="O33" s="270"/>
      <c r="P33" s="270"/>
      <c r="Q33" s="271"/>
    </row>
    <row r="34" spans="1:17" s="953" customFormat="1" ht="25" customHeight="1">
      <c r="A34" s="954" t="s">
        <v>401</v>
      </c>
      <c r="B34" s="11" t="s">
        <v>853</v>
      </c>
      <c r="C34" s="920">
        <v>2</v>
      </c>
      <c r="D34" s="920">
        <v>1.4</v>
      </c>
      <c r="E34" s="920">
        <v>4</v>
      </c>
      <c r="F34" s="271">
        <f t="shared" si="2"/>
        <v>132</v>
      </c>
      <c r="G34" s="919">
        <v>40</v>
      </c>
      <c r="H34" s="916">
        <f t="shared" si="0"/>
        <v>320</v>
      </c>
      <c r="I34" s="269">
        <f t="shared" si="1"/>
        <v>132</v>
      </c>
      <c r="J34" s="270"/>
      <c r="K34" s="270"/>
      <c r="L34" s="270"/>
      <c r="M34" s="270"/>
      <c r="N34" s="270"/>
      <c r="O34" s="270"/>
      <c r="P34" s="270"/>
      <c r="Q34" s="271"/>
    </row>
    <row r="35" spans="1:17" s="953" customFormat="1" ht="25" customHeight="1">
      <c r="A35" s="954" t="s">
        <v>402</v>
      </c>
      <c r="B35" s="955" t="s">
        <v>264</v>
      </c>
      <c r="C35" s="920">
        <v>3</v>
      </c>
      <c r="D35" s="920">
        <v>1</v>
      </c>
      <c r="E35" s="920">
        <v>1</v>
      </c>
      <c r="F35" s="271">
        <f t="shared" si="2"/>
        <v>49.5</v>
      </c>
      <c r="G35" s="919">
        <v>21</v>
      </c>
      <c r="H35" s="916">
        <f t="shared" si="0"/>
        <v>63</v>
      </c>
      <c r="I35" s="269">
        <f t="shared" si="1"/>
        <v>49.5</v>
      </c>
      <c r="J35" s="270"/>
      <c r="K35" s="270"/>
      <c r="L35" s="270"/>
      <c r="M35" s="270"/>
      <c r="N35" s="270"/>
      <c r="O35" s="270"/>
      <c r="P35" s="270"/>
      <c r="Q35" s="271"/>
    </row>
    <row r="36" spans="1:17" s="953" customFormat="1" ht="25" customHeight="1">
      <c r="A36" s="954" t="s">
        <v>403</v>
      </c>
      <c r="B36" s="958" t="s">
        <v>644</v>
      </c>
      <c r="C36" s="920">
        <v>4</v>
      </c>
      <c r="D36" s="920">
        <v>1</v>
      </c>
      <c r="E36" s="920">
        <v>3</v>
      </c>
      <c r="F36" s="271">
        <f t="shared" si="2"/>
        <v>257.40000000000003</v>
      </c>
      <c r="G36" s="919">
        <v>70</v>
      </c>
      <c r="H36" s="916">
        <f t="shared" si="0"/>
        <v>840</v>
      </c>
      <c r="I36" s="269">
        <f t="shared" si="1"/>
        <v>257.40000000000003</v>
      </c>
      <c r="J36" s="270"/>
      <c r="K36" s="270"/>
      <c r="L36" s="270"/>
      <c r="M36" s="270"/>
      <c r="N36" s="270"/>
      <c r="O36" s="270"/>
      <c r="P36" s="270"/>
      <c r="Q36" s="271"/>
    </row>
    <row r="37" spans="1:17" s="953" customFormat="1" ht="25" customHeight="1">
      <c r="A37" s="954" t="s">
        <v>404</v>
      </c>
      <c r="B37" s="958" t="s">
        <v>854</v>
      </c>
      <c r="C37" s="920">
        <v>3</v>
      </c>
      <c r="D37" s="920">
        <v>1</v>
      </c>
      <c r="E37" s="920">
        <v>3</v>
      </c>
      <c r="F37" s="271">
        <f t="shared" si="2"/>
        <v>193.05</v>
      </c>
      <c r="G37" s="919">
        <v>70</v>
      </c>
      <c r="H37" s="916">
        <f t="shared" si="0"/>
        <v>630</v>
      </c>
      <c r="I37" s="269">
        <f t="shared" si="1"/>
        <v>193.05</v>
      </c>
      <c r="J37" s="270"/>
      <c r="K37" s="270"/>
      <c r="L37" s="270"/>
      <c r="M37" s="270"/>
      <c r="N37" s="270"/>
      <c r="O37" s="270"/>
      <c r="P37" s="270"/>
      <c r="Q37" s="271"/>
    </row>
    <row r="38" spans="1:17" s="953" customFormat="1" ht="25" customHeight="1">
      <c r="A38" s="954" t="s">
        <v>405</v>
      </c>
      <c r="B38" s="958" t="s">
        <v>855</v>
      </c>
      <c r="C38" s="920">
        <v>4</v>
      </c>
      <c r="D38" s="920">
        <v>1</v>
      </c>
      <c r="E38" s="920">
        <v>4</v>
      </c>
      <c r="F38" s="271">
        <f t="shared" si="2"/>
        <v>264</v>
      </c>
      <c r="G38" s="919">
        <v>50</v>
      </c>
      <c r="H38" s="916">
        <f t="shared" si="0"/>
        <v>800</v>
      </c>
      <c r="I38" s="269">
        <f t="shared" si="1"/>
        <v>264</v>
      </c>
      <c r="J38" s="270"/>
      <c r="K38" s="270"/>
      <c r="L38" s="270"/>
      <c r="M38" s="270"/>
      <c r="N38" s="270"/>
      <c r="O38" s="270"/>
      <c r="P38" s="270"/>
      <c r="Q38" s="271"/>
    </row>
    <row r="39" spans="1:17" s="953" customFormat="1" ht="25" customHeight="1">
      <c r="A39" s="954" t="s">
        <v>406</v>
      </c>
      <c r="B39" s="958" t="s">
        <v>646</v>
      </c>
      <c r="C39" s="920">
        <v>3</v>
      </c>
      <c r="D39" s="920">
        <v>1</v>
      </c>
      <c r="E39" s="963">
        <v>4</v>
      </c>
      <c r="F39" s="271">
        <f t="shared" si="2"/>
        <v>198</v>
      </c>
      <c r="G39" s="919">
        <v>50</v>
      </c>
      <c r="H39" s="916">
        <f t="shared" si="0"/>
        <v>600</v>
      </c>
      <c r="I39" s="269">
        <f t="shared" si="1"/>
        <v>198</v>
      </c>
      <c r="J39" s="270"/>
      <c r="K39" s="270"/>
      <c r="L39" s="270"/>
      <c r="M39" s="270"/>
      <c r="N39" s="270"/>
      <c r="O39" s="270"/>
      <c r="P39" s="270"/>
      <c r="Q39" s="271"/>
    </row>
    <row r="40" spans="1:17" s="953" customFormat="1" ht="25" customHeight="1">
      <c r="A40" s="954" t="s">
        <v>407</v>
      </c>
      <c r="B40" s="955" t="s">
        <v>912</v>
      </c>
      <c r="C40" s="920">
        <v>4</v>
      </c>
      <c r="D40" s="920">
        <v>1</v>
      </c>
      <c r="E40" s="920">
        <v>2</v>
      </c>
      <c r="F40" s="271">
        <f t="shared" si="2"/>
        <v>171.6</v>
      </c>
      <c r="G40" s="919">
        <v>70</v>
      </c>
      <c r="H40" s="916">
        <f t="shared" si="0"/>
        <v>560</v>
      </c>
      <c r="I40" s="269">
        <f t="shared" si="1"/>
        <v>171.6</v>
      </c>
      <c r="J40" s="270"/>
      <c r="K40" s="270"/>
      <c r="L40" s="270"/>
      <c r="M40" s="270"/>
      <c r="N40" s="270"/>
      <c r="O40" s="270"/>
      <c r="P40" s="270"/>
      <c r="Q40" s="271"/>
    </row>
    <row r="41" spans="1:17" s="953" customFormat="1" ht="25" customHeight="1">
      <c r="A41" s="954" t="s">
        <v>408</v>
      </c>
      <c r="B41" s="955" t="s">
        <v>913</v>
      </c>
      <c r="C41" s="920">
        <v>4</v>
      </c>
      <c r="D41" s="920">
        <v>1</v>
      </c>
      <c r="E41" s="920">
        <v>2</v>
      </c>
      <c r="F41" s="271">
        <f t="shared" si="2"/>
        <v>171.6</v>
      </c>
      <c r="G41" s="919">
        <v>70</v>
      </c>
      <c r="H41" s="916">
        <f t="shared" si="0"/>
        <v>560</v>
      </c>
      <c r="I41" s="269">
        <f t="shared" si="1"/>
        <v>171.6</v>
      </c>
      <c r="J41" s="270"/>
      <c r="K41" s="270"/>
      <c r="L41" s="270"/>
      <c r="M41" s="270"/>
      <c r="N41" s="270"/>
      <c r="O41" s="270"/>
      <c r="P41" s="270"/>
      <c r="Q41" s="271"/>
    </row>
    <row r="42" spans="1:17" s="953" customFormat="1" ht="25" customHeight="1">
      <c r="A42" s="964" t="s">
        <v>148</v>
      </c>
      <c r="B42" s="965" t="s">
        <v>151</v>
      </c>
      <c r="C42" s="919">
        <v>0</v>
      </c>
      <c r="D42" s="919">
        <v>0</v>
      </c>
      <c r="E42" s="919">
        <v>0</v>
      </c>
      <c r="F42" s="916">
        <v>0</v>
      </c>
      <c r="G42" s="919">
        <v>0</v>
      </c>
      <c r="H42" s="916">
        <v>0</v>
      </c>
      <c r="I42" s="916">
        <v>0</v>
      </c>
      <c r="J42" s="270"/>
      <c r="K42" s="270"/>
      <c r="L42" s="270"/>
      <c r="M42" s="270"/>
      <c r="N42" s="270"/>
      <c r="O42" s="270"/>
      <c r="P42" s="270"/>
      <c r="Q42" s="966"/>
    </row>
    <row r="43" spans="1:17" s="953" customFormat="1" ht="25" customHeight="1">
      <c r="A43" s="967" t="s">
        <v>232</v>
      </c>
      <c r="B43" s="968" t="s">
        <v>156</v>
      </c>
      <c r="C43" s="919">
        <v>4</v>
      </c>
      <c r="D43" s="919">
        <v>1.4</v>
      </c>
      <c r="E43" s="919">
        <v>4</v>
      </c>
      <c r="F43" s="271">
        <f t="shared" si="2"/>
        <v>160</v>
      </c>
      <c r="G43" s="919">
        <v>20</v>
      </c>
      <c r="H43" s="916">
        <f t="shared" si="0"/>
        <v>320</v>
      </c>
      <c r="I43" s="269">
        <f>E43*G43*2</f>
        <v>160</v>
      </c>
      <c r="J43" s="270"/>
      <c r="K43" s="270"/>
      <c r="L43" s="270"/>
      <c r="M43" s="270"/>
      <c r="N43" s="270"/>
      <c r="O43" s="270"/>
      <c r="P43" s="270"/>
      <c r="Q43" s="966" t="s">
        <v>699</v>
      </c>
    </row>
    <row r="44" spans="1:17" s="953" customFormat="1" ht="25" customHeight="1">
      <c r="A44" s="967" t="s">
        <v>233</v>
      </c>
      <c r="B44" s="968" t="s">
        <v>157</v>
      </c>
      <c r="C44" s="919">
        <v>0</v>
      </c>
      <c r="D44" s="919"/>
      <c r="E44" s="919">
        <v>0</v>
      </c>
      <c r="F44" s="916">
        <v>0</v>
      </c>
      <c r="G44" s="919">
        <v>0</v>
      </c>
      <c r="H44" s="916">
        <v>0</v>
      </c>
      <c r="I44" s="270">
        <v>0</v>
      </c>
      <c r="J44" s="270"/>
      <c r="K44" s="270"/>
      <c r="L44" s="270"/>
      <c r="M44" s="270"/>
      <c r="N44" s="270"/>
      <c r="O44" s="270"/>
      <c r="P44" s="270"/>
      <c r="Q44" s="271"/>
    </row>
    <row r="45" spans="1:17" s="953" customFormat="1" ht="25" customHeight="1">
      <c r="A45" s="969"/>
      <c r="B45" s="970" t="s">
        <v>353</v>
      </c>
      <c r="C45" s="971">
        <f>SUM(C12:C44)</f>
        <v>101</v>
      </c>
      <c r="D45" s="971">
        <f t="shared" ref="D45:K45" si="3">SUM(D12:D44)</f>
        <v>33.139999999999993</v>
      </c>
      <c r="E45" s="971">
        <f t="shared" si="3"/>
        <v>108</v>
      </c>
      <c r="F45" s="971">
        <f t="shared" si="3"/>
        <v>6667.6</v>
      </c>
      <c r="G45" s="971">
        <f t="shared" si="3"/>
        <v>1761</v>
      </c>
      <c r="H45" s="971">
        <f t="shared" si="3"/>
        <v>17748</v>
      </c>
      <c r="I45" s="971">
        <f t="shared" si="3"/>
        <v>6667.6</v>
      </c>
      <c r="J45" s="971">
        <f t="shared" si="3"/>
        <v>0</v>
      </c>
      <c r="K45" s="971">
        <f t="shared" si="3"/>
        <v>0</v>
      </c>
      <c r="L45" s="972"/>
      <c r="M45" s="972"/>
      <c r="N45" s="972"/>
      <c r="O45" s="972"/>
      <c r="P45" s="972"/>
      <c r="Q45" s="973"/>
    </row>
    <row r="46" spans="1:17" s="953" customFormat="1" ht="25" customHeight="1">
      <c r="A46" s="974">
        <v>2</v>
      </c>
      <c r="B46" s="974" t="s">
        <v>164</v>
      </c>
      <c r="C46" s="779"/>
      <c r="D46" s="779"/>
      <c r="E46" s="779"/>
      <c r="F46" s="271"/>
      <c r="G46" s="779"/>
      <c r="H46" s="916"/>
      <c r="I46" s="269"/>
      <c r="J46" s="270"/>
      <c r="K46" s="270"/>
      <c r="L46" s="270"/>
      <c r="M46" s="270"/>
      <c r="N46" s="270"/>
      <c r="O46" s="270"/>
      <c r="P46" s="270"/>
      <c r="Q46" s="271"/>
    </row>
    <row r="47" spans="1:17" s="953" customFormat="1" ht="25" customHeight="1">
      <c r="A47" s="975" t="s">
        <v>147</v>
      </c>
      <c r="B47" s="976" t="s">
        <v>165</v>
      </c>
      <c r="C47" s="779"/>
      <c r="D47" s="779"/>
      <c r="E47" s="779"/>
      <c r="F47" s="271"/>
      <c r="G47" s="779"/>
      <c r="H47" s="916"/>
      <c r="I47" s="269"/>
      <c r="J47" s="270"/>
      <c r="K47" s="270"/>
      <c r="L47" s="270"/>
      <c r="M47" s="270"/>
      <c r="N47" s="270"/>
      <c r="O47" s="270"/>
      <c r="P47" s="270"/>
      <c r="Q47" s="271"/>
    </row>
    <row r="48" spans="1:17" s="953" customFormat="1" ht="25" customHeight="1">
      <c r="A48" s="954" t="s">
        <v>226</v>
      </c>
      <c r="B48" s="977" t="s">
        <v>269</v>
      </c>
      <c r="C48" s="779">
        <v>3</v>
      </c>
      <c r="D48" s="779">
        <v>1</v>
      </c>
      <c r="E48" s="779">
        <v>3</v>
      </c>
      <c r="F48" s="271">
        <f t="shared" ref="F48:F53" si="4">(I48+J48+K48)</f>
        <v>103.94999999999999</v>
      </c>
      <c r="G48" s="779">
        <v>10</v>
      </c>
      <c r="H48" s="916">
        <f t="shared" ref="H48:H53" si="5">C48*E48*G48</f>
        <v>90</v>
      </c>
      <c r="I48" s="269">
        <f t="shared" ref="I48:I53" si="6">C48*E48*16.5*0.7</f>
        <v>103.94999999999999</v>
      </c>
      <c r="J48" s="270"/>
      <c r="K48" s="270"/>
      <c r="L48" s="270"/>
      <c r="M48" s="270"/>
      <c r="N48" s="270"/>
      <c r="O48" s="270"/>
      <c r="P48" s="270"/>
      <c r="Q48" s="271"/>
    </row>
    <row r="49" spans="1:17" s="953" customFormat="1" ht="25" customHeight="1">
      <c r="A49" s="954" t="s">
        <v>227</v>
      </c>
      <c r="B49" s="977" t="s">
        <v>270</v>
      </c>
      <c r="C49" s="779">
        <v>3</v>
      </c>
      <c r="D49" s="779">
        <v>1</v>
      </c>
      <c r="E49" s="779">
        <v>3</v>
      </c>
      <c r="F49" s="271">
        <f t="shared" si="4"/>
        <v>103.94999999999999</v>
      </c>
      <c r="G49" s="779">
        <v>10</v>
      </c>
      <c r="H49" s="916">
        <f t="shared" si="5"/>
        <v>90</v>
      </c>
      <c r="I49" s="269">
        <f t="shared" si="6"/>
        <v>103.94999999999999</v>
      </c>
      <c r="J49" s="270"/>
      <c r="K49" s="270"/>
      <c r="L49" s="270"/>
      <c r="M49" s="270"/>
      <c r="N49" s="270"/>
      <c r="O49" s="270"/>
      <c r="P49" s="270"/>
      <c r="Q49" s="271"/>
    </row>
    <row r="50" spans="1:17" s="953" customFormat="1" ht="25" customHeight="1">
      <c r="A50" s="954" t="s">
        <v>228</v>
      </c>
      <c r="B50" s="977" t="s">
        <v>271</v>
      </c>
      <c r="C50" s="779">
        <v>3</v>
      </c>
      <c r="D50" s="779">
        <v>1</v>
      </c>
      <c r="E50" s="779">
        <v>3</v>
      </c>
      <c r="F50" s="271">
        <f t="shared" si="4"/>
        <v>103.94999999999999</v>
      </c>
      <c r="G50" s="779">
        <v>10</v>
      </c>
      <c r="H50" s="916">
        <f t="shared" si="5"/>
        <v>90</v>
      </c>
      <c r="I50" s="269">
        <f t="shared" si="6"/>
        <v>103.94999999999999</v>
      </c>
      <c r="J50" s="270"/>
      <c r="K50" s="270"/>
      <c r="L50" s="270"/>
      <c r="M50" s="270"/>
      <c r="N50" s="270"/>
      <c r="O50" s="270"/>
      <c r="P50" s="270"/>
      <c r="Q50" s="271"/>
    </row>
    <row r="51" spans="1:17" s="953" customFormat="1" ht="25" customHeight="1">
      <c r="A51" s="954" t="s">
        <v>229</v>
      </c>
      <c r="B51" s="977" t="s">
        <v>272</v>
      </c>
      <c r="C51" s="779">
        <v>3</v>
      </c>
      <c r="D51" s="779">
        <v>1</v>
      </c>
      <c r="E51" s="779">
        <v>3</v>
      </c>
      <c r="F51" s="271">
        <f t="shared" si="4"/>
        <v>103.94999999999999</v>
      </c>
      <c r="G51" s="779">
        <v>10</v>
      </c>
      <c r="H51" s="916">
        <f t="shared" si="5"/>
        <v>90</v>
      </c>
      <c r="I51" s="269">
        <f t="shared" si="6"/>
        <v>103.94999999999999</v>
      </c>
      <c r="J51" s="270"/>
      <c r="K51" s="270"/>
      <c r="L51" s="270"/>
      <c r="M51" s="270"/>
      <c r="N51" s="270"/>
      <c r="O51" s="270"/>
      <c r="P51" s="270"/>
      <c r="Q51" s="271"/>
    </row>
    <row r="52" spans="1:17" s="953" customFormat="1" ht="25" customHeight="1">
      <c r="A52" s="954" t="s">
        <v>230</v>
      </c>
      <c r="B52" s="978" t="s">
        <v>273</v>
      </c>
      <c r="C52" s="779">
        <v>3</v>
      </c>
      <c r="D52" s="779">
        <v>1</v>
      </c>
      <c r="E52" s="779">
        <v>3</v>
      </c>
      <c r="F52" s="271">
        <f t="shared" si="4"/>
        <v>103.94999999999999</v>
      </c>
      <c r="G52" s="779">
        <v>10</v>
      </c>
      <c r="H52" s="916">
        <f t="shared" si="5"/>
        <v>90</v>
      </c>
      <c r="I52" s="269">
        <f t="shared" si="6"/>
        <v>103.94999999999999</v>
      </c>
      <c r="J52" s="270"/>
      <c r="K52" s="270"/>
      <c r="L52" s="270"/>
      <c r="M52" s="270"/>
      <c r="N52" s="270"/>
      <c r="O52" s="270"/>
      <c r="P52" s="270"/>
      <c r="Q52" s="271"/>
    </row>
    <row r="53" spans="1:17" s="953" customFormat="1" ht="25" customHeight="1">
      <c r="A53" s="954" t="s">
        <v>231</v>
      </c>
      <c r="B53" s="977" t="s">
        <v>531</v>
      </c>
      <c r="C53" s="779">
        <v>3</v>
      </c>
      <c r="D53" s="779">
        <v>1</v>
      </c>
      <c r="E53" s="779">
        <v>4</v>
      </c>
      <c r="F53" s="271">
        <f t="shared" si="4"/>
        <v>138.6</v>
      </c>
      <c r="G53" s="779">
        <v>15</v>
      </c>
      <c r="H53" s="916">
        <f t="shared" si="5"/>
        <v>180</v>
      </c>
      <c r="I53" s="269">
        <f t="shared" si="6"/>
        <v>138.6</v>
      </c>
      <c r="J53" s="270"/>
      <c r="K53" s="270"/>
      <c r="L53" s="270"/>
      <c r="M53" s="270"/>
      <c r="N53" s="270"/>
      <c r="O53" s="270"/>
      <c r="P53" s="270"/>
      <c r="Q53" s="271"/>
    </row>
    <row r="54" spans="1:17" s="953" customFormat="1" ht="25" customHeight="1">
      <c r="A54" s="979" t="s">
        <v>148</v>
      </c>
      <c r="B54" s="980" t="s">
        <v>470</v>
      </c>
      <c r="C54" s="811"/>
      <c r="D54" s="811"/>
      <c r="E54" s="811"/>
      <c r="F54" s="916"/>
      <c r="G54" s="811"/>
      <c r="H54" s="916"/>
      <c r="I54" s="270"/>
      <c r="J54" s="270"/>
      <c r="K54" s="270"/>
      <c r="L54" s="270"/>
      <c r="M54" s="270"/>
      <c r="N54" s="270"/>
      <c r="O54" s="270"/>
      <c r="P54" s="270"/>
      <c r="Q54" s="271"/>
    </row>
    <row r="55" spans="1:17" s="953" customFormat="1" ht="25" customHeight="1">
      <c r="A55" s="979"/>
      <c r="B55" s="981" t="s">
        <v>915</v>
      </c>
      <c r="C55" s="811">
        <v>15</v>
      </c>
      <c r="D55" s="811">
        <v>1</v>
      </c>
      <c r="E55" s="811">
        <v>35</v>
      </c>
      <c r="F55" s="271">
        <f>I55+J55+K55</f>
        <v>8662.5</v>
      </c>
      <c r="G55" s="811">
        <v>1</v>
      </c>
      <c r="H55" s="916">
        <f>C55*E55*G55</f>
        <v>525</v>
      </c>
      <c r="I55" s="269">
        <f>C55*E55*16.5</f>
        <v>8662.5</v>
      </c>
      <c r="J55" s="270"/>
      <c r="K55" s="270"/>
      <c r="L55" s="270"/>
      <c r="M55" s="270"/>
      <c r="N55" s="270"/>
      <c r="O55" s="270"/>
      <c r="P55" s="270"/>
      <c r="Q55" s="271" t="s">
        <v>701</v>
      </c>
    </row>
    <row r="56" spans="1:17" s="953" customFormat="1" ht="25" customHeight="1">
      <c r="A56" s="982"/>
      <c r="B56" s="970" t="s">
        <v>353</v>
      </c>
      <c r="C56" s="971">
        <f t="shared" ref="C56:I56" si="7">SUM(C48:C55)</f>
        <v>33</v>
      </c>
      <c r="D56" s="971">
        <f t="shared" si="7"/>
        <v>7</v>
      </c>
      <c r="E56" s="971">
        <f t="shared" si="7"/>
        <v>54</v>
      </c>
      <c r="F56" s="983">
        <f t="shared" si="7"/>
        <v>9320.85</v>
      </c>
      <c r="G56" s="983">
        <f t="shared" si="7"/>
        <v>66</v>
      </c>
      <c r="H56" s="983">
        <f t="shared" si="7"/>
        <v>1155</v>
      </c>
      <c r="I56" s="983">
        <f t="shared" si="7"/>
        <v>9320.85</v>
      </c>
      <c r="J56" s="972"/>
      <c r="K56" s="972"/>
      <c r="L56" s="972"/>
      <c r="M56" s="972"/>
      <c r="N56" s="972"/>
      <c r="O56" s="972"/>
      <c r="P56" s="972"/>
      <c r="Q56" s="973"/>
    </row>
    <row r="57" spans="1:17" s="953" customFormat="1" ht="25" customHeight="1">
      <c r="A57" s="974">
        <v>3</v>
      </c>
      <c r="B57" s="974" t="s">
        <v>166</v>
      </c>
      <c r="C57" s="779"/>
      <c r="D57" s="779"/>
      <c r="E57" s="779"/>
      <c r="F57" s="271"/>
      <c r="G57" s="779"/>
      <c r="H57" s="916"/>
      <c r="I57" s="269"/>
      <c r="J57" s="270"/>
      <c r="K57" s="270"/>
      <c r="L57" s="270"/>
      <c r="M57" s="270"/>
      <c r="N57" s="270"/>
      <c r="O57" s="270"/>
      <c r="P57" s="270"/>
      <c r="Q57" s="271"/>
    </row>
    <row r="58" spans="1:17" s="953" customFormat="1" ht="25" customHeight="1">
      <c r="A58" s="974" t="s">
        <v>8</v>
      </c>
      <c r="B58" s="974" t="s">
        <v>224</v>
      </c>
      <c r="C58" s="779"/>
      <c r="D58" s="779"/>
      <c r="E58" s="779"/>
      <c r="F58" s="271"/>
      <c r="G58" s="779"/>
      <c r="H58" s="916"/>
      <c r="I58" s="269"/>
      <c r="J58" s="270"/>
      <c r="K58" s="270"/>
      <c r="L58" s="270"/>
      <c r="M58" s="270"/>
      <c r="N58" s="270"/>
      <c r="O58" s="270"/>
      <c r="P58" s="270"/>
      <c r="Q58" s="271"/>
    </row>
    <row r="59" spans="1:17" s="953" customFormat="1" ht="25" customHeight="1">
      <c r="A59" s="974">
        <v>1</v>
      </c>
      <c r="B59" s="976" t="s">
        <v>225</v>
      </c>
      <c r="C59" s="779"/>
      <c r="D59" s="779"/>
      <c r="E59" s="779"/>
      <c r="F59" s="271"/>
      <c r="G59" s="779"/>
      <c r="H59" s="916"/>
      <c r="I59" s="269"/>
      <c r="J59" s="270"/>
      <c r="K59" s="270"/>
      <c r="L59" s="270"/>
      <c r="M59" s="270"/>
      <c r="N59" s="270"/>
      <c r="O59" s="270"/>
      <c r="P59" s="270"/>
      <c r="Q59" s="271"/>
    </row>
    <row r="60" spans="1:17" s="953" customFormat="1" ht="25" customHeight="1">
      <c r="A60" s="974" t="s">
        <v>147</v>
      </c>
      <c r="B60" s="976" t="s">
        <v>163</v>
      </c>
      <c r="C60" s="779"/>
      <c r="D60" s="779"/>
      <c r="E60" s="779"/>
      <c r="F60" s="271"/>
      <c r="G60" s="779"/>
      <c r="H60" s="916"/>
      <c r="I60" s="269"/>
      <c r="J60" s="270"/>
      <c r="K60" s="270"/>
      <c r="L60" s="270"/>
      <c r="M60" s="270"/>
      <c r="N60" s="270"/>
      <c r="O60" s="270"/>
      <c r="P60" s="270"/>
      <c r="Q60" s="271"/>
    </row>
    <row r="61" spans="1:17" s="953" customFormat="1" ht="25" customHeight="1">
      <c r="A61" s="967" t="s">
        <v>226</v>
      </c>
      <c r="B61" s="928" t="s">
        <v>266</v>
      </c>
      <c r="C61" s="919">
        <v>3</v>
      </c>
      <c r="D61" s="919">
        <v>1</v>
      </c>
      <c r="E61" s="919">
        <v>5</v>
      </c>
      <c r="F61" s="271">
        <f t="shared" ref="F61:F75" si="8">I61+J61+K61</f>
        <v>247.5</v>
      </c>
      <c r="G61" s="779">
        <v>40</v>
      </c>
      <c r="H61" s="916">
        <f t="shared" ref="H61:H75" si="9">C61*E61*G61</f>
        <v>600</v>
      </c>
      <c r="I61" s="269">
        <f>IF(G61&lt;70, C61*E61*16.5*1, C61*E61*16.5*1.3)</f>
        <v>247.5</v>
      </c>
      <c r="J61" s="270"/>
      <c r="K61" s="270"/>
      <c r="L61" s="270"/>
      <c r="M61" s="270"/>
      <c r="N61" s="270"/>
      <c r="O61" s="270"/>
      <c r="P61" s="270"/>
      <c r="Q61" s="271"/>
    </row>
    <row r="62" spans="1:17" s="953" customFormat="1" ht="25" customHeight="1">
      <c r="A62" s="967" t="s">
        <v>227</v>
      </c>
      <c r="B62" s="928" t="s">
        <v>274</v>
      </c>
      <c r="C62" s="919">
        <v>5</v>
      </c>
      <c r="D62" s="919">
        <v>1</v>
      </c>
      <c r="E62" s="919">
        <v>5</v>
      </c>
      <c r="F62" s="271">
        <f t="shared" si="8"/>
        <v>412.5</v>
      </c>
      <c r="G62" s="779">
        <v>40</v>
      </c>
      <c r="H62" s="916">
        <f t="shared" si="9"/>
        <v>1000</v>
      </c>
      <c r="I62" s="269">
        <f t="shared" ref="I62:I75" si="10">IF(G62&lt;70, C62*E62*16.5*1, C62*E62*16.5*1.3)</f>
        <v>412.5</v>
      </c>
      <c r="J62" s="270"/>
      <c r="K62" s="270"/>
      <c r="L62" s="270"/>
      <c r="M62" s="270"/>
      <c r="N62" s="270"/>
      <c r="O62" s="270"/>
      <c r="P62" s="270"/>
      <c r="Q62" s="271"/>
    </row>
    <row r="63" spans="1:17" s="953" customFormat="1" ht="25" customHeight="1">
      <c r="A63" s="967" t="s">
        <v>228</v>
      </c>
      <c r="B63" s="928" t="s">
        <v>856</v>
      </c>
      <c r="C63" s="919">
        <v>3</v>
      </c>
      <c r="D63" s="919">
        <v>1</v>
      </c>
      <c r="E63" s="919">
        <v>5</v>
      </c>
      <c r="F63" s="271">
        <f t="shared" si="8"/>
        <v>247.5</v>
      </c>
      <c r="G63" s="779">
        <v>40</v>
      </c>
      <c r="H63" s="916">
        <f t="shared" si="9"/>
        <v>600</v>
      </c>
      <c r="I63" s="269">
        <f t="shared" si="10"/>
        <v>247.5</v>
      </c>
      <c r="J63" s="270"/>
      <c r="K63" s="270"/>
      <c r="L63" s="270"/>
      <c r="M63" s="270"/>
      <c r="N63" s="270"/>
      <c r="O63" s="270"/>
      <c r="P63" s="270"/>
      <c r="Q63" s="271"/>
    </row>
    <row r="64" spans="1:17" s="953" customFormat="1" ht="25" customHeight="1">
      <c r="A64" s="967" t="s">
        <v>229</v>
      </c>
      <c r="B64" s="928" t="s">
        <v>841</v>
      </c>
      <c r="C64" s="919">
        <v>3</v>
      </c>
      <c r="D64" s="919">
        <v>1</v>
      </c>
      <c r="E64" s="919">
        <v>5</v>
      </c>
      <c r="F64" s="271">
        <f t="shared" si="8"/>
        <v>247.5</v>
      </c>
      <c r="G64" s="779">
        <v>40</v>
      </c>
      <c r="H64" s="916">
        <f t="shared" si="9"/>
        <v>600</v>
      </c>
      <c r="I64" s="269">
        <f t="shared" si="10"/>
        <v>247.5</v>
      </c>
      <c r="J64" s="270"/>
      <c r="K64" s="270"/>
      <c r="L64" s="270"/>
      <c r="M64" s="270"/>
      <c r="N64" s="270"/>
      <c r="O64" s="270"/>
      <c r="P64" s="270"/>
      <c r="Q64" s="271"/>
    </row>
    <row r="65" spans="1:17" s="953" customFormat="1" ht="25" customHeight="1">
      <c r="A65" s="967" t="s">
        <v>230</v>
      </c>
      <c r="B65" s="928" t="s">
        <v>277</v>
      </c>
      <c r="C65" s="919">
        <v>2</v>
      </c>
      <c r="D65" s="919">
        <v>1</v>
      </c>
      <c r="E65" s="919">
        <v>5</v>
      </c>
      <c r="F65" s="271">
        <f>I65+J65+K65</f>
        <v>165</v>
      </c>
      <c r="G65" s="779">
        <v>40</v>
      </c>
      <c r="H65" s="916">
        <f>C65*E65*G65</f>
        <v>400</v>
      </c>
      <c r="I65" s="269">
        <f t="shared" si="10"/>
        <v>165</v>
      </c>
      <c r="J65" s="270"/>
      <c r="K65" s="270"/>
      <c r="L65" s="270"/>
      <c r="M65" s="270"/>
      <c r="N65" s="270"/>
      <c r="O65" s="270"/>
      <c r="P65" s="270"/>
      <c r="Q65" s="271"/>
    </row>
    <row r="66" spans="1:17" s="953" customFormat="1" ht="25" customHeight="1">
      <c r="A66" s="967" t="s">
        <v>231</v>
      </c>
      <c r="B66" s="928" t="s">
        <v>278</v>
      </c>
      <c r="C66" s="919">
        <v>3</v>
      </c>
      <c r="D66" s="919">
        <v>1</v>
      </c>
      <c r="E66" s="919">
        <v>5</v>
      </c>
      <c r="F66" s="271">
        <f t="shared" si="8"/>
        <v>247.5</v>
      </c>
      <c r="G66" s="779">
        <v>40</v>
      </c>
      <c r="H66" s="916">
        <f t="shared" si="9"/>
        <v>600</v>
      </c>
      <c r="I66" s="269">
        <f t="shared" si="10"/>
        <v>247.5</v>
      </c>
      <c r="J66" s="270"/>
      <c r="K66" s="270"/>
      <c r="L66" s="270"/>
      <c r="M66" s="270"/>
      <c r="N66" s="270"/>
      <c r="O66" s="270"/>
      <c r="P66" s="270"/>
      <c r="Q66" s="271"/>
    </row>
    <row r="67" spans="1:17" s="953" customFormat="1" ht="25" customHeight="1">
      <c r="A67" s="967" t="s">
        <v>282</v>
      </c>
      <c r="B67" s="928" t="s">
        <v>916</v>
      </c>
      <c r="C67" s="919">
        <v>2</v>
      </c>
      <c r="D67" s="919">
        <v>1</v>
      </c>
      <c r="E67" s="919">
        <v>5</v>
      </c>
      <c r="F67" s="271">
        <f t="shared" si="8"/>
        <v>165</v>
      </c>
      <c r="G67" s="779">
        <v>40</v>
      </c>
      <c r="H67" s="916">
        <f t="shared" si="9"/>
        <v>400</v>
      </c>
      <c r="I67" s="269">
        <f t="shared" si="10"/>
        <v>165</v>
      </c>
      <c r="J67" s="270"/>
      <c r="K67" s="270"/>
      <c r="L67" s="270"/>
      <c r="M67" s="270"/>
      <c r="N67" s="270"/>
      <c r="O67" s="270"/>
      <c r="P67" s="270"/>
      <c r="Q67" s="271"/>
    </row>
    <row r="68" spans="1:17" s="953" customFormat="1" ht="25" customHeight="1">
      <c r="A68" s="967" t="s">
        <v>283</v>
      </c>
      <c r="B68" s="929" t="s">
        <v>256</v>
      </c>
      <c r="C68" s="919">
        <v>3</v>
      </c>
      <c r="D68" s="919">
        <v>1</v>
      </c>
      <c r="E68" s="919">
        <v>5</v>
      </c>
      <c r="F68" s="271">
        <f t="shared" si="8"/>
        <v>247.5</v>
      </c>
      <c r="G68" s="779">
        <v>40</v>
      </c>
      <c r="H68" s="916">
        <f t="shared" si="9"/>
        <v>600</v>
      </c>
      <c r="I68" s="269">
        <f t="shared" si="10"/>
        <v>247.5</v>
      </c>
      <c r="J68" s="270"/>
      <c r="K68" s="270"/>
      <c r="L68" s="270"/>
      <c r="M68" s="270"/>
      <c r="N68" s="270"/>
      <c r="O68" s="270"/>
      <c r="P68" s="270"/>
      <c r="Q68" s="271"/>
    </row>
    <row r="69" spans="1:17" s="953" customFormat="1" ht="25" customHeight="1">
      <c r="A69" s="967" t="s">
        <v>284</v>
      </c>
      <c r="B69" s="929" t="s">
        <v>262</v>
      </c>
      <c r="C69" s="919">
        <v>5</v>
      </c>
      <c r="D69" s="919">
        <v>1</v>
      </c>
      <c r="E69" s="919">
        <v>5</v>
      </c>
      <c r="F69" s="271">
        <f t="shared" si="8"/>
        <v>412.5</v>
      </c>
      <c r="G69" s="779">
        <v>40</v>
      </c>
      <c r="H69" s="916">
        <f t="shared" si="9"/>
        <v>1000</v>
      </c>
      <c r="I69" s="269">
        <f t="shared" si="10"/>
        <v>412.5</v>
      </c>
      <c r="J69" s="270"/>
      <c r="K69" s="270"/>
      <c r="L69" s="270"/>
      <c r="M69" s="270"/>
      <c r="N69" s="270"/>
      <c r="O69" s="270"/>
      <c r="P69" s="270"/>
      <c r="Q69" s="271"/>
    </row>
    <row r="70" spans="1:17" s="953" customFormat="1" ht="25" customHeight="1">
      <c r="A70" s="967" t="s">
        <v>285</v>
      </c>
      <c r="B70" s="929" t="s">
        <v>280</v>
      </c>
      <c r="C70" s="919">
        <v>2</v>
      </c>
      <c r="D70" s="919">
        <v>1</v>
      </c>
      <c r="E70" s="919">
        <v>5</v>
      </c>
      <c r="F70" s="271">
        <f t="shared" si="8"/>
        <v>165</v>
      </c>
      <c r="G70" s="779">
        <v>40</v>
      </c>
      <c r="H70" s="916">
        <f t="shared" si="9"/>
        <v>400</v>
      </c>
      <c r="I70" s="269">
        <f t="shared" si="10"/>
        <v>165</v>
      </c>
      <c r="J70" s="270"/>
      <c r="K70" s="270"/>
      <c r="L70" s="270"/>
      <c r="M70" s="270"/>
      <c r="N70" s="270"/>
      <c r="O70" s="270"/>
      <c r="P70" s="270"/>
      <c r="Q70" s="271"/>
    </row>
    <row r="71" spans="1:17" s="953" customFormat="1" ht="25" customHeight="1">
      <c r="A71" s="967" t="s">
        <v>286</v>
      </c>
      <c r="B71" s="928" t="s">
        <v>917</v>
      </c>
      <c r="C71" s="919">
        <v>3</v>
      </c>
      <c r="D71" s="919">
        <v>1</v>
      </c>
      <c r="E71" s="919">
        <v>5</v>
      </c>
      <c r="F71" s="271">
        <f t="shared" si="8"/>
        <v>247.5</v>
      </c>
      <c r="G71" s="779">
        <v>40</v>
      </c>
      <c r="H71" s="916">
        <f t="shared" si="9"/>
        <v>600</v>
      </c>
      <c r="I71" s="269">
        <f t="shared" si="10"/>
        <v>247.5</v>
      </c>
      <c r="J71" s="270"/>
      <c r="K71" s="270"/>
      <c r="L71" s="270"/>
      <c r="M71" s="270"/>
      <c r="N71" s="270"/>
      <c r="O71" s="270"/>
      <c r="P71" s="270"/>
      <c r="Q71" s="271"/>
    </row>
    <row r="72" spans="1:17" s="985" customFormat="1" ht="25" customHeight="1">
      <c r="A72" s="984" t="s">
        <v>289</v>
      </c>
      <c r="B72" s="929" t="s">
        <v>918</v>
      </c>
      <c r="C72" s="919">
        <v>3</v>
      </c>
      <c r="D72" s="919">
        <v>1</v>
      </c>
      <c r="E72" s="919">
        <v>5</v>
      </c>
      <c r="F72" s="271">
        <f t="shared" si="8"/>
        <v>247.5</v>
      </c>
      <c r="G72" s="779">
        <v>40</v>
      </c>
      <c r="H72" s="916">
        <f t="shared" si="9"/>
        <v>600</v>
      </c>
      <c r="I72" s="269">
        <f t="shared" si="10"/>
        <v>247.5</v>
      </c>
      <c r="Q72" s="986"/>
    </row>
    <row r="73" spans="1:17" s="985" customFormat="1" ht="25" customHeight="1">
      <c r="A73" s="984" t="s">
        <v>290</v>
      </c>
      <c r="B73" s="929" t="s">
        <v>644</v>
      </c>
      <c r="C73" s="919">
        <v>5</v>
      </c>
      <c r="D73" s="919">
        <v>1</v>
      </c>
      <c r="E73" s="919">
        <v>5</v>
      </c>
      <c r="F73" s="271">
        <f t="shared" si="8"/>
        <v>412.5</v>
      </c>
      <c r="G73" s="779">
        <v>40</v>
      </c>
      <c r="H73" s="916">
        <f t="shared" si="9"/>
        <v>1000</v>
      </c>
      <c r="I73" s="269">
        <f t="shared" si="10"/>
        <v>412.5</v>
      </c>
      <c r="J73" s="987"/>
      <c r="K73" s="987"/>
      <c r="L73" s="988"/>
      <c r="M73" s="989"/>
      <c r="N73" s="989"/>
      <c r="O73" s="990"/>
      <c r="P73" s="990"/>
      <c r="Q73" s="991"/>
    </row>
    <row r="74" spans="1:17" s="985" customFormat="1" ht="25" customHeight="1">
      <c r="A74" s="984" t="s">
        <v>291</v>
      </c>
      <c r="B74" s="929" t="s">
        <v>288</v>
      </c>
      <c r="C74" s="919">
        <v>5</v>
      </c>
      <c r="D74" s="919">
        <v>1</v>
      </c>
      <c r="E74" s="919">
        <v>5</v>
      </c>
      <c r="F74" s="271">
        <f t="shared" si="8"/>
        <v>412.5</v>
      </c>
      <c r="G74" s="779">
        <v>40</v>
      </c>
      <c r="H74" s="916">
        <f t="shared" si="9"/>
        <v>1000</v>
      </c>
      <c r="I74" s="269">
        <f t="shared" si="10"/>
        <v>412.5</v>
      </c>
      <c r="J74" s="987"/>
      <c r="K74" s="987"/>
      <c r="L74" s="988"/>
      <c r="M74" s="989"/>
      <c r="N74" s="989"/>
      <c r="O74" s="990"/>
      <c r="P74" s="990"/>
      <c r="Q74" s="991"/>
    </row>
    <row r="75" spans="1:17" s="985" customFormat="1" ht="25" customHeight="1">
      <c r="A75" s="984" t="s">
        <v>292</v>
      </c>
      <c r="B75" s="929" t="s">
        <v>263</v>
      </c>
      <c r="C75" s="919">
        <v>3</v>
      </c>
      <c r="D75" s="919">
        <v>1</v>
      </c>
      <c r="E75" s="919">
        <v>3</v>
      </c>
      <c r="F75" s="271">
        <f t="shared" si="8"/>
        <v>148.5</v>
      </c>
      <c r="G75" s="779">
        <v>40</v>
      </c>
      <c r="H75" s="916">
        <f t="shared" si="9"/>
        <v>360</v>
      </c>
      <c r="I75" s="269">
        <f t="shared" si="10"/>
        <v>148.5</v>
      </c>
      <c r="J75" s="987"/>
      <c r="K75" s="987"/>
      <c r="L75" s="988"/>
      <c r="M75" s="989"/>
      <c r="N75" s="989"/>
      <c r="O75" s="990"/>
      <c r="P75" s="990"/>
      <c r="Q75" s="991"/>
    </row>
    <row r="76" spans="1:17" s="985" customFormat="1" ht="25" customHeight="1">
      <c r="A76" s="992"/>
      <c r="B76" s="970" t="s">
        <v>353</v>
      </c>
      <c r="C76" s="971">
        <f t="shared" ref="C76:I76" si="11">SUM(C61:C75)</f>
        <v>50</v>
      </c>
      <c r="D76" s="971">
        <f t="shared" si="11"/>
        <v>15</v>
      </c>
      <c r="E76" s="971">
        <f t="shared" si="11"/>
        <v>73</v>
      </c>
      <c r="F76" s="971">
        <f t="shared" si="11"/>
        <v>4026</v>
      </c>
      <c r="G76" s="971">
        <f t="shared" si="11"/>
        <v>600</v>
      </c>
      <c r="H76" s="971">
        <f t="shared" si="11"/>
        <v>9760</v>
      </c>
      <c r="I76" s="971">
        <f t="shared" si="11"/>
        <v>4026</v>
      </c>
      <c r="J76" s="987"/>
      <c r="K76" s="987"/>
      <c r="L76" s="988"/>
      <c r="M76" s="989"/>
      <c r="N76" s="989"/>
      <c r="O76" s="990"/>
      <c r="P76" s="990"/>
      <c r="Q76" s="991"/>
    </row>
    <row r="77" spans="1:17" s="985" customFormat="1" ht="25" customHeight="1">
      <c r="A77" s="993">
        <v>2</v>
      </c>
      <c r="B77" s="993" t="s">
        <v>85</v>
      </c>
      <c r="C77" s="463">
        <v>0</v>
      </c>
      <c r="D77" s="463">
        <v>0</v>
      </c>
      <c r="E77" s="463">
        <v>0</v>
      </c>
      <c r="F77" s="463"/>
      <c r="G77" s="779">
        <v>0</v>
      </c>
      <c r="H77" s="464"/>
      <c r="I77" s="464"/>
      <c r="J77" s="987"/>
      <c r="K77" s="987"/>
      <c r="L77" s="988"/>
      <c r="M77" s="989"/>
      <c r="N77" s="989"/>
      <c r="O77" s="990"/>
      <c r="P77" s="990"/>
      <c r="Q77" s="991"/>
    </row>
    <row r="78" spans="1:17" s="953" customFormat="1" ht="25" customHeight="1">
      <c r="A78" s="994"/>
      <c r="B78" s="994" t="s">
        <v>374</v>
      </c>
      <c r="C78" s="400">
        <f t="shared" ref="C78:I78" si="12">C45+C56+C76</f>
        <v>184</v>
      </c>
      <c r="D78" s="400">
        <f t="shared" si="12"/>
        <v>55.139999999999993</v>
      </c>
      <c r="E78" s="400">
        <f t="shared" si="12"/>
        <v>235</v>
      </c>
      <c r="F78" s="400">
        <f t="shared" si="12"/>
        <v>20014.45</v>
      </c>
      <c r="G78" s="400">
        <f t="shared" si="12"/>
        <v>2427</v>
      </c>
      <c r="H78" s="400">
        <f t="shared" si="12"/>
        <v>28663</v>
      </c>
      <c r="I78" s="400">
        <f t="shared" si="12"/>
        <v>20014.45</v>
      </c>
      <c r="J78" s="280">
        <v>0</v>
      </c>
      <c r="K78" s="280">
        <v>0</v>
      </c>
      <c r="L78" s="995">
        <f>'Bieu3 GDTH'!F24</f>
        <v>2632</v>
      </c>
      <c r="M78" s="996">
        <f>'Bieu3 GDTH'!N24</f>
        <v>2402.5</v>
      </c>
      <c r="N78" s="996">
        <f>F78-M78</f>
        <v>17611.95</v>
      </c>
      <c r="O78" s="279">
        <f>'Bieu3 GDTH'!O24</f>
        <v>1422.25</v>
      </c>
      <c r="P78" s="279">
        <f>'Bieu3 GDTH'!P24</f>
        <v>780</v>
      </c>
      <c r="Q78" s="405" t="s">
        <v>702</v>
      </c>
    </row>
    <row r="79" spans="1:17" s="953" customFormat="1" ht="25" customHeight="1">
      <c r="A79" s="260" t="s">
        <v>19</v>
      </c>
      <c r="B79" s="997" t="s">
        <v>375</v>
      </c>
      <c r="C79" s="916"/>
      <c r="D79" s="916"/>
      <c r="E79" s="916"/>
      <c r="F79" s="916"/>
      <c r="G79" s="916"/>
      <c r="H79" s="916"/>
      <c r="I79" s="270"/>
      <c r="J79" s="270"/>
      <c r="K79" s="270"/>
      <c r="L79" s="270"/>
      <c r="M79" s="270"/>
      <c r="N79" s="270"/>
      <c r="O79" s="270"/>
      <c r="P79" s="270"/>
      <c r="Q79" s="271"/>
    </row>
    <row r="80" spans="1:17" s="953" customFormat="1" ht="25" customHeight="1">
      <c r="A80" s="998" t="s">
        <v>377</v>
      </c>
      <c r="B80" s="998" t="s">
        <v>378</v>
      </c>
      <c r="C80" s="916"/>
      <c r="D80" s="916"/>
      <c r="E80" s="916"/>
      <c r="F80" s="916"/>
      <c r="G80" s="916"/>
      <c r="H80" s="916"/>
      <c r="I80" s="270"/>
      <c r="J80" s="270"/>
      <c r="K80" s="270"/>
      <c r="L80" s="270"/>
      <c r="M80" s="270"/>
      <c r="N80" s="270"/>
      <c r="O80" s="270"/>
      <c r="P80" s="270"/>
      <c r="Q80" s="271"/>
    </row>
    <row r="81" spans="1:17" s="953" customFormat="1" ht="25" customHeight="1">
      <c r="A81" s="998">
        <v>1</v>
      </c>
      <c r="B81" s="998" t="s">
        <v>379</v>
      </c>
      <c r="C81" s="916"/>
      <c r="D81" s="916"/>
      <c r="E81" s="916"/>
      <c r="F81" s="916"/>
      <c r="G81" s="916"/>
      <c r="H81" s="916"/>
      <c r="I81" s="270"/>
      <c r="J81" s="270"/>
      <c r="K81" s="270"/>
      <c r="L81" s="270"/>
      <c r="M81" s="270"/>
      <c r="N81" s="270"/>
      <c r="O81" s="270"/>
      <c r="P81" s="270"/>
      <c r="Q81" s="271"/>
    </row>
    <row r="82" spans="1:17" s="953" customFormat="1" ht="25" customHeight="1">
      <c r="A82" s="999" t="s">
        <v>147</v>
      </c>
      <c r="B82" s="1000" t="s">
        <v>161</v>
      </c>
      <c r="C82" s="916"/>
      <c r="D82" s="916"/>
      <c r="E82" s="916"/>
      <c r="F82" s="916"/>
      <c r="G82" s="916"/>
      <c r="H82" s="916"/>
      <c r="I82" s="270"/>
      <c r="J82" s="270"/>
      <c r="K82" s="270"/>
      <c r="L82" s="270"/>
      <c r="M82" s="270"/>
      <c r="N82" s="270"/>
      <c r="O82" s="270"/>
      <c r="P82" s="270"/>
      <c r="Q82" s="271"/>
    </row>
    <row r="83" spans="1:17" s="953" customFormat="1" ht="25" customHeight="1">
      <c r="A83" s="954" t="s">
        <v>226</v>
      </c>
      <c r="B83" s="929" t="s">
        <v>824</v>
      </c>
      <c r="C83" s="927">
        <v>3</v>
      </c>
      <c r="D83" s="927">
        <v>1</v>
      </c>
      <c r="E83" s="927">
        <v>3</v>
      </c>
      <c r="F83" s="271">
        <f t="shared" ref="F83:F100" si="13">I83+J83+K83</f>
        <v>148.5</v>
      </c>
      <c r="G83" s="927">
        <v>60</v>
      </c>
      <c r="H83" s="916">
        <f t="shared" ref="H83:H114" si="14">C83*E83*G83</f>
        <v>540</v>
      </c>
      <c r="I83" s="269">
        <f>IF(G83&lt;70, C83*E83*16.5*1, C83*E83*16.5*1.3)</f>
        <v>148.5</v>
      </c>
      <c r="J83" s="1001"/>
      <c r="K83" s="1001"/>
      <c r="L83" s="270"/>
      <c r="M83" s="270"/>
      <c r="N83" s="270"/>
      <c r="O83" s="270"/>
      <c r="P83" s="270"/>
      <c r="Q83" s="271"/>
    </row>
    <row r="84" spans="1:17" s="953" customFormat="1" ht="25" customHeight="1">
      <c r="A84" s="954" t="s">
        <v>227</v>
      </c>
      <c r="B84" s="929" t="s">
        <v>945</v>
      </c>
      <c r="C84" s="927">
        <v>5</v>
      </c>
      <c r="D84" s="927">
        <v>1.3</v>
      </c>
      <c r="E84" s="927">
        <v>4</v>
      </c>
      <c r="F84" s="271">
        <f t="shared" si="13"/>
        <v>429</v>
      </c>
      <c r="G84" s="927">
        <v>70</v>
      </c>
      <c r="H84" s="916">
        <f t="shared" si="14"/>
        <v>1400</v>
      </c>
      <c r="I84" s="269">
        <f>IF(G84&lt;70, C84*E84*16.5*1, C84*E84*16.5*1.3)</f>
        <v>429</v>
      </c>
      <c r="J84" s="1001"/>
      <c r="K84" s="1001"/>
      <c r="L84" s="270"/>
      <c r="M84" s="270"/>
      <c r="N84" s="270"/>
      <c r="O84" s="270"/>
      <c r="P84" s="270"/>
      <c r="Q84" s="271"/>
    </row>
    <row r="85" spans="1:17" s="953" customFormat="1" ht="25" customHeight="1">
      <c r="A85" s="954" t="s">
        <v>228</v>
      </c>
      <c r="B85" s="929" t="s">
        <v>825</v>
      </c>
      <c r="C85" s="927">
        <v>4</v>
      </c>
      <c r="D85" s="927">
        <v>1</v>
      </c>
      <c r="E85" s="927">
        <v>3</v>
      </c>
      <c r="F85" s="271">
        <f t="shared" si="13"/>
        <v>198</v>
      </c>
      <c r="G85" s="927">
        <v>60</v>
      </c>
      <c r="H85" s="916">
        <f t="shared" si="14"/>
        <v>720</v>
      </c>
      <c r="I85" s="269">
        <f>IF(G85&lt;70, C85*E85*16.5*1, C85*E85*16.5*1.3)</f>
        <v>198</v>
      </c>
      <c r="J85" s="1001"/>
      <c r="K85" s="1001"/>
      <c r="L85" s="270"/>
      <c r="M85" s="270"/>
      <c r="N85" s="270"/>
      <c r="O85" s="270"/>
      <c r="P85" s="270"/>
      <c r="Q85" s="271"/>
    </row>
    <row r="86" spans="1:17" s="953" customFormat="1" ht="25" customHeight="1">
      <c r="A86" s="954" t="s">
        <v>228</v>
      </c>
      <c r="B86" s="929" t="s">
        <v>649</v>
      </c>
      <c r="C86" s="927">
        <v>3</v>
      </c>
      <c r="D86" s="927">
        <v>1</v>
      </c>
      <c r="E86" s="927">
        <v>2</v>
      </c>
      <c r="F86" s="271">
        <f t="shared" si="13"/>
        <v>198</v>
      </c>
      <c r="G86" s="927">
        <v>60</v>
      </c>
      <c r="H86" s="916">
        <f t="shared" ref="H86:H91" si="15">C85*E85*G85</f>
        <v>720</v>
      </c>
      <c r="I86" s="269">
        <f t="shared" ref="I86:I91" si="16">IF(G85&lt;70, C85*E85*16.5*1, C85*E85*16.5*1.3)</f>
        <v>198</v>
      </c>
      <c r="J86" s="1001"/>
      <c r="K86" s="1001"/>
      <c r="L86" s="270"/>
      <c r="M86" s="270"/>
      <c r="N86" s="270"/>
      <c r="O86" s="270"/>
      <c r="P86" s="270"/>
      <c r="Q86" s="271"/>
    </row>
    <row r="87" spans="1:17" s="953" customFormat="1" ht="25" customHeight="1">
      <c r="A87" s="954" t="s">
        <v>229</v>
      </c>
      <c r="B87" s="929" t="s">
        <v>826</v>
      </c>
      <c r="C87" s="919">
        <v>3</v>
      </c>
      <c r="D87" s="919">
        <v>1</v>
      </c>
      <c r="E87" s="919">
        <v>3</v>
      </c>
      <c r="F87" s="271">
        <f t="shared" si="13"/>
        <v>99</v>
      </c>
      <c r="G87" s="919">
        <v>70</v>
      </c>
      <c r="H87" s="916">
        <f t="shared" si="15"/>
        <v>360</v>
      </c>
      <c r="I87" s="269">
        <f t="shared" si="16"/>
        <v>99</v>
      </c>
      <c r="J87" s="1001"/>
      <c r="K87" s="1001"/>
      <c r="L87" s="270"/>
      <c r="M87" s="270"/>
      <c r="N87" s="270"/>
      <c r="O87" s="270"/>
      <c r="P87" s="270"/>
      <c r="Q87" s="271"/>
    </row>
    <row r="88" spans="1:17" s="953" customFormat="1" ht="25" customHeight="1">
      <c r="A88" s="954" t="s">
        <v>230</v>
      </c>
      <c r="B88" s="929" t="s">
        <v>946</v>
      </c>
      <c r="C88" s="919">
        <v>5</v>
      </c>
      <c r="D88" s="919">
        <v>1</v>
      </c>
      <c r="E88" s="919">
        <v>3</v>
      </c>
      <c r="F88" s="271">
        <f t="shared" si="13"/>
        <v>193.05</v>
      </c>
      <c r="G88" s="919">
        <v>70</v>
      </c>
      <c r="H88" s="916">
        <f t="shared" si="15"/>
        <v>630</v>
      </c>
      <c r="I88" s="269">
        <f t="shared" si="16"/>
        <v>193.05</v>
      </c>
      <c r="J88" s="1001"/>
      <c r="K88" s="1001"/>
      <c r="L88" s="270"/>
      <c r="M88" s="270"/>
      <c r="N88" s="270"/>
      <c r="O88" s="270"/>
      <c r="P88" s="270"/>
      <c r="Q88" s="271"/>
    </row>
    <row r="89" spans="1:17" s="953" customFormat="1" ht="25" customHeight="1">
      <c r="A89" s="954" t="s">
        <v>282</v>
      </c>
      <c r="B89" s="929" t="s">
        <v>825</v>
      </c>
      <c r="C89" s="919">
        <v>3</v>
      </c>
      <c r="D89" s="919">
        <v>1</v>
      </c>
      <c r="E89" s="919">
        <v>3</v>
      </c>
      <c r="F89" s="271">
        <f t="shared" si="13"/>
        <v>321.75</v>
      </c>
      <c r="G89" s="919">
        <v>70</v>
      </c>
      <c r="H89" s="916">
        <f t="shared" si="15"/>
        <v>1050</v>
      </c>
      <c r="I89" s="269">
        <f t="shared" si="16"/>
        <v>321.75</v>
      </c>
      <c r="J89" s="1001"/>
      <c r="K89" s="1001"/>
      <c r="L89" s="270"/>
      <c r="M89" s="270"/>
      <c r="N89" s="270"/>
      <c r="O89" s="270"/>
      <c r="P89" s="270"/>
      <c r="Q89" s="271"/>
    </row>
    <row r="90" spans="1:17" s="953" customFormat="1" ht="25" customHeight="1">
      <c r="A90" s="954" t="s">
        <v>283</v>
      </c>
      <c r="B90" s="929" t="s">
        <v>499</v>
      </c>
      <c r="C90" s="919">
        <v>2</v>
      </c>
      <c r="D90" s="919">
        <v>1</v>
      </c>
      <c r="E90" s="919">
        <v>1</v>
      </c>
      <c r="F90" s="271">
        <f t="shared" si="13"/>
        <v>193.05</v>
      </c>
      <c r="G90" s="919">
        <v>40</v>
      </c>
      <c r="H90" s="916">
        <f t="shared" si="15"/>
        <v>630</v>
      </c>
      <c r="I90" s="269">
        <f t="shared" si="16"/>
        <v>193.05</v>
      </c>
      <c r="J90" s="1001"/>
      <c r="K90" s="1001"/>
      <c r="L90" s="270"/>
      <c r="M90" s="270"/>
      <c r="N90" s="270"/>
      <c r="O90" s="270"/>
      <c r="P90" s="270"/>
      <c r="Q90" s="271"/>
    </row>
    <row r="91" spans="1:17" s="953" customFormat="1" ht="25" customHeight="1">
      <c r="A91" s="954" t="s">
        <v>284</v>
      </c>
      <c r="B91" s="928" t="s">
        <v>947</v>
      </c>
      <c r="C91" s="919">
        <v>5</v>
      </c>
      <c r="D91" s="919">
        <v>1</v>
      </c>
      <c r="E91" s="919">
        <v>3</v>
      </c>
      <c r="F91" s="271">
        <f t="shared" si="13"/>
        <v>33</v>
      </c>
      <c r="G91" s="919">
        <v>70</v>
      </c>
      <c r="H91" s="916">
        <f t="shared" si="15"/>
        <v>80</v>
      </c>
      <c r="I91" s="269">
        <f t="shared" si="16"/>
        <v>33</v>
      </c>
      <c r="J91" s="1001"/>
      <c r="K91" s="1001"/>
      <c r="L91" s="270"/>
      <c r="M91" s="270"/>
      <c r="N91" s="270"/>
      <c r="O91" s="270"/>
      <c r="P91" s="270"/>
      <c r="Q91" s="271"/>
    </row>
    <row r="92" spans="1:17" s="953" customFormat="1" ht="25" customHeight="1">
      <c r="A92" s="954" t="s">
        <v>285</v>
      </c>
      <c r="B92" s="928" t="s">
        <v>827</v>
      </c>
      <c r="C92" s="919">
        <v>3</v>
      </c>
      <c r="D92" s="919">
        <v>1.2</v>
      </c>
      <c r="E92" s="919">
        <v>2</v>
      </c>
      <c r="F92" s="271">
        <f t="shared" si="13"/>
        <v>193.05</v>
      </c>
      <c r="G92" s="919">
        <v>25</v>
      </c>
      <c r="H92" s="916">
        <f>C89*E89*G89</f>
        <v>630</v>
      </c>
      <c r="I92" s="269">
        <f>IF(G89&lt;70, C89*E89*16.5*1, C89*E89*16.5*1.3)</f>
        <v>193.05</v>
      </c>
      <c r="J92" s="1001"/>
      <c r="K92" s="1001"/>
      <c r="L92" s="270"/>
      <c r="M92" s="270"/>
      <c r="N92" s="270"/>
      <c r="O92" s="270"/>
      <c r="P92" s="270"/>
      <c r="Q92" s="271"/>
    </row>
    <row r="93" spans="1:17" s="953" customFormat="1" ht="25" customHeight="1">
      <c r="A93" s="954" t="s">
        <v>286</v>
      </c>
      <c r="B93" s="928" t="s">
        <v>879</v>
      </c>
      <c r="C93" s="919">
        <v>5</v>
      </c>
      <c r="D93" s="919">
        <v>1</v>
      </c>
      <c r="E93" s="919">
        <v>4</v>
      </c>
      <c r="F93" s="271">
        <f t="shared" si="13"/>
        <v>33</v>
      </c>
      <c r="G93" s="919">
        <v>70</v>
      </c>
      <c r="H93" s="916">
        <f>C90*E90*G90</f>
        <v>80</v>
      </c>
      <c r="I93" s="269">
        <f>IF(G90&lt;70, C90*E90*16.5*1, C90*E90*16.5*1.3)</f>
        <v>33</v>
      </c>
      <c r="J93" s="1001"/>
      <c r="K93" s="1001"/>
      <c r="L93" s="270"/>
      <c r="M93" s="270"/>
      <c r="N93" s="270"/>
      <c r="O93" s="270"/>
      <c r="P93" s="270"/>
      <c r="Q93" s="271"/>
    </row>
    <row r="94" spans="1:17" s="953" customFormat="1" ht="25" customHeight="1">
      <c r="A94" s="954" t="s">
        <v>289</v>
      </c>
      <c r="B94" s="928" t="s">
        <v>948</v>
      </c>
      <c r="C94" s="919">
        <v>4</v>
      </c>
      <c r="D94" s="919">
        <v>1</v>
      </c>
      <c r="E94" s="919">
        <v>3</v>
      </c>
      <c r="F94" s="271">
        <f t="shared" si="13"/>
        <v>99</v>
      </c>
      <c r="G94" s="919">
        <v>70</v>
      </c>
      <c r="H94" s="916">
        <f>C92*E92*G92</f>
        <v>150</v>
      </c>
      <c r="I94" s="269">
        <f>IF(G92&lt;70, C92*E92*16.5*1, C92*E92*16.5*1.3)</f>
        <v>99</v>
      </c>
      <c r="J94" s="1001"/>
      <c r="K94" s="1001"/>
      <c r="L94" s="270"/>
      <c r="M94" s="270"/>
      <c r="N94" s="270"/>
      <c r="O94" s="270"/>
      <c r="P94" s="270"/>
      <c r="Q94" s="271"/>
    </row>
    <row r="95" spans="1:17" s="953" customFormat="1" ht="25" customHeight="1">
      <c r="A95" s="954" t="s">
        <v>290</v>
      </c>
      <c r="B95" s="928" t="s">
        <v>949</v>
      </c>
      <c r="C95" s="919">
        <v>4</v>
      </c>
      <c r="D95" s="919">
        <v>1.3</v>
      </c>
      <c r="E95" s="919">
        <v>3</v>
      </c>
      <c r="F95" s="271">
        <f t="shared" si="13"/>
        <v>429</v>
      </c>
      <c r="G95" s="919">
        <v>70</v>
      </c>
      <c r="H95" s="916">
        <f>C93*E93*G93</f>
        <v>1400</v>
      </c>
      <c r="I95" s="269">
        <f>IF(G93&lt;70, C93*E93*16.5*1, C93*E93*16.5*1.3)</f>
        <v>429</v>
      </c>
      <c r="J95" s="1001"/>
      <c r="K95" s="1001"/>
      <c r="L95" s="270"/>
      <c r="M95" s="270"/>
      <c r="N95" s="270"/>
      <c r="O95" s="270"/>
      <c r="P95" s="270"/>
      <c r="Q95" s="271"/>
    </row>
    <row r="96" spans="1:17" s="953" customFormat="1" ht="25" customHeight="1">
      <c r="A96" s="954" t="s">
        <v>291</v>
      </c>
      <c r="B96" s="928" t="s">
        <v>828</v>
      </c>
      <c r="C96" s="919">
        <v>3</v>
      </c>
      <c r="D96" s="919">
        <v>1</v>
      </c>
      <c r="E96" s="919">
        <v>3</v>
      </c>
      <c r="F96" s="271">
        <f t="shared" si="13"/>
        <v>257.40000000000003</v>
      </c>
      <c r="G96" s="919">
        <v>70</v>
      </c>
      <c r="H96" s="916">
        <f>C94*E94*G94</f>
        <v>840</v>
      </c>
      <c r="I96" s="269">
        <f>IF(G94&lt;70, C94*E94*16.5*1, C94*E94*16.5*1.3)</f>
        <v>257.40000000000003</v>
      </c>
      <c r="J96" s="1001"/>
      <c r="K96" s="1001"/>
      <c r="L96" s="270"/>
      <c r="M96" s="270"/>
      <c r="N96" s="270"/>
      <c r="O96" s="270"/>
      <c r="P96" s="270"/>
      <c r="Q96" s="271"/>
    </row>
    <row r="97" spans="1:17" s="953" customFormat="1" ht="25" customHeight="1">
      <c r="A97" s="954" t="s">
        <v>292</v>
      </c>
      <c r="B97" s="928" t="s">
        <v>829</v>
      </c>
      <c r="C97" s="919">
        <v>4</v>
      </c>
      <c r="D97" s="919">
        <v>1</v>
      </c>
      <c r="E97" s="919">
        <v>3</v>
      </c>
      <c r="F97" s="271">
        <f t="shared" si="13"/>
        <v>257.40000000000003</v>
      </c>
      <c r="G97" s="919">
        <v>70</v>
      </c>
      <c r="H97" s="916">
        <f>C95*E95*G95</f>
        <v>840</v>
      </c>
      <c r="I97" s="269">
        <f>IF(G95&lt;70, C95*E95*16.5*1, C95*E95*16.5*1.3)</f>
        <v>257.40000000000003</v>
      </c>
      <c r="J97" s="780"/>
      <c r="K97" s="780"/>
      <c r="L97" s="270"/>
      <c r="M97" s="270"/>
      <c r="N97" s="270"/>
      <c r="O97" s="270"/>
      <c r="P97" s="270"/>
      <c r="Q97" s="271"/>
    </row>
    <row r="98" spans="1:17" s="953" customFormat="1" ht="25" customHeight="1">
      <c r="A98" s="954" t="s">
        <v>395</v>
      </c>
      <c r="B98" s="928" t="s">
        <v>830</v>
      </c>
      <c r="C98" s="919">
        <v>4</v>
      </c>
      <c r="D98" s="919">
        <v>1.1200000000000001</v>
      </c>
      <c r="E98" s="919">
        <v>3</v>
      </c>
      <c r="F98" s="271">
        <f t="shared" si="13"/>
        <v>193.05</v>
      </c>
      <c r="G98" s="919">
        <v>70</v>
      </c>
      <c r="H98" s="916">
        <f>C96*E96*G96</f>
        <v>630</v>
      </c>
      <c r="I98" s="269">
        <f>IF(G96&lt;70, C96*E96*16.5*1, C96*E96*16.5*1.3)</f>
        <v>193.05</v>
      </c>
      <c r="J98" s="1002"/>
      <c r="K98" s="1001"/>
      <c r="L98" s="270"/>
      <c r="M98" s="270"/>
      <c r="N98" s="270"/>
      <c r="O98" s="270"/>
      <c r="P98" s="270"/>
      <c r="Q98" s="271"/>
    </row>
    <row r="99" spans="1:17" s="953" customFormat="1" ht="25" customHeight="1">
      <c r="A99" s="979" t="s">
        <v>148</v>
      </c>
      <c r="B99" s="980" t="s">
        <v>151</v>
      </c>
      <c r="C99" s="811"/>
      <c r="D99" s="811"/>
      <c r="E99" s="811"/>
      <c r="F99" s="1003"/>
      <c r="G99" s="811"/>
      <c r="H99" s="916">
        <f t="shared" si="14"/>
        <v>0</v>
      </c>
      <c r="I99" s="264"/>
      <c r="J99" s="780"/>
      <c r="K99" s="780"/>
      <c r="L99" s="270"/>
      <c r="M99" s="270"/>
      <c r="N99" s="270"/>
      <c r="O99" s="270"/>
      <c r="P99" s="270"/>
      <c r="Q99" s="271"/>
    </row>
    <row r="100" spans="1:17" s="953" customFormat="1" ht="25" customHeight="1">
      <c r="A100" s="1004" t="s">
        <v>232</v>
      </c>
      <c r="B100" s="981" t="s">
        <v>154</v>
      </c>
      <c r="C100" s="811"/>
      <c r="D100" s="811"/>
      <c r="E100" s="811"/>
      <c r="F100" s="271">
        <f t="shared" si="13"/>
        <v>0</v>
      </c>
      <c r="G100" s="811">
        <v>0</v>
      </c>
      <c r="H100" s="916">
        <f t="shared" si="14"/>
        <v>0</v>
      </c>
      <c r="I100" s="269">
        <f>IF(G100&lt;70, C100*E100*16.5*1, C100*E100*16.5*1.3)</f>
        <v>0</v>
      </c>
      <c r="J100" s="780"/>
      <c r="K100" s="780"/>
      <c r="L100" s="270"/>
      <c r="M100" s="270"/>
      <c r="N100" s="270"/>
      <c r="O100" s="270"/>
      <c r="P100" s="270"/>
      <c r="Q100" s="271"/>
    </row>
    <row r="101" spans="1:17" s="953" customFormat="1" ht="25" customHeight="1">
      <c r="A101" s="1004" t="s">
        <v>233</v>
      </c>
      <c r="B101" s="981" t="s">
        <v>153</v>
      </c>
      <c r="C101" s="811"/>
      <c r="D101" s="811"/>
      <c r="E101" s="811"/>
      <c r="F101" s="1003">
        <v>0</v>
      </c>
      <c r="G101" s="811">
        <v>0</v>
      </c>
      <c r="H101" s="916">
        <f t="shared" si="14"/>
        <v>0</v>
      </c>
      <c r="I101" s="269">
        <f>IF(G101&lt;70, C101*E101*16.5*1, C101*E101*16.5*1.3)</f>
        <v>0</v>
      </c>
      <c r="J101" s="780"/>
      <c r="K101" s="780"/>
      <c r="L101" s="270"/>
      <c r="M101" s="270"/>
      <c r="N101" s="270"/>
      <c r="O101" s="270"/>
      <c r="P101" s="270"/>
      <c r="Q101" s="271"/>
    </row>
    <row r="102" spans="1:17" s="953" customFormat="1" ht="25" customHeight="1">
      <c r="A102" s="1004" t="s">
        <v>234</v>
      </c>
      <c r="B102" s="981" t="s">
        <v>155</v>
      </c>
      <c r="C102" s="811"/>
      <c r="D102" s="811"/>
      <c r="E102" s="811"/>
      <c r="F102" s="1005">
        <f>I102</f>
        <v>0</v>
      </c>
      <c r="G102" s="811">
        <v>0</v>
      </c>
      <c r="H102" s="916">
        <f t="shared" si="14"/>
        <v>0</v>
      </c>
      <c r="I102" s="269">
        <f>IF(G102&lt;70, C102*E102*16.5*1, C102*E102*16.5*1.3)</f>
        <v>0</v>
      </c>
      <c r="J102" s="780"/>
      <c r="K102" s="780"/>
      <c r="L102" s="270"/>
      <c r="M102" s="270"/>
      <c r="N102" s="270"/>
      <c r="O102" s="270"/>
      <c r="P102" s="270"/>
      <c r="Q102" s="271"/>
    </row>
    <row r="103" spans="1:17" s="953" customFormat="1" ht="25" customHeight="1">
      <c r="A103" s="1004" t="s">
        <v>235</v>
      </c>
      <c r="B103" s="981" t="s">
        <v>156</v>
      </c>
      <c r="C103" s="1006">
        <v>4</v>
      </c>
      <c r="D103" s="1006">
        <v>1.4</v>
      </c>
      <c r="E103" s="1006">
        <v>8</v>
      </c>
      <c r="F103" s="1005">
        <f>I103+J103+K103</f>
        <v>1600</v>
      </c>
      <c r="G103" s="811">
        <v>25</v>
      </c>
      <c r="H103" s="916">
        <f t="shared" si="14"/>
        <v>800</v>
      </c>
      <c r="I103" s="264">
        <f>H103*2</f>
        <v>1600</v>
      </c>
      <c r="J103" s="780"/>
      <c r="K103" s="780"/>
      <c r="L103" s="270"/>
      <c r="M103" s="270"/>
      <c r="N103" s="270"/>
      <c r="O103" s="270"/>
      <c r="P103" s="270"/>
      <c r="Q103" s="271"/>
    </row>
    <row r="104" spans="1:17" s="953" customFormat="1" ht="25" customHeight="1">
      <c r="A104" s="1004" t="s">
        <v>236</v>
      </c>
      <c r="B104" s="981" t="s">
        <v>157</v>
      </c>
      <c r="C104" s="811">
        <v>0</v>
      </c>
      <c r="D104" s="811"/>
      <c r="E104" s="811">
        <v>0</v>
      </c>
      <c r="F104" s="1005">
        <f>I104+J104+K104</f>
        <v>0</v>
      </c>
      <c r="G104" s="811">
        <v>0</v>
      </c>
      <c r="H104" s="916">
        <f t="shared" si="14"/>
        <v>0</v>
      </c>
      <c r="I104" s="269">
        <f>IF(G104&lt;70, C104*E104*16.5*1, C104*E104*16.5*1.3)</f>
        <v>0</v>
      </c>
      <c r="J104" s="780"/>
      <c r="K104" s="780"/>
      <c r="L104" s="270"/>
      <c r="M104" s="270"/>
      <c r="N104" s="270"/>
      <c r="O104" s="270"/>
      <c r="P104" s="270"/>
      <c r="Q104" s="271"/>
    </row>
    <row r="105" spans="1:17" s="953" customFormat="1" ht="25" customHeight="1">
      <c r="A105" s="1007"/>
      <c r="B105" s="1008" t="s">
        <v>380</v>
      </c>
      <c r="C105" s="971">
        <f t="shared" ref="C105:K105" si="17">SUM(C83:C104)</f>
        <v>64</v>
      </c>
      <c r="D105" s="971">
        <f t="shared" si="17"/>
        <v>18.32</v>
      </c>
      <c r="E105" s="971">
        <f t="shared" si="17"/>
        <v>54</v>
      </c>
      <c r="F105" s="971">
        <f t="shared" si="17"/>
        <v>4875.25</v>
      </c>
      <c r="G105" s="971">
        <f t="shared" si="17"/>
        <v>1040</v>
      </c>
      <c r="H105" s="971">
        <f t="shared" si="17"/>
        <v>11500</v>
      </c>
      <c r="I105" s="971">
        <f t="shared" si="17"/>
        <v>4875.25</v>
      </c>
      <c r="J105" s="971">
        <f t="shared" si="17"/>
        <v>0</v>
      </c>
      <c r="K105" s="971">
        <f t="shared" si="17"/>
        <v>0</v>
      </c>
      <c r="L105" s="270"/>
      <c r="M105" s="270"/>
      <c r="N105" s="270"/>
      <c r="O105" s="270"/>
      <c r="P105" s="270"/>
      <c r="Q105" s="271"/>
    </row>
    <row r="106" spans="1:17" s="953" customFormat="1" ht="25" customHeight="1">
      <c r="A106" s="1009">
        <v>2</v>
      </c>
      <c r="B106" s="1009" t="s">
        <v>501</v>
      </c>
      <c r="C106" s="811"/>
      <c r="D106" s="811"/>
      <c r="E106" s="811"/>
      <c r="F106" s="269"/>
      <c r="G106" s="811"/>
      <c r="H106" s="916"/>
      <c r="I106" s="916"/>
      <c r="J106" s="780"/>
      <c r="K106" s="780"/>
      <c r="L106" s="270"/>
      <c r="M106" s="270"/>
      <c r="N106" s="270"/>
      <c r="O106" s="270"/>
      <c r="P106" s="270"/>
      <c r="Q106" s="1571"/>
    </row>
    <row r="107" spans="1:17" s="953" customFormat="1" ht="25" customHeight="1">
      <c r="A107" s="1010" t="s">
        <v>147</v>
      </c>
      <c r="B107" s="1011" t="s">
        <v>165</v>
      </c>
      <c r="C107" s="811"/>
      <c r="D107" s="811"/>
      <c r="E107" s="811"/>
      <c r="F107" s="269"/>
      <c r="G107" s="811"/>
      <c r="H107" s="916"/>
      <c r="I107" s="916"/>
      <c r="J107" s="780"/>
      <c r="K107" s="780"/>
      <c r="L107" s="270"/>
      <c r="M107" s="270"/>
      <c r="N107" s="270"/>
      <c r="O107" s="270"/>
      <c r="P107" s="270"/>
      <c r="Q107" s="1571"/>
    </row>
    <row r="108" spans="1:17" s="953" customFormat="1" ht="25" customHeight="1">
      <c r="A108" s="981" t="s">
        <v>226</v>
      </c>
      <c r="B108" s="1012" t="s">
        <v>831</v>
      </c>
      <c r="C108" s="811">
        <v>3</v>
      </c>
      <c r="D108" s="811">
        <v>1</v>
      </c>
      <c r="E108" s="811">
        <v>2</v>
      </c>
      <c r="F108" s="271">
        <f>(I108+J108+K108)</f>
        <v>69.3</v>
      </c>
      <c r="G108" s="779">
        <v>13</v>
      </c>
      <c r="H108" s="916">
        <f t="shared" si="14"/>
        <v>78</v>
      </c>
      <c r="I108" s="269">
        <f>C108*E108*16.5*0.7</f>
        <v>69.3</v>
      </c>
      <c r="J108" s="780"/>
      <c r="K108" s="780"/>
      <c r="L108" s="1013"/>
      <c r="M108" s="270"/>
      <c r="N108" s="270"/>
      <c r="O108" s="270"/>
      <c r="P108" s="270"/>
      <c r="Q108" s="1571"/>
    </row>
    <row r="109" spans="1:17" s="953" customFormat="1" ht="25" customHeight="1">
      <c r="A109" s="981" t="s">
        <v>227</v>
      </c>
      <c r="B109" s="1012" t="s">
        <v>832</v>
      </c>
      <c r="C109" s="811">
        <v>3</v>
      </c>
      <c r="D109" s="811">
        <v>1</v>
      </c>
      <c r="E109" s="811">
        <v>2</v>
      </c>
      <c r="F109" s="271">
        <f t="shared" ref="F109:F114" si="18">(I109+J109+K109)</f>
        <v>69.3</v>
      </c>
      <c r="G109" s="811">
        <v>13</v>
      </c>
      <c r="H109" s="916">
        <f t="shared" si="14"/>
        <v>78</v>
      </c>
      <c r="I109" s="269">
        <f>C109*E109*16.5*0.7</f>
        <v>69.3</v>
      </c>
      <c r="J109" s="780"/>
      <c r="K109" s="780"/>
      <c r="L109" s="1013"/>
      <c r="M109" s="270"/>
      <c r="N109" s="270"/>
      <c r="O109" s="270"/>
      <c r="P109" s="270"/>
      <c r="Q109" s="1571"/>
    </row>
    <row r="110" spans="1:17" s="953" customFormat="1" ht="25" customHeight="1">
      <c r="A110" s="981" t="s">
        <v>228</v>
      </c>
      <c r="B110" s="1012" t="s">
        <v>833</v>
      </c>
      <c r="C110" s="811">
        <v>3</v>
      </c>
      <c r="D110" s="811">
        <v>1</v>
      </c>
      <c r="E110" s="811">
        <v>2</v>
      </c>
      <c r="F110" s="271">
        <f t="shared" si="18"/>
        <v>69.3</v>
      </c>
      <c r="G110" s="811">
        <v>13</v>
      </c>
      <c r="H110" s="916">
        <f t="shared" si="14"/>
        <v>78</v>
      </c>
      <c r="I110" s="269">
        <f>C110*E110*16.5*0.7</f>
        <v>69.3</v>
      </c>
      <c r="J110" s="780"/>
      <c r="K110" s="780"/>
      <c r="L110" s="1013"/>
      <c r="M110" s="270"/>
      <c r="N110" s="270"/>
      <c r="O110" s="270"/>
      <c r="P110" s="270"/>
      <c r="Q110" s="1571"/>
    </row>
    <row r="111" spans="1:17" s="953" customFormat="1" ht="25" customHeight="1">
      <c r="A111" s="981" t="s">
        <v>229</v>
      </c>
      <c r="B111" s="1012" t="s">
        <v>834</v>
      </c>
      <c r="C111" s="811">
        <v>3</v>
      </c>
      <c r="D111" s="811">
        <v>1</v>
      </c>
      <c r="E111" s="811">
        <v>2</v>
      </c>
      <c r="F111" s="271">
        <f t="shared" si="18"/>
        <v>69.3</v>
      </c>
      <c r="G111" s="811">
        <v>13</v>
      </c>
      <c r="H111" s="916">
        <f t="shared" si="14"/>
        <v>78</v>
      </c>
      <c r="I111" s="269">
        <f>C111*E111*16.5*0.7</f>
        <v>69.3</v>
      </c>
      <c r="J111" s="780"/>
      <c r="K111" s="780"/>
      <c r="L111" s="1013"/>
      <c r="M111" s="270"/>
      <c r="N111" s="270"/>
      <c r="O111" s="270"/>
      <c r="P111" s="270"/>
      <c r="Q111" s="1571"/>
    </row>
    <row r="112" spans="1:17" s="953" customFormat="1" ht="25" customHeight="1">
      <c r="A112" s="981" t="s">
        <v>230</v>
      </c>
      <c r="B112" s="981" t="s">
        <v>835</v>
      </c>
      <c r="C112" s="811">
        <v>3</v>
      </c>
      <c r="D112" s="811">
        <v>1</v>
      </c>
      <c r="E112" s="811">
        <v>2</v>
      </c>
      <c r="F112" s="271">
        <f t="shared" si="18"/>
        <v>69.3</v>
      </c>
      <c r="G112" s="811">
        <v>13</v>
      </c>
      <c r="H112" s="916">
        <f t="shared" si="14"/>
        <v>78</v>
      </c>
      <c r="I112" s="269">
        <f>C112*E112*16.5*0.7</f>
        <v>69.3</v>
      </c>
      <c r="J112" s="780"/>
      <c r="K112" s="780"/>
      <c r="L112" s="1013"/>
      <c r="M112" s="270"/>
      <c r="N112" s="270"/>
      <c r="O112" s="270"/>
      <c r="P112" s="270"/>
      <c r="Q112" s="1571"/>
    </row>
    <row r="113" spans="1:17" s="953" customFormat="1" ht="25" customHeight="1">
      <c r="A113" s="981" t="s">
        <v>231</v>
      </c>
      <c r="B113" s="1014" t="s">
        <v>836</v>
      </c>
      <c r="C113" s="811">
        <v>3</v>
      </c>
      <c r="D113" s="811">
        <v>1</v>
      </c>
      <c r="E113" s="811">
        <v>2</v>
      </c>
      <c r="F113" s="271">
        <f t="shared" si="18"/>
        <v>69.3</v>
      </c>
      <c r="G113" s="811">
        <v>13</v>
      </c>
      <c r="H113" s="916">
        <f t="shared" si="14"/>
        <v>78</v>
      </c>
      <c r="I113" s="264">
        <v>0</v>
      </c>
      <c r="J113" s="780"/>
      <c r="K113" s="269">
        <f>C113*E113*16.5*0.7</f>
        <v>69.3</v>
      </c>
      <c r="L113" s="270"/>
      <c r="M113" s="270"/>
      <c r="N113" s="270"/>
      <c r="O113" s="270"/>
      <c r="P113" s="270"/>
      <c r="Q113" s="271"/>
    </row>
    <row r="114" spans="1:17" s="953" customFormat="1" ht="25" customHeight="1">
      <c r="A114" s="1004" t="s">
        <v>282</v>
      </c>
      <c r="B114" s="1014" t="s">
        <v>837</v>
      </c>
      <c r="C114" s="811">
        <v>3</v>
      </c>
      <c r="D114" s="811">
        <v>1</v>
      </c>
      <c r="E114" s="811">
        <v>2</v>
      </c>
      <c r="F114" s="271">
        <f t="shared" si="18"/>
        <v>69.3</v>
      </c>
      <c r="G114" s="811">
        <v>13</v>
      </c>
      <c r="H114" s="916">
        <f t="shared" si="14"/>
        <v>78</v>
      </c>
      <c r="I114" s="264">
        <v>0</v>
      </c>
      <c r="J114" s="780"/>
      <c r="K114" s="269">
        <f>C114*E114*16.5*0.7</f>
        <v>69.3</v>
      </c>
      <c r="L114" s="270"/>
      <c r="M114" s="270"/>
      <c r="N114" s="270"/>
      <c r="O114" s="270"/>
      <c r="P114" s="270"/>
      <c r="Q114" s="271"/>
    </row>
    <row r="115" spans="1:17" s="953" customFormat="1" ht="25" customHeight="1">
      <c r="A115" s="979" t="s">
        <v>148</v>
      </c>
      <c r="B115" s="980" t="s">
        <v>470</v>
      </c>
      <c r="C115" s="811"/>
      <c r="D115" s="811"/>
      <c r="E115" s="811"/>
      <c r="F115" s="271"/>
      <c r="G115" s="811"/>
      <c r="H115" s="916"/>
      <c r="I115" s="269"/>
      <c r="J115" s="1015"/>
      <c r="K115" s="780"/>
      <c r="L115" s="270"/>
      <c r="M115" s="270"/>
      <c r="N115" s="270"/>
      <c r="O115" s="270"/>
      <c r="P115" s="270"/>
      <c r="Q115" s="271"/>
    </row>
    <row r="116" spans="1:17" s="953" customFormat="1" ht="25" customHeight="1">
      <c r="A116" s="979"/>
      <c r="B116" s="981" t="s">
        <v>950</v>
      </c>
      <c r="C116" s="811">
        <v>15</v>
      </c>
      <c r="D116" s="811">
        <v>1</v>
      </c>
      <c r="E116" s="811">
        <v>1</v>
      </c>
      <c r="F116" s="271">
        <f t="shared" ref="F116:F129" si="19">I116+J116+K116</f>
        <v>210</v>
      </c>
      <c r="G116" s="811">
        <v>43</v>
      </c>
      <c r="H116" s="916">
        <f>C116*E116*G116</f>
        <v>645</v>
      </c>
      <c r="I116" s="269">
        <f>6*35</f>
        <v>210</v>
      </c>
      <c r="J116" s="1015"/>
      <c r="K116" s="780"/>
      <c r="L116" s="270"/>
      <c r="M116" s="270"/>
      <c r="N116" s="270"/>
      <c r="O116" s="270"/>
      <c r="P116" s="270"/>
      <c r="Q116" s="271"/>
    </row>
    <row r="117" spans="1:17" s="953" customFormat="1" ht="25" customHeight="1">
      <c r="A117" s="969"/>
      <c r="B117" s="970" t="s">
        <v>380</v>
      </c>
      <c r="C117" s="971">
        <f>SUM(C108:C116)</f>
        <v>36</v>
      </c>
      <c r="D117" s="971">
        <f t="shared" ref="D117:K117" si="20">SUM(D108:D116)</f>
        <v>8</v>
      </c>
      <c r="E117" s="971">
        <f t="shared" si="20"/>
        <v>15</v>
      </c>
      <c r="F117" s="971">
        <f t="shared" si="20"/>
        <v>695.1</v>
      </c>
      <c r="G117" s="971">
        <f>SUM(G108:G116)</f>
        <v>134</v>
      </c>
      <c r="H117" s="971">
        <f t="shared" si="20"/>
        <v>1191</v>
      </c>
      <c r="I117" s="971">
        <f t="shared" si="20"/>
        <v>556.5</v>
      </c>
      <c r="J117" s="971">
        <f t="shared" si="20"/>
        <v>0</v>
      </c>
      <c r="K117" s="971">
        <f t="shared" si="20"/>
        <v>138.6</v>
      </c>
      <c r="L117" s="270"/>
      <c r="M117" s="270"/>
      <c r="N117" s="270"/>
      <c r="O117" s="270"/>
      <c r="P117" s="270"/>
      <c r="Q117" s="271"/>
    </row>
    <row r="118" spans="1:17" s="953" customFormat="1" ht="25" customHeight="1">
      <c r="A118" s="1009">
        <v>1</v>
      </c>
      <c r="B118" s="1011" t="s">
        <v>225</v>
      </c>
      <c r="C118" s="811"/>
      <c r="D118" s="811"/>
      <c r="E118" s="811"/>
      <c r="F118" s="271"/>
      <c r="G118" s="811"/>
      <c r="H118" s="916"/>
      <c r="I118" s="269"/>
      <c r="J118" s="1001"/>
      <c r="K118" s="1001"/>
      <c r="L118" s="270"/>
      <c r="M118" s="270"/>
      <c r="N118" s="270"/>
      <c r="O118" s="270"/>
      <c r="P118" s="270"/>
      <c r="Q118" s="271"/>
    </row>
    <row r="119" spans="1:17" s="953" customFormat="1" ht="25" customHeight="1">
      <c r="A119" s="1009" t="s">
        <v>381</v>
      </c>
      <c r="B119" s="1011" t="s">
        <v>163</v>
      </c>
      <c r="C119" s="811"/>
      <c r="D119" s="811"/>
      <c r="E119" s="811"/>
      <c r="F119" s="271"/>
      <c r="G119" s="811"/>
      <c r="H119" s="916"/>
      <c r="I119" s="269"/>
      <c r="J119" s="1001"/>
      <c r="K119" s="1001"/>
      <c r="L119" s="270"/>
      <c r="M119" s="270"/>
      <c r="N119" s="270"/>
      <c r="O119" s="270"/>
      <c r="P119" s="270"/>
      <c r="Q119" s="271"/>
    </row>
    <row r="120" spans="1:17" s="953" customFormat="1" ht="25" customHeight="1">
      <c r="A120" s="1004" t="s">
        <v>228</v>
      </c>
      <c r="B120" s="929" t="s">
        <v>935</v>
      </c>
      <c r="C120" s="919">
        <v>3</v>
      </c>
      <c r="D120" s="919">
        <v>1</v>
      </c>
      <c r="E120" s="919">
        <v>12</v>
      </c>
      <c r="F120" s="271">
        <f t="shared" si="19"/>
        <v>772.2</v>
      </c>
      <c r="G120" s="919">
        <v>70</v>
      </c>
      <c r="H120" s="916">
        <f>C120*E120*G120</f>
        <v>2520</v>
      </c>
      <c r="I120" s="269">
        <f>IF(G120&lt;70, C120*E120*16.5*1, C120*E120*16.5*1.3)</f>
        <v>772.2</v>
      </c>
      <c r="J120" s="1001"/>
      <c r="K120" s="1001"/>
      <c r="L120" s="270"/>
      <c r="M120" s="270"/>
      <c r="N120" s="270"/>
      <c r="O120" s="270"/>
      <c r="P120" s="270"/>
      <c r="Q120" s="271"/>
    </row>
    <row r="121" spans="1:17" s="953" customFormat="1" ht="25" customHeight="1">
      <c r="A121" s="1004" t="s">
        <v>229</v>
      </c>
      <c r="B121" s="929" t="s">
        <v>936</v>
      </c>
      <c r="C121" s="919">
        <v>3</v>
      </c>
      <c r="D121" s="919">
        <v>1</v>
      </c>
      <c r="E121" s="919">
        <v>12</v>
      </c>
      <c r="F121" s="271">
        <f t="shared" si="19"/>
        <v>772.2</v>
      </c>
      <c r="G121" s="919">
        <v>70</v>
      </c>
      <c r="H121" s="916">
        <f t="shared" ref="H121:H129" si="21">C121*E121*G121</f>
        <v>2520</v>
      </c>
      <c r="I121" s="269">
        <f t="shared" ref="I121:I129" si="22">IF(G121&lt;70, C121*E121*16.5*1, C121*E121*16.5*1.3)</f>
        <v>772.2</v>
      </c>
      <c r="J121" s="1001"/>
      <c r="K121" s="1001"/>
      <c r="L121" s="270"/>
      <c r="M121" s="270"/>
      <c r="N121" s="270"/>
      <c r="O121" s="270"/>
      <c r="P121" s="270"/>
      <c r="Q121" s="271"/>
    </row>
    <row r="122" spans="1:17" s="953" customFormat="1" ht="25" customHeight="1">
      <c r="A122" s="1004" t="s">
        <v>230</v>
      </c>
      <c r="B122" s="929" t="s">
        <v>937</v>
      </c>
      <c r="C122" s="919">
        <v>2</v>
      </c>
      <c r="D122" s="919">
        <v>1</v>
      </c>
      <c r="E122" s="919">
        <v>15</v>
      </c>
      <c r="F122" s="271">
        <f t="shared" si="19"/>
        <v>643.5</v>
      </c>
      <c r="G122" s="919">
        <v>70</v>
      </c>
      <c r="H122" s="916">
        <f t="shared" si="21"/>
        <v>2100</v>
      </c>
      <c r="I122" s="269">
        <f t="shared" si="22"/>
        <v>643.5</v>
      </c>
      <c r="J122" s="1001"/>
      <c r="K122" s="1001"/>
      <c r="L122" s="270"/>
      <c r="M122" s="270"/>
      <c r="N122" s="270"/>
      <c r="O122" s="270"/>
      <c r="P122" s="270"/>
      <c r="Q122" s="271"/>
    </row>
    <row r="123" spans="1:17" s="953" customFormat="1" ht="25" customHeight="1">
      <c r="A123" s="1004" t="s">
        <v>231</v>
      </c>
      <c r="B123" s="929" t="s">
        <v>938</v>
      </c>
      <c r="C123" s="919">
        <v>3</v>
      </c>
      <c r="D123" s="919">
        <v>1</v>
      </c>
      <c r="E123" s="919">
        <v>15</v>
      </c>
      <c r="F123" s="271">
        <f t="shared" si="19"/>
        <v>965.25</v>
      </c>
      <c r="G123" s="919">
        <v>70</v>
      </c>
      <c r="H123" s="916">
        <f t="shared" si="21"/>
        <v>3150</v>
      </c>
      <c r="I123" s="269">
        <f t="shared" si="22"/>
        <v>965.25</v>
      </c>
      <c r="J123" s="1001"/>
      <c r="K123" s="1001"/>
      <c r="L123" s="270"/>
      <c r="M123" s="270"/>
      <c r="N123" s="270"/>
      <c r="O123" s="270"/>
      <c r="P123" s="270"/>
      <c r="Q123" s="271"/>
    </row>
    <row r="124" spans="1:17" s="953" customFormat="1" ht="25" customHeight="1">
      <c r="A124" s="1004" t="s">
        <v>282</v>
      </c>
      <c r="B124" s="929" t="s">
        <v>939</v>
      </c>
      <c r="C124" s="919">
        <v>2</v>
      </c>
      <c r="D124" s="919">
        <v>1</v>
      </c>
      <c r="E124" s="919">
        <v>15</v>
      </c>
      <c r="F124" s="271">
        <f t="shared" si="19"/>
        <v>643.5</v>
      </c>
      <c r="G124" s="919">
        <v>80</v>
      </c>
      <c r="H124" s="916">
        <f t="shared" si="21"/>
        <v>2400</v>
      </c>
      <c r="I124" s="269">
        <f t="shared" si="22"/>
        <v>643.5</v>
      </c>
      <c r="J124" s="1001"/>
      <c r="K124" s="1001"/>
      <c r="L124" s="270"/>
      <c r="M124" s="270"/>
      <c r="N124" s="270"/>
      <c r="O124" s="270"/>
      <c r="P124" s="270"/>
      <c r="Q124" s="271"/>
    </row>
    <row r="125" spans="1:17" s="953" customFormat="1" ht="25" customHeight="1">
      <c r="A125" s="1004" t="s">
        <v>284</v>
      </c>
      <c r="B125" s="928" t="s">
        <v>940</v>
      </c>
      <c r="C125" s="919">
        <v>3</v>
      </c>
      <c r="D125" s="919">
        <v>1</v>
      </c>
      <c r="E125" s="919">
        <v>15</v>
      </c>
      <c r="F125" s="271">
        <f t="shared" si="19"/>
        <v>965.25</v>
      </c>
      <c r="G125" s="919">
        <v>70</v>
      </c>
      <c r="H125" s="916">
        <f t="shared" si="21"/>
        <v>3150</v>
      </c>
      <c r="I125" s="269">
        <f t="shared" si="22"/>
        <v>965.25</v>
      </c>
      <c r="J125" s="1001"/>
      <c r="K125" s="1001"/>
      <c r="L125" s="270"/>
      <c r="M125" s="270"/>
      <c r="N125" s="270"/>
      <c r="O125" s="270"/>
      <c r="P125" s="270"/>
      <c r="Q125" s="271"/>
    </row>
    <row r="126" spans="1:17" s="953" customFormat="1" ht="25" customHeight="1">
      <c r="A126" s="1004" t="s">
        <v>286</v>
      </c>
      <c r="B126" s="968" t="s">
        <v>941</v>
      </c>
      <c r="C126" s="919">
        <v>3</v>
      </c>
      <c r="D126" s="919">
        <v>1</v>
      </c>
      <c r="E126" s="919">
        <v>15</v>
      </c>
      <c r="F126" s="271">
        <f t="shared" si="19"/>
        <v>965.25</v>
      </c>
      <c r="G126" s="919">
        <v>70</v>
      </c>
      <c r="H126" s="916">
        <f t="shared" si="21"/>
        <v>3150</v>
      </c>
      <c r="I126" s="269">
        <f t="shared" si="22"/>
        <v>965.25</v>
      </c>
      <c r="J126" s="1001"/>
      <c r="K126" s="1001"/>
      <c r="L126" s="270"/>
      <c r="M126" s="270"/>
      <c r="N126" s="270"/>
      <c r="O126" s="270"/>
      <c r="P126" s="270"/>
      <c r="Q126" s="271"/>
    </row>
    <row r="127" spans="1:17" s="953" customFormat="1" ht="25" customHeight="1">
      <c r="A127" s="1004" t="s">
        <v>289</v>
      </c>
      <c r="B127" s="968" t="s">
        <v>942</v>
      </c>
      <c r="C127" s="919">
        <v>4</v>
      </c>
      <c r="D127" s="919">
        <v>1</v>
      </c>
      <c r="E127" s="919">
        <v>10</v>
      </c>
      <c r="F127" s="271">
        <f t="shared" si="19"/>
        <v>858</v>
      </c>
      <c r="G127" s="919">
        <v>70</v>
      </c>
      <c r="H127" s="916">
        <f t="shared" si="21"/>
        <v>2800</v>
      </c>
      <c r="I127" s="269">
        <f t="shared" si="22"/>
        <v>858</v>
      </c>
      <c r="J127" s="1001"/>
      <c r="K127" s="1001"/>
      <c r="L127" s="270"/>
      <c r="M127" s="270"/>
      <c r="N127" s="270"/>
      <c r="O127" s="270"/>
      <c r="P127" s="270"/>
      <c r="Q127" s="271"/>
    </row>
    <row r="128" spans="1:17" s="953" customFormat="1" ht="25" customHeight="1">
      <c r="A128" s="1004" t="s">
        <v>290</v>
      </c>
      <c r="B128" s="968" t="s">
        <v>943</v>
      </c>
      <c r="C128" s="919">
        <v>4</v>
      </c>
      <c r="D128" s="919">
        <v>1</v>
      </c>
      <c r="E128" s="919">
        <v>10</v>
      </c>
      <c r="F128" s="271">
        <f t="shared" si="19"/>
        <v>858</v>
      </c>
      <c r="G128" s="919">
        <v>70</v>
      </c>
      <c r="H128" s="916">
        <f t="shared" si="21"/>
        <v>2800</v>
      </c>
      <c r="I128" s="269">
        <f t="shared" si="22"/>
        <v>858</v>
      </c>
      <c r="J128" s="1001"/>
      <c r="K128" s="1001"/>
      <c r="L128" s="270"/>
      <c r="M128" s="270"/>
      <c r="N128" s="270"/>
      <c r="O128" s="270"/>
      <c r="P128" s="270"/>
      <c r="Q128" s="271"/>
    </row>
    <row r="129" spans="1:17" s="953" customFormat="1" ht="25" customHeight="1">
      <c r="A129" s="1004" t="s">
        <v>291</v>
      </c>
      <c r="B129" s="968" t="s">
        <v>944</v>
      </c>
      <c r="C129" s="919">
        <v>4</v>
      </c>
      <c r="D129" s="919">
        <v>1</v>
      </c>
      <c r="E129" s="919">
        <v>10</v>
      </c>
      <c r="F129" s="271">
        <f t="shared" si="19"/>
        <v>858</v>
      </c>
      <c r="G129" s="919">
        <v>70</v>
      </c>
      <c r="H129" s="916">
        <f t="shared" si="21"/>
        <v>2800</v>
      </c>
      <c r="I129" s="269">
        <f t="shared" si="22"/>
        <v>858</v>
      </c>
      <c r="J129" s="1001"/>
      <c r="K129" s="1001"/>
      <c r="L129" s="270"/>
      <c r="M129" s="270"/>
      <c r="N129" s="270"/>
      <c r="O129" s="270"/>
      <c r="P129" s="270"/>
      <c r="Q129" s="271"/>
    </row>
    <row r="130" spans="1:17" s="953" customFormat="1" ht="25" customHeight="1">
      <c r="A130" s="1016"/>
      <c r="B130" s="1017" t="s">
        <v>392</v>
      </c>
      <c r="C130" s="1018">
        <f t="shared" ref="C130:K130" si="23">SUM(C120:C129)</f>
        <v>31</v>
      </c>
      <c r="D130" s="1018">
        <f t="shared" si="23"/>
        <v>10</v>
      </c>
      <c r="E130" s="1018">
        <f t="shared" si="23"/>
        <v>129</v>
      </c>
      <c r="F130" s="1018">
        <f t="shared" si="23"/>
        <v>8301.15</v>
      </c>
      <c r="G130" s="1018">
        <f t="shared" si="23"/>
        <v>710</v>
      </c>
      <c r="H130" s="1018">
        <f t="shared" si="23"/>
        <v>27390</v>
      </c>
      <c r="I130" s="1018">
        <f t="shared" si="23"/>
        <v>8301.15</v>
      </c>
      <c r="J130" s="1018">
        <f t="shared" si="23"/>
        <v>0</v>
      </c>
      <c r="K130" s="1018">
        <f t="shared" si="23"/>
        <v>0</v>
      </c>
      <c r="L130" s="270"/>
      <c r="M130" s="270"/>
      <c r="N130" s="270"/>
      <c r="O130" s="270"/>
      <c r="P130" s="270"/>
      <c r="Q130" s="271"/>
    </row>
    <row r="131" spans="1:17" s="953" customFormat="1" ht="25" customHeight="1">
      <c r="A131" s="1019"/>
      <c r="B131" s="282" t="s">
        <v>393</v>
      </c>
      <c r="C131" s="279">
        <f t="shared" ref="C131:K131" si="24">C105+C117+C130</f>
        <v>131</v>
      </c>
      <c r="D131" s="279">
        <f t="shared" si="24"/>
        <v>36.32</v>
      </c>
      <c r="E131" s="279">
        <f t="shared" si="24"/>
        <v>198</v>
      </c>
      <c r="F131" s="279">
        <f t="shared" si="24"/>
        <v>13871.5</v>
      </c>
      <c r="G131" s="279">
        <f t="shared" si="24"/>
        <v>1884</v>
      </c>
      <c r="H131" s="279">
        <f t="shared" si="24"/>
        <v>40081</v>
      </c>
      <c r="I131" s="279">
        <f t="shared" si="24"/>
        <v>13732.9</v>
      </c>
      <c r="J131" s="279">
        <f t="shared" si="24"/>
        <v>0</v>
      </c>
      <c r="K131" s="279">
        <f t="shared" si="24"/>
        <v>138.6</v>
      </c>
      <c r="L131" s="995">
        <f>'Bieu3 GDMN'!F25</f>
        <v>2700</v>
      </c>
      <c r="M131" s="995">
        <f>'Bieu3 GDMN'!N25</f>
        <v>2376</v>
      </c>
      <c r="N131" s="995">
        <f>I131-M131</f>
        <v>11356.9</v>
      </c>
      <c r="O131" s="995">
        <f>'Bieu3 GDMN'!O25</f>
        <v>1709.75</v>
      </c>
      <c r="P131" s="995">
        <f>'Bieu3 GDMN'!P25</f>
        <v>960</v>
      </c>
      <c r="Q131" s="405" t="s">
        <v>703</v>
      </c>
    </row>
    <row r="132" spans="1:17" s="953" customFormat="1" ht="25" customHeight="1">
      <c r="A132" s="307" t="s">
        <v>422</v>
      </c>
      <c r="B132" s="1020" t="s">
        <v>423</v>
      </c>
      <c r="C132" s="1021"/>
      <c r="D132" s="1021"/>
      <c r="E132" s="1021"/>
      <c r="F132" s="1022"/>
      <c r="G132" s="1021"/>
      <c r="H132" s="1003"/>
      <c r="I132" s="1023"/>
      <c r="J132" s="270"/>
      <c r="K132" s="270"/>
      <c r="L132" s="270"/>
      <c r="M132" s="270"/>
      <c r="N132" s="270"/>
      <c r="O132" s="270"/>
      <c r="P132" s="270"/>
      <c r="Q132" s="271"/>
    </row>
    <row r="133" spans="1:17" s="953" customFormat="1" ht="25" customHeight="1">
      <c r="A133" s="307" t="s">
        <v>7</v>
      </c>
      <c r="B133" s="307" t="s">
        <v>223</v>
      </c>
      <c r="C133" s="1021"/>
      <c r="D133" s="1021"/>
      <c r="E133" s="1021"/>
      <c r="F133" s="1022"/>
      <c r="G133" s="1021"/>
      <c r="H133" s="1003"/>
      <c r="I133" s="1023"/>
      <c r="J133" s="270"/>
      <c r="K133" s="270"/>
      <c r="L133" s="270"/>
      <c r="M133" s="270"/>
      <c r="N133" s="270"/>
      <c r="O133" s="270"/>
      <c r="P133" s="270"/>
      <c r="Q133" s="271"/>
    </row>
    <row r="134" spans="1:17" s="953" customFormat="1" ht="25" customHeight="1">
      <c r="A134" s="307">
        <v>1</v>
      </c>
      <c r="B134" s="307" t="s">
        <v>4</v>
      </c>
      <c r="C134" s="1021"/>
      <c r="D134" s="1021"/>
      <c r="E134" s="1021"/>
      <c r="F134" s="1022"/>
      <c r="G134" s="1021"/>
      <c r="H134" s="1003"/>
      <c r="I134" s="1023"/>
      <c r="J134" s="270"/>
      <c r="K134" s="270"/>
      <c r="L134" s="270"/>
      <c r="M134" s="270"/>
      <c r="N134" s="270"/>
      <c r="O134" s="270"/>
      <c r="P134" s="270"/>
      <c r="Q134" s="271"/>
    </row>
    <row r="135" spans="1:17" s="953" customFormat="1" ht="25" customHeight="1">
      <c r="A135" s="262" t="s">
        <v>147</v>
      </c>
      <c r="B135" s="263" t="s">
        <v>161</v>
      </c>
      <c r="C135" s="264"/>
      <c r="D135" s="264"/>
      <c r="E135" s="264"/>
      <c r="F135" s="916"/>
      <c r="G135" s="264"/>
      <c r="H135" s="1003"/>
      <c r="I135" s="1023"/>
      <c r="J135" s="270"/>
      <c r="K135" s="270"/>
      <c r="L135" s="270"/>
      <c r="M135" s="270"/>
      <c r="N135" s="270"/>
      <c r="O135" s="270"/>
      <c r="P135" s="270"/>
      <c r="Q135" s="271"/>
    </row>
    <row r="136" spans="1:17" s="953" customFormat="1" ht="25" customHeight="1">
      <c r="A136" s="765" t="s">
        <v>226</v>
      </c>
      <c r="B136" s="929" t="s">
        <v>958</v>
      </c>
      <c r="C136" s="1024">
        <v>4</v>
      </c>
      <c r="D136" s="941">
        <v>1</v>
      </c>
      <c r="E136" s="1024">
        <v>13</v>
      </c>
      <c r="F136" s="271">
        <f t="shared" ref="F136:F149" si="25">I136+J136+K136</f>
        <v>1115.4000000000001</v>
      </c>
      <c r="G136" s="1024">
        <v>70</v>
      </c>
      <c r="H136" s="916">
        <f>C136*E136*G136</f>
        <v>3640</v>
      </c>
      <c r="I136" s="269">
        <f>IF(G136&lt;70, C136*E136*16.5*1, C136*E136*16.5*1.3)</f>
        <v>1115.4000000000001</v>
      </c>
      <c r="J136" s="270"/>
      <c r="K136" s="270"/>
      <c r="L136" s="270"/>
      <c r="M136" s="270"/>
      <c r="N136" s="270"/>
      <c r="O136" s="270"/>
      <c r="P136" s="270"/>
      <c r="Q136" s="271"/>
    </row>
    <row r="137" spans="1:17" s="953" customFormat="1" ht="25" customHeight="1">
      <c r="A137" s="766" t="s">
        <v>227</v>
      </c>
      <c r="B137" s="929" t="s">
        <v>800</v>
      </c>
      <c r="C137" s="955">
        <v>3</v>
      </c>
      <c r="D137" s="942">
        <v>1</v>
      </c>
      <c r="E137" s="955">
        <v>7</v>
      </c>
      <c r="F137" s="271">
        <f t="shared" si="25"/>
        <v>450.45</v>
      </c>
      <c r="G137" s="955">
        <v>70</v>
      </c>
      <c r="H137" s="916">
        <f t="shared" ref="H137:H146" si="26">C137*E137*G137</f>
        <v>1470</v>
      </c>
      <c r="I137" s="269">
        <f t="shared" ref="I137:I146" si="27">IF(G137&lt;70, C137*E137*16.5*1, C137*E137*16.5*1.3)</f>
        <v>450.45</v>
      </c>
      <c r="J137" s="270"/>
      <c r="K137" s="270"/>
      <c r="L137" s="270"/>
      <c r="M137" s="270"/>
      <c r="N137" s="270"/>
      <c r="O137" s="270"/>
      <c r="P137" s="270"/>
      <c r="Q137" s="271"/>
    </row>
    <row r="138" spans="1:17" s="953" customFormat="1" ht="25" customHeight="1">
      <c r="A138" s="767" t="s">
        <v>228</v>
      </c>
      <c r="B138" s="929" t="s">
        <v>959</v>
      </c>
      <c r="C138" s="955">
        <v>5</v>
      </c>
      <c r="D138" s="943">
        <v>1</v>
      </c>
      <c r="E138" s="955">
        <v>6</v>
      </c>
      <c r="F138" s="271">
        <f t="shared" si="25"/>
        <v>643.5</v>
      </c>
      <c r="G138" s="955">
        <v>70</v>
      </c>
      <c r="H138" s="916">
        <f t="shared" si="26"/>
        <v>2100</v>
      </c>
      <c r="I138" s="269">
        <f t="shared" si="27"/>
        <v>643.5</v>
      </c>
      <c r="J138" s="270"/>
      <c r="K138" s="270"/>
      <c r="L138" s="270"/>
      <c r="M138" s="270"/>
      <c r="N138" s="270"/>
      <c r="O138" s="270"/>
      <c r="P138" s="270"/>
      <c r="Q138" s="271"/>
    </row>
    <row r="139" spans="1:17" s="953" customFormat="1" ht="25" customHeight="1">
      <c r="A139" s="768" t="s">
        <v>229</v>
      </c>
      <c r="B139" s="929" t="s">
        <v>960</v>
      </c>
      <c r="C139" s="955">
        <v>2</v>
      </c>
      <c r="D139" s="944">
        <v>1</v>
      </c>
      <c r="E139" s="955">
        <v>1</v>
      </c>
      <c r="F139" s="271">
        <f t="shared" si="25"/>
        <v>33</v>
      </c>
      <c r="G139" s="955">
        <v>50</v>
      </c>
      <c r="H139" s="916">
        <f t="shared" si="26"/>
        <v>100</v>
      </c>
      <c r="I139" s="269">
        <f t="shared" si="27"/>
        <v>33</v>
      </c>
      <c r="J139" s="270"/>
      <c r="K139" s="270"/>
      <c r="L139" s="270"/>
      <c r="M139" s="270"/>
      <c r="N139" s="270"/>
      <c r="O139" s="270"/>
      <c r="P139" s="270"/>
      <c r="Q139" s="271"/>
    </row>
    <row r="140" spans="1:17" s="953" customFormat="1" ht="25" customHeight="1">
      <c r="A140" s="766" t="s">
        <v>230</v>
      </c>
      <c r="B140" s="929" t="s">
        <v>961</v>
      </c>
      <c r="C140" s="1025">
        <v>3</v>
      </c>
      <c r="D140" s="942">
        <v>1</v>
      </c>
      <c r="E140" s="1025">
        <v>1</v>
      </c>
      <c r="F140" s="271">
        <f t="shared" si="25"/>
        <v>49.5</v>
      </c>
      <c r="G140" s="1025">
        <v>40</v>
      </c>
      <c r="H140" s="916">
        <f t="shared" si="26"/>
        <v>120</v>
      </c>
      <c r="I140" s="269">
        <f t="shared" si="27"/>
        <v>49.5</v>
      </c>
      <c r="J140" s="270"/>
      <c r="K140" s="270"/>
      <c r="L140" s="270"/>
      <c r="M140" s="270"/>
      <c r="N140" s="270"/>
      <c r="O140" s="270"/>
      <c r="P140" s="270"/>
      <c r="Q140" s="271"/>
    </row>
    <row r="141" spans="1:17" s="953" customFormat="1" ht="25" customHeight="1">
      <c r="A141" s="767" t="s">
        <v>231</v>
      </c>
      <c r="B141" s="929" t="s">
        <v>962</v>
      </c>
      <c r="C141" s="1025">
        <v>2</v>
      </c>
      <c r="D141" s="942">
        <v>1</v>
      </c>
      <c r="E141" s="1025">
        <v>1</v>
      </c>
      <c r="F141" s="271">
        <f t="shared" si="25"/>
        <v>33</v>
      </c>
      <c r="G141" s="1025">
        <v>40</v>
      </c>
      <c r="H141" s="916">
        <f t="shared" si="26"/>
        <v>80</v>
      </c>
      <c r="I141" s="269">
        <f t="shared" si="27"/>
        <v>33</v>
      </c>
      <c r="J141" s="270"/>
      <c r="K141" s="270"/>
      <c r="L141" s="270"/>
      <c r="M141" s="270"/>
      <c r="N141" s="270"/>
      <c r="O141" s="270"/>
      <c r="P141" s="270"/>
      <c r="Q141" s="271"/>
    </row>
    <row r="142" spans="1:17" s="953" customFormat="1" ht="25" customHeight="1">
      <c r="A142" s="767" t="s">
        <v>282</v>
      </c>
      <c r="B142" s="929" t="s">
        <v>963</v>
      </c>
      <c r="C142" s="1025">
        <v>3</v>
      </c>
      <c r="D142" s="942">
        <v>1</v>
      </c>
      <c r="E142" s="1025">
        <v>2</v>
      </c>
      <c r="F142" s="271">
        <f t="shared" si="25"/>
        <v>99</v>
      </c>
      <c r="G142" s="1025">
        <v>40</v>
      </c>
      <c r="H142" s="916">
        <f t="shared" si="26"/>
        <v>240</v>
      </c>
      <c r="I142" s="269">
        <f t="shared" si="27"/>
        <v>99</v>
      </c>
      <c r="J142" s="270"/>
      <c r="K142" s="270"/>
      <c r="L142" s="270"/>
      <c r="M142" s="270"/>
      <c r="N142" s="270"/>
      <c r="O142" s="270"/>
      <c r="P142" s="270"/>
      <c r="Q142" s="271"/>
    </row>
    <row r="143" spans="1:17" s="953" customFormat="1" ht="25" customHeight="1">
      <c r="A143" s="769" t="s">
        <v>283</v>
      </c>
      <c r="B143" s="929" t="s">
        <v>964</v>
      </c>
      <c r="C143" s="1025">
        <v>4</v>
      </c>
      <c r="D143" s="942">
        <v>1</v>
      </c>
      <c r="E143" s="1025">
        <v>1</v>
      </c>
      <c r="F143" s="271">
        <f t="shared" si="25"/>
        <v>66</v>
      </c>
      <c r="G143" s="1025">
        <v>40</v>
      </c>
      <c r="H143" s="916">
        <f t="shared" si="26"/>
        <v>160</v>
      </c>
      <c r="I143" s="269">
        <f t="shared" si="27"/>
        <v>66</v>
      </c>
      <c r="J143" s="270"/>
      <c r="K143" s="270"/>
      <c r="L143" s="270"/>
      <c r="M143" s="270"/>
      <c r="N143" s="270"/>
      <c r="O143" s="270"/>
      <c r="P143" s="270"/>
      <c r="Q143" s="271"/>
    </row>
    <row r="144" spans="1:17" s="953" customFormat="1" ht="25" customHeight="1">
      <c r="A144" s="769" t="s">
        <v>284</v>
      </c>
      <c r="B144" s="929" t="s">
        <v>965</v>
      </c>
      <c r="C144" s="1025">
        <v>2</v>
      </c>
      <c r="D144" s="942">
        <v>1</v>
      </c>
      <c r="E144" s="1025">
        <v>1</v>
      </c>
      <c r="F144" s="271">
        <f t="shared" si="25"/>
        <v>42.9</v>
      </c>
      <c r="G144" s="1025">
        <v>80</v>
      </c>
      <c r="H144" s="916">
        <f t="shared" si="26"/>
        <v>160</v>
      </c>
      <c r="I144" s="269">
        <f t="shared" si="27"/>
        <v>42.9</v>
      </c>
      <c r="J144" s="270"/>
      <c r="K144" s="270"/>
      <c r="L144" s="270"/>
      <c r="M144" s="270"/>
      <c r="N144" s="270"/>
      <c r="O144" s="270"/>
      <c r="P144" s="270"/>
      <c r="Q144" s="271"/>
    </row>
    <row r="145" spans="1:17" s="953" customFormat="1" ht="25" customHeight="1">
      <c r="A145" s="769" t="s">
        <v>285</v>
      </c>
      <c r="B145" s="929" t="s">
        <v>966</v>
      </c>
      <c r="C145" s="1025">
        <v>2</v>
      </c>
      <c r="D145" s="942">
        <v>1</v>
      </c>
      <c r="E145" s="1025">
        <v>1</v>
      </c>
      <c r="F145" s="271">
        <f t="shared" si="25"/>
        <v>42.9</v>
      </c>
      <c r="G145" s="1025">
        <v>80</v>
      </c>
      <c r="H145" s="916">
        <f t="shared" si="26"/>
        <v>160</v>
      </c>
      <c r="I145" s="269">
        <f t="shared" si="27"/>
        <v>42.9</v>
      </c>
      <c r="J145" s="270"/>
      <c r="K145" s="270"/>
      <c r="L145" s="270"/>
      <c r="M145" s="270"/>
      <c r="N145" s="270"/>
      <c r="O145" s="270"/>
      <c r="P145" s="270"/>
      <c r="Q145" s="271"/>
    </row>
    <row r="146" spans="1:17" s="953" customFormat="1" ht="25" customHeight="1">
      <c r="A146" s="770" t="s">
        <v>289</v>
      </c>
      <c r="B146" s="977" t="s">
        <v>801</v>
      </c>
      <c r="C146" s="1026">
        <v>2</v>
      </c>
      <c r="D146" s="762">
        <v>1</v>
      </c>
      <c r="E146" s="1026">
        <v>1</v>
      </c>
      <c r="F146" s="271">
        <f t="shared" si="25"/>
        <v>42.9</v>
      </c>
      <c r="G146" s="1026">
        <v>80</v>
      </c>
      <c r="H146" s="916">
        <f t="shared" si="26"/>
        <v>160</v>
      </c>
      <c r="I146" s="269">
        <f t="shared" si="27"/>
        <v>42.9</v>
      </c>
      <c r="J146" s="1001"/>
      <c r="K146" s="1001"/>
      <c r="L146" s="1001"/>
      <c r="M146" s="1001"/>
      <c r="N146" s="1001"/>
      <c r="O146" s="1001"/>
      <c r="P146" s="1001"/>
      <c r="Q146" s="1027"/>
    </row>
    <row r="147" spans="1:17" s="953" customFormat="1" ht="25" customHeight="1">
      <c r="A147" s="770" t="s">
        <v>148</v>
      </c>
      <c r="B147" s="977"/>
      <c r="C147" s="1026"/>
      <c r="D147" s="763"/>
      <c r="E147" s="1026"/>
      <c r="F147" s="271">
        <f t="shared" si="25"/>
        <v>0</v>
      </c>
      <c r="G147" s="1026"/>
      <c r="H147" s="916">
        <f>C147*E147*G147</f>
        <v>0</v>
      </c>
      <c r="I147" s="269">
        <f>IF(G147&lt;70, C147*E147*16.5*1, C147*E147*16.5*1.3)</f>
        <v>0</v>
      </c>
      <c r="J147" s="1001"/>
      <c r="K147" s="1001"/>
      <c r="L147" s="1001"/>
      <c r="M147" s="1001"/>
      <c r="N147" s="1001"/>
      <c r="O147" s="1001"/>
      <c r="P147" s="1001"/>
      <c r="Q147" s="1027"/>
    </row>
    <row r="148" spans="1:17" s="953" customFormat="1" ht="25" customHeight="1">
      <c r="A148" s="769" t="s">
        <v>232</v>
      </c>
      <c r="B148" s="929" t="s">
        <v>967</v>
      </c>
      <c r="C148" s="1025">
        <v>1</v>
      </c>
      <c r="D148" s="943">
        <v>1.4</v>
      </c>
      <c r="E148" s="1025">
        <v>6</v>
      </c>
      <c r="F148" s="271">
        <f t="shared" si="25"/>
        <v>99</v>
      </c>
      <c r="G148" s="1026">
        <v>35</v>
      </c>
      <c r="H148" s="916">
        <f>C148*E148*G148</f>
        <v>210</v>
      </c>
      <c r="I148" s="269">
        <f>IF(G148&lt;70, C148*E148*16.5*1, C148*E148*16.5*1.3)</f>
        <v>99</v>
      </c>
      <c r="J148" s="1001"/>
      <c r="K148" s="1001"/>
      <c r="L148" s="1001"/>
      <c r="M148" s="1001"/>
      <c r="N148" s="1001"/>
      <c r="O148" s="1001"/>
      <c r="P148" s="1001"/>
      <c r="Q148" s="1027"/>
    </row>
    <row r="149" spans="1:17" s="953" customFormat="1" ht="25" customHeight="1">
      <c r="A149" s="769" t="s">
        <v>233</v>
      </c>
      <c r="B149" s="955" t="s">
        <v>968</v>
      </c>
      <c r="C149" s="1025">
        <v>1</v>
      </c>
      <c r="D149" s="943">
        <v>1.4</v>
      </c>
      <c r="E149" s="1025">
        <v>14</v>
      </c>
      <c r="F149" s="271">
        <f t="shared" si="25"/>
        <v>231</v>
      </c>
      <c r="G149" s="1026">
        <v>20</v>
      </c>
      <c r="H149" s="916">
        <f>C149*E149*G149</f>
        <v>280</v>
      </c>
      <c r="I149" s="269">
        <f>IF(G149&lt;70, C149*E149*16.5*1, C149*E149*16.5*1.3)</f>
        <v>231</v>
      </c>
      <c r="J149" s="1001"/>
      <c r="K149" s="1001"/>
      <c r="L149" s="1001"/>
      <c r="M149" s="1001"/>
      <c r="N149" s="1001"/>
      <c r="O149" s="1001"/>
      <c r="P149" s="1001"/>
      <c r="Q149" s="1027"/>
    </row>
    <row r="150" spans="1:17" s="953" customFormat="1" ht="25" customHeight="1">
      <c r="A150" s="769" t="s">
        <v>234</v>
      </c>
      <c r="B150" s="771" t="s">
        <v>155</v>
      </c>
      <c r="C150" s="763"/>
      <c r="D150" s="763"/>
      <c r="E150" s="763"/>
      <c r="F150" s="1027"/>
      <c r="G150" s="1026"/>
      <c r="H150" s="779"/>
      <c r="I150" s="1002"/>
      <c r="J150" s="1001"/>
      <c r="K150" s="1001"/>
      <c r="L150" s="1001"/>
      <c r="M150" s="1001"/>
      <c r="N150" s="1001"/>
      <c r="O150" s="1001"/>
      <c r="P150" s="1001"/>
      <c r="Q150" s="1027"/>
    </row>
    <row r="151" spans="1:17" s="953" customFormat="1" ht="25" customHeight="1">
      <c r="A151" s="769" t="s">
        <v>235</v>
      </c>
      <c r="B151" s="771" t="s">
        <v>156</v>
      </c>
      <c r="C151" s="763"/>
      <c r="D151" s="763"/>
      <c r="E151" s="763"/>
      <c r="F151" s="1027"/>
      <c r="G151" s="1026"/>
      <c r="H151" s="779"/>
      <c r="I151" s="1002"/>
      <c r="J151" s="1001"/>
      <c r="K151" s="1001"/>
      <c r="L151" s="1001"/>
      <c r="M151" s="1001"/>
      <c r="N151" s="1001"/>
      <c r="O151" s="1001"/>
      <c r="P151" s="1001"/>
      <c r="Q151" s="1027"/>
    </row>
    <row r="152" spans="1:17" s="953" customFormat="1" ht="25" customHeight="1">
      <c r="A152" s="772" t="s">
        <v>236</v>
      </c>
      <c r="B152" s="771" t="s">
        <v>157</v>
      </c>
      <c r="C152" s="764"/>
      <c r="D152" s="764"/>
      <c r="E152" s="764"/>
      <c r="F152" s="1027"/>
      <c r="G152" s="1026"/>
      <c r="H152" s="779"/>
      <c r="I152" s="1002"/>
      <c r="J152" s="1001"/>
      <c r="K152" s="1001"/>
      <c r="L152" s="1001"/>
      <c r="M152" s="1001"/>
      <c r="N152" s="1001"/>
      <c r="O152" s="1001"/>
      <c r="P152" s="1001"/>
      <c r="Q152" s="1027"/>
    </row>
    <row r="153" spans="1:17" s="953" customFormat="1" ht="25" customHeight="1">
      <c r="A153" s="969"/>
      <c r="B153" s="970" t="s">
        <v>380</v>
      </c>
      <c r="C153" s="971">
        <f t="shared" ref="C153:K153" si="28">SUM(C136:C152)</f>
        <v>34</v>
      </c>
      <c r="D153" s="971">
        <f t="shared" si="28"/>
        <v>13.8</v>
      </c>
      <c r="E153" s="971">
        <f t="shared" si="28"/>
        <v>55</v>
      </c>
      <c r="F153" s="971">
        <f t="shared" si="28"/>
        <v>2948.5500000000006</v>
      </c>
      <c r="G153" s="971">
        <f t="shared" si="28"/>
        <v>715</v>
      </c>
      <c r="H153" s="971">
        <f t="shared" si="28"/>
        <v>8880</v>
      </c>
      <c r="I153" s="971">
        <f t="shared" si="28"/>
        <v>2948.5500000000006</v>
      </c>
      <c r="J153" s="971">
        <f t="shared" si="28"/>
        <v>0</v>
      </c>
      <c r="K153" s="971">
        <f t="shared" si="28"/>
        <v>0</v>
      </c>
      <c r="L153" s="270"/>
      <c r="M153" s="270"/>
      <c r="N153" s="270"/>
      <c r="O153" s="270"/>
      <c r="P153" s="270"/>
      <c r="Q153" s="271"/>
    </row>
    <row r="154" spans="1:17" s="953" customFormat="1" ht="25" customHeight="1">
      <c r="A154" s="1028">
        <v>2</v>
      </c>
      <c r="B154" s="1028" t="s">
        <v>164</v>
      </c>
      <c r="C154" s="779"/>
      <c r="D154" s="779"/>
      <c r="E154" s="779"/>
      <c r="F154" s="271"/>
      <c r="G154" s="779"/>
      <c r="H154" s="916"/>
      <c r="I154" s="269"/>
      <c r="J154" s="270"/>
      <c r="K154" s="270"/>
      <c r="L154" s="270"/>
      <c r="M154" s="270"/>
      <c r="N154" s="270"/>
      <c r="O154" s="270"/>
      <c r="P154" s="270"/>
      <c r="Q154" s="271"/>
    </row>
    <row r="155" spans="1:17" s="953" customFormat="1" ht="25" customHeight="1">
      <c r="A155" s="975" t="s">
        <v>147</v>
      </c>
      <c r="B155" s="976" t="s">
        <v>165</v>
      </c>
      <c r="C155" s="779"/>
      <c r="D155" s="779"/>
      <c r="E155" s="779"/>
      <c r="F155" s="271"/>
      <c r="G155" s="779"/>
      <c r="H155" s="916"/>
      <c r="I155" s="269"/>
      <c r="J155" s="270"/>
      <c r="K155" s="270"/>
      <c r="L155" s="270"/>
      <c r="M155" s="270"/>
      <c r="N155" s="270"/>
      <c r="O155" s="270"/>
      <c r="P155" s="270"/>
      <c r="Q155" s="271"/>
    </row>
    <row r="156" spans="1:17" s="953" customFormat="1" ht="25" customHeight="1">
      <c r="A156" s="954" t="s">
        <v>226</v>
      </c>
      <c r="B156" s="977" t="s">
        <v>415</v>
      </c>
      <c r="C156" s="966">
        <v>3</v>
      </c>
      <c r="D156" s="1029">
        <v>1</v>
      </c>
      <c r="E156" s="1026">
        <v>6</v>
      </c>
      <c r="F156" s="1003">
        <f>(I156+J156+K156)</f>
        <v>207.89999999999998</v>
      </c>
      <c r="G156" s="966">
        <v>15</v>
      </c>
      <c r="H156" s="916">
        <f t="shared" ref="H156:H162" si="29">C156*E156*G156</f>
        <v>270</v>
      </c>
      <c r="I156" s="269">
        <f>C156*E156*16.5*0.7</f>
        <v>207.89999999999998</v>
      </c>
      <c r="J156" s="270"/>
      <c r="K156" s="270"/>
      <c r="L156" s="270"/>
      <c r="M156" s="270"/>
      <c r="N156" s="270"/>
      <c r="O156" s="270"/>
      <c r="P156" s="270"/>
      <c r="Q156" s="271"/>
    </row>
    <row r="157" spans="1:17" s="953" customFormat="1" ht="25" customHeight="1">
      <c r="A157" s="954" t="s">
        <v>227</v>
      </c>
      <c r="B157" s="977" t="s">
        <v>416</v>
      </c>
      <c r="C157" s="966">
        <v>3</v>
      </c>
      <c r="D157" s="1029">
        <v>1</v>
      </c>
      <c r="E157" s="1026">
        <v>2</v>
      </c>
      <c r="F157" s="1003">
        <f t="shared" ref="F157:F162" si="30">(I157+J157+K157)</f>
        <v>69.3</v>
      </c>
      <c r="G157" s="966">
        <v>10</v>
      </c>
      <c r="H157" s="916">
        <f t="shared" si="29"/>
        <v>60</v>
      </c>
      <c r="I157" s="269">
        <f t="shared" ref="I157:I162" si="31">C157*E157*16.5*0.7</f>
        <v>69.3</v>
      </c>
      <c r="J157" s="270"/>
      <c r="K157" s="270"/>
      <c r="L157" s="270"/>
      <c r="M157" s="270"/>
      <c r="N157" s="270"/>
      <c r="O157" s="270"/>
      <c r="P157" s="270"/>
      <c r="Q157" s="271"/>
    </row>
    <row r="158" spans="1:17" s="953" customFormat="1" ht="25" customHeight="1">
      <c r="A158" s="954" t="s">
        <v>228</v>
      </c>
      <c r="B158" s="1030" t="s">
        <v>417</v>
      </c>
      <c r="C158" s="966">
        <v>3</v>
      </c>
      <c r="D158" s="1029">
        <v>1</v>
      </c>
      <c r="E158" s="1026">
        <v>2</v>
      </c>
      <c r="F158" s="1003">
        <f t="shared" si="30"/>
        <v>69.3</v>
      </c>
      <c r="G158" s="966">
        <v>10</v>
      </c>
      <c r="H158" s="916">
        <f t="shared" si="29"/>
        <v>60</v>
      </c>
      <c r="I158" s="269">
        <f t="shared" si="31"/>
        <v>69.3</v>
      </c>
      <c r="J158" s="270"/>
      <c r="K158" s="270"/>
      <c r="L158" s="270"/>
      <c r="M158" s="270"/>
      <c r="N158" s="270"/>
      <c r="O158" s="270"/>
      <c r="P158" s="270"/>
      <c r="Q158" s="271"/>
    </row>
    <row r="159" spans="1:17" s="953" customFormat="1" ht="25" customHeight="1">
      <c r="A159" s="954" t="s">
        <v>229</v>
      </c>
      <c r="B159" s="977" t="s">
        <v>418</v>
      </c>
      <c r="C159" s="966">
        <v>3</v>
      </c>
      <c r="D159" s="1029">
        <v>1</v>
      </c>
      <c r="E159" s="1026">
        <v>1</v>
      </c>
      <c r="F159" s="1003">
        <f t="shared" si="30"/>
        <v>34.65</v>
      </c>
      <c r="G159" s="966">
        <v>10</v>
      </c>
      <c r="H159" s="916">
        <f t="shared" si="29"/>
        <v>30</v>
      </c>
      <c r="I159" s="269">
        <f t="shared" si="31"/>
        <v>34.65</v>
      </c>
      <c r="J159" s="270"/>
      <c r="K159" s="270"/>
      <c r="L159" s="270"/>
      <c r="M159" s="270"/>
      <c r="N159" s="270"/>
      <c r="O159" s="270"/>
      <c r="P159" s="270"/>
      <c r="Q159" s="271"/>
    </row>
    <row r="160" spans="1:17" s="953" customFormat="1" ht="25" customHeight="1">
      <c r="A160" s="954" t="s">
        <v>230</v>
      </c>
      <c r="B160" s="978" t="s">
        <v>419</v>
      </c>
      <c r="C160" s="966">
        <v>3</v>
      </c>
      <c r="D160" s="1029">
        <v>1</v>
      </c>
      <c r="E160" s="1026">
        <v>6</v>
      </c>
      <c r="F160" s="1003">
        <f t="shared" si="30"/>
        <v>207.89999999999998</v>
      </c>
      <c r="G160" s="966">
        <v>15</v>
      </c>
      <c r="H160" s="916">
        <f t="shared" si="29"/>
        <v>270</v>
      </c>
      <c r="I160" s="269">
        <f t="shared" si="31"/>
        <v>207.89999999999998</v>
      </c>
      <c r="J160" s="270"/>
      <c r="K160" s="270"/>
      <c r="L160" s="270"/>
      <c r="M160" s="270"/>
      <c r="N160" s="270"/>
      <c r="O160" s="270"/>
      <c r="P160" s="270"/>
      <c r="Q160" s="271"/>
    </row>
    <row r="161" spans="1:17" s="953" customFormat="1" ht="25" customHeight="1">
      <c r="A161" s="954" t="s">
        <v>231</v>
      </c>
      <c r="B161" s="978" t="s">
        <v>420</v>
      </c>
      <c r="C161" s="966">
        <v>3</v>
      </c>
      <c r="D161" s="1029">
        <v>1</v>
      </c>
      <c r="E161" s="1026">
        <v>1</v>
      </c>
      <c r="F161" s="1003">
        <f t="shared" si="30"/>
        <v>34.65</v>
      </c>
      <c r="G161" s="966">
        <v>10</v>
      </c>
      <c r="H161" s="916">
        <f t="shared" si="29"/>
        <v>30</v>
      </c>
      <c r="I161" s="269">
        <f t="shared" si="31"/>
        <v>34.65</v>
      </c>
      <c r="J161" s="270"/>
      <c r="K161" s="270"/>
      <c r="L161" s="270"/>
      <c r="M161" s="270"/>
      <c r="N161" s="270"/>
      <c r="O161" s="270"/>
      <c r="P161" s="270"/>
      <c r="Q161" s="271"/>
    </row>
    <row r="162" spans="1:17" s="953" customFormat="1" ht="25" customHeight="1">
      <c r="A162" s="954" t="s">
        <v>282</v>
      </c>
      <c r="B162" s="978" t="s">
        <v>421</v>
      </c>
      <c r="C162" s="966">
        <v>3</v>
      </c>
      <c r="D162" s="1029">
        <v>1</v>
      </c>
      <c r="E162" s="1026">
        <v>6</v>
      </c>
      <c r="F162" s="1003">
        <f t="shared" si="30"/>
        <v>207.89999999999998</v>
      </c>
      <c r="G162" s="966">
        <v>15</v>
      </c>
      <c r="H162" s="916">
        <f t="shared" si="29"/>
        <v>270</v>
      </c>
      <c r="I162" s="269">
        <f t="shared" si="31"/>
        <v>207.89999999999998</v>
      </c>
      <c r="J162" s="270"/>
      <c r="K162" s="270"/>
      <c r="L162" s="270"/>
      <c r="M162" s="270"/>
      <c r="N162" s="270"/>
      <c r="O162" s="270"/>
      <c r="P162" s="270"/>
      <c r="Q162" s="271"/>
    </row>
    <row r="163" spans="1:17" s="953" customFormat="1" ht="25" customHeight="1">
      <c r="A163" s="969"/>
      <c r="B163" s="1031" t="s">
        <v>380</v>
      </c>
      <c r="C163" s="971">
        <f>SUM(C156:C162)</f>
        <v>21</v>
      </c>
      <c r="D163" s="971">
        <f t="shared" ref="D163:K163" si="32">SUM(D156:D162)</f>
        <v>7</v>
      </c>
      <c r="E163" s="971">
        <f t="shared" si="32"/>
        <v>24</v>
      </c>
      <c r="F163" s="971">
        <f>SUM(F156:F162)</f>
        <v>831.59999999999991</v>
      </c>
      <c r="G163" s="971">
        <f t="shared" si="32"/>
        <v>85</v>
      </c>
      <c r="H163" s="971">
        <f t="shared" si="32"/>
        <v>990</v>
      </c>
      <c r="I163" s="971">
        <f t="shared" si="32"/>
        <v>831.59999999999991</v>
      </c>
      <c r="J163" s="971">
        <f t="shared" si="32"/>
        <v>0</v>
      </c>
      <c r="K163" s="971">
        <f t="shared" si="32"/>
        <v>0</v>
      </c>
      <c r="L163" s="270"/>
      <c r="M163" s="270"/>
      <c r="N163" s="270"/>
      <c r="O163" s="270"/>
      <c r="P163" s="270"/>
      <c r="Q163" s="271"/>
    </row>
    <row r="164" spans="1:17" s="953" customFormat="1" ht="25" customHeight="1">
      <c r="A164" s="1028" t="s">
        <v>8</v>
      </c>
      <c r="B164" s="1028" t="s">
        <v>224</v>
      </c>
      <c r="C164" s="779"/>
      <c r="D164" s="779"/>
      <c r="E164" s="779"/>
      <c r="F164" s="271"/>
      <c r="G164" s="779"/>
      <c r="H164" s="916"/>
      <c r="I164" s="269"/>
      <c r="J164" s="270"/>
      <c r="K164" s="270"/>
      <c r="L164" s="270"/>
      <c r="M164" s="270"/>
      <c r="N164" s="270"/>
      <c r="O164" s="270"/>
      <c r="P164" s="270"/>
      <c r="Q164" s="271"/>
    </row>
    <row r="165" spans="1:17" s="953" customFormat="1" ht="25" customHeight="1">
      <c r="A165" s="1028">
        <v>1</v>
      </c>
      <c r="B165" s="976" t="s">
        <v>225</v>
      </c>
      <c r="C165" s="779"/>
      <c r="D165" s="779"/>
      <c r="E165" s="779"/>
      <c r="F165" s="271"/>
      <c r="G165" s="779"/>
      <c r="H165" s="916"/>
      <c r="I165" s="269"/>
      <c r="J165" s="270"/>
      <c r="K165" s="270"/>
      <c r="L165" s="270"/>
      <c r="M165" s="270"/>
      <c r="N165" s="270"/>
      <c r="O165" s="270"/>
      <c r="P165" s="270"/>
      <c r="Q165" s="271"/>
    </row>
    <row r="166" spans="1:17" s="953" customFormat="1" ht="25" customHeight="1">
      <c r="A166" s="1028" t="s">
        <v>147</v>
      </c>
      <c r="B166" s="976" t="s">
        <v>163</v>
      </c>
      <c r="C166" s="779"/>
      <c r="D166" s="779"/>
      <c r="E166" s="779"/>
      <c r="F166" s="1003"/>
      <c r="G166" s="779"/>
      <c r="H166" s="1032"/>
      <c r="I166" s="1032"/>
      <c r="J166" s="270"/>
      <c r="K166" s="270"/>
      <c r="L166" s="270"/>
      <c r="M166" s="270"/>
      <c r="N166" s="270"/>
      <c r="O166" s="270"/>
      <c r="P166" s="270"/>
      <c r="Q166" s="271"/>
    </row>
    <row r="167" spans="1:17" s="953" customFormat="1" ht="25" customHeight="1">
      <c r="A167" s="967" t="s">
        <v>226</v>
      </c>
      <c r="B167" s="929" t="s">
        <v>969</v>
      </c>
      <c r="C167" s="1025">
        <v>5</v>
      </c>
      <c r="D167" s="919">
        <v>1</v>
      </c>
      <c r="E167" s="700">
        <v>10</v>
      </c>
      <c r="F167" s="1003">
        <f>I167+J167+K167</f>
        <v>1237.5</v>
      </c>
      <c r="G167" s="773">
        <v>40</v>
      </c>
      <c r="H167" s="916">
        <f>C167*E167*G167</f>
        <v>2000</v>
      </c>
      <c r="I167" s="269">
        <f>IF(G167&lt;70, C167*E167*16.5*1.5, C167*E167*16.5*1.3*1.5)</f>
        <v>1237.5</v>
      </c>
      <c r="J167" s="270"/>
      <c r="K167" s="270"/>
      <c r="L167" s="270"/>
      <c r="M167" s="270"/>
      <c r="N167" s="270"/>
      <c r="O167" s="270"/>
      <c r="P167" s="270"/>
      <c r="Q167" s="271"/>
    </row>
    <row r="168" spans="1:17" s="953" customFormat="1" ht="25" customHeight="1">
      <c r="A168" s="967" t="s">
        <v>227</v>
      </c>
      <c r="B168" s="929" t="s">
        <v>970</v>
      </c>
      <c r="C168" s="1025">
        <v>5</v>
      </c>
      <c r="D168" s="919">
        <v>1</v>
      </c>
      <c r="E168" s="700">
        <v>9</v>
      </c>
      <c r="F168" s="1003">
        <f>I168+J168+K168</f>
        <v>1113.75</v>
      </c>
      <c r="G168" s="773">
        <v>40</v>
      </c>
      <c r="H168" s="916">
        <f>C168*E168*G168</f>
        <v>1800</v>
      </c>
      <c r="I168" s="269">
        <f>IF(G168&lt;70, C168*E168*16.5*1.5, C168*E168*16.5*1.3*1.5)</f>
        <v>1113.75</v>
      </c>
      <c r="J168" s="270"/>
      <c r="K168" s="270"/>
      <c r="L168" s="270"/>
      <c r="M168" s="270"/>
      <c r="N168" s="270"/>
      <c r="O168" s="270"/>
      <c r="P168" s="270"/>
      <c r="Q168" s="271"/>
    </row>
    <row r="169" spans="1:17" s="953" customFormat="1" ht="25" customHeight="1">
      <c r="A169" s="969"/>
      <c r="B169" s="970" t="s">
        <v>380</v>
      </c>
      <c r="C169" s="971">
        <f>SUM(C167:C168)</f>
        <v>10</v>
      </c>
      <c r="D169" s="971">
        <f t="shared" ref="D169:K169" si="33">SUM(D167:D168)</f>
        <v>2</v>
      </c>
      <c r="E169" s="971">
        <f t="shared" si="33"/>
        <v>19</v>
      </c>
      <c r="F169" s="971">
        <f t="shared" si="33"/>
        <v>2351.25</v>
      </c>
      <c r="G169" s="971">
        <f t="shared" si="33"/>
        <v>80</v>
      </c>
      <c r="H169" s="971">
        <f t="shared" si="33"/>
        <v>3800</v>
      </c>
      <c r="I169" s="971">
        <f t="shared" si="33"/>
        <v>2351.25</v>
      </c>
      <c r="J169" s="971">
        <f t="shared" si="33"/>
        <v>0</v>
      </c>
      <c r="K169" s="971">
        <f t="shared" si="33"/>
        <v>0</v>
      </c>
      <c r="L169" s="270"/>
      <c r="M169" s="270"/>
      <c r="N169" s="270"/>
      <c r="O169" s="270"/>
      <c r="P169" s="270"/>
      <c r="Q169" s="271"/>
    </row>
    <row r="170" spans="1:17" s="953" customFormat="1" ht="25" customHeight="1">
      <c r="A170" s="1033"/>
      <c r="B170" s="404" t="s">
        <v>424</v>
      </c>
      <c r="C170" s="400">
        <f>C153+C163+C169</f>
        <v>65</v>
      </c>
      <c r="D170" s="400">
        <f t="shared" ref="D170:K170" si="34">D153+D163+D169</f>
        <v>22.8</v>
      </c>
      <c r="E170" s="400">
        <f t="shared" si="34"/>
        <v>98</v>
      </c>
      <c r="F170" s="400">
        <f t="shared" si="34"/>
        <v>6131.4000000000005</v>
      </c>
      <c r="G170" s="400">
        <f t="shared" si="34"/>
        <v>880</v>
      </c>
      <c r="H170" s="400">
        <f t="shared" si="34"/>
        <v>13670</v>
      </c>
      <c r="I170" s="400">
        <f t="shared" si="34"/>
        <v>6131.4000000000005</v>
      </c>
      <c r="J170" s="400">
        <f t="shared" si="34"/>
        <v>0</v>
      </c>
      <c r="K170" s="400">
        <f t="shared" si="34"/>
        <v>0</v>
      </c>
      <c r="L170" s="280">
        <f>'Bieu3 TLH'!F22</f>
        <v>1620</v>
      </c>
      <c r="M170" s="280">
        <f>'Bieu3 TLH'!N22</f>
        <v>1498.5</v>
      </c>
      <c r="N170" s="280">
        <f>I170-M170</f>
        <v>4632.9000000000005</v>
      </c>
      <c r="O170" s="280">
        <f>'Bieu3 TLH'!O22</f>
        <v>1163.25</v>
      </c>
      <c r="P170" s="280">
        <f>'Bieu3 TLH'!P22</f>
        <v>590</v>
      </c>
      <c r="Q170" s="1034" t="s">
        <v>704</v>
      </c>
    </row>
    <row r="171" spans="1:17" s="953" customFormat="1" ht="25" customHeight="1">
      <c r="A171" s="307" t="s">
        <v>431</v>
      </c>
      <c r="B171" s="1020" t="s">
        <v>432</v>
      </c>
      <c r="C171" s="1021"/>
      <c r="D171" s="1021"/>
      <c r="E171" s="1021"/>
      <c r="F171" s="1022"/>
      <c r="G171" s="1021"/>
      <c r="H171" s="1021"/>
      <c r="I171" s="1021"/>
      <c r="J171" s="270"/>
      <c r="K171" s="270"/>
      <c r="L171" s="270"/>
      <c r="M171" s="270"/>
      <c r="N171" s="270"/>
      <c r="O171" s="270"/>
      <c r="P171" s="270"/>
      <c r="Q171" s="271"/>
    </row>
    <row r="172" spans="1:17" s="953" customFormat="1" ht="25" customHeight="1">
      <c r="A172" s="307" t="s">
        <v>7</v>
      </c>
      <c r="B172" s="307" t="s">
        <v>223</v>
      </c>
      <c r="C172" s="1021"/>
      <c r="D172" s="1021"/>
      <c r="E172" s="1021"/>
      <c r="F172" s="1022"/>
      <c r="G172" s="1021"/>
      <c r="H172" s="1021"/>
      <c r="I172" s="1021"/>
      <c r="J172" s="270"/>
      <c r="K172" s="270"/>
      <c r="L172" s="270"/>
      <c r="M172" s="270"/>
      <c r="N172" s="270"/>
      <c r="O172" s="270"/>
      <c r="P172" s="270"/>
      <c r="Q172" s="271"/>
    </row>
    <row r="173" spans="1:17" s="953" customFormat="1" ht="25" customHeight="1">
      <c r="A173" s="307">
        <v>1</v>
      </c>
      <c r="B173" s="307" t="s">
        <v>4</v>
      </c>
      <c r="C173" s="1021"/>
      <c r="D173" s="1021"/>
      <c r="E173" s="1021"/>
      <c r="F173" s="1022"/>
      <c r="G173" s="1021"/>
      <c r="H173" s="1021"/>
      <c r="I173" s="1021"/>
      <c r="J173" s="270"/>
      <c r="K173" s="270"/>
      <c r="L173" s="270"/>
      <c r="M173" s="270"/>
      <c r="N173" s="270"/>
      <c r="O173" s="270"/>
      <c r="P173" s="270"/>
      <c r="Q173" s="271"/>
    </row>
    <row r="174" spans="1:17" s="953" customFormat="1" ht="25" customHeight="1">
      <c r="A174" s="954" t="s">
        <v>226</v>
      </c>
      <c r="B174" s="977" t="s">
        <v>689</v>
      </c>
      <c r="C174" s="1002">
        <v>4</v>
      </c>
      <c r="D174" s="1002">
        <v>1</v>
      </c>
      <c r="E174" s="1002">
        <v>10</v>
      </c>
      <c r="F174" s="271">
        <f t="shared" ref="F174:F182" si="35">I174+J174+K174</f>
        <v>858</v>
      </c>
      <c r="G174" s="1002">
        <v>70</v>
      </c>
      <c r="H174" s="916">
        <f t="shared" ref="H174:H182" si="36">C174*E174*G174</f>
        <v>2800</v>
      </c>
      <c r="I174" s="269">
        <f t="shared" ref="I174:I182" si="37">IF(G174&lt;70, C174*E174*16.5*1, C174*E174*16.5*1.3)</f>
        <v>858</v>
      </c>
      <c r="J174" s="270"/>
      <c r="K174" s="270"/>
      <c r="L174" s="270"/>
      <c r="M174" s="270"/>
      <c r="N174" s="270"/>
      <c r="O174" s="270"/>
      <c r="P174" s="270"/>
      <c r="Q174" s="271"/>
    </row>
    <row r="175" spans="1:17" s="953" customFormat="1" ht="25" customHeight="1">
      <c r="A175" s="954" t="s">
        <v>227</v>
      </c>
      <c r="B175" s="977" t="s">
        <v>690</v>
      </c>
      <c r="C175" s="779">
        <v>3</v>
      </c>
      <c r="D175" s="779">
        <v>1</v>
      </c>
      <c r="E175" s="779">
        <v>4</v>
      </c>
      <c r="F175" s="271">
        <f t="shared" si="35"/>
        <v>257.40000000000003</v>
      </c>
      <c r="G175" s="779">
        <v>70</v>
      </c>
      <c r="H175" s="916">
        <f t="shared" si="36"/>
        <v>840</v>
      </c>
      <c r="I175" s="269">
        <f t="shared" si="37"/>
        <v>257.40000000000003</v>
      </c>
      <c r="J175" s="270"/>
      <c r="K175" s="270"/>
      <c r="L175" s="270"/>
      <c r="M175" s="270"/>
      <c r="N175" s="270"/>
      <c r="O175" s="270"/>
      <c r="P175" s="270"/>
      <c r="Q175" s="271"/>
    </row>
    <row r="176" spans="1:17" s="953" customFormat="1" ht="25" customHeight="1">
      <c r="A176" s="954" t="s">
        <v>228</v>
      </c>
      <c r="B176" s="1030" t="s">
        <v>426</v>
      </c>
      <c r="C176" s="779">
        <v>3</v>
      </c>
      <c r="D176" s="779">
        <v>1</v>
      </c>
      <c r="E176" s="779">
        <v>3</v>
      </c>
      <c r="F176" s="271">
        <f t="shared" si="35"/>
        <v>193.05</v>
      </c>
      <c r="G176" s="779">
        <v>70</v>
      </c>
      <c r="H176" s="916">
        <f t="shared" si="36"/>
        <v>630</v>
      </c>
      <c r="I176" s="269">
        <f t="shared" si="37"/>
        <v>193.05</v>
      </c>
      <c r="J176" s="270"/>
      <c r="K176" s="270"/>
      <c r="L176" s="270"/>
      <c r="M176" s="270"/>
      <c r="N176" s="270"/>
      <c r="O176" s="270"/>
      <c r="P176" s="270"/>
      <c r="Q176" s="271"/>
    </row>
    <row r="177" spans="1:17" s="953" customFormat="1" ht="25" customHeight="1">
      <c r="A177" s="954" t="s">
        <v>229</v>
      </c>
      <c r="B177" s="1030" t="s">
        <v>427</v>
      </c>
      <c r="C177" s="779">
        <v>4</v>
      </c>
      <c r="D177" s="779">
        <v>1</v>
      </c>
      <c r="E177" s="779">
        <v>3</v>
      </c>
      <c r="F177" s="271">
        <f t="shared" si="35"/>
        <v>257.40000000000003</v>
      </c>
      <c r="G177" s="779">
        <v>70</v>
      </c>
      <c r="H177" s="916">
        <f t="shared" si="36"/>
        <v>840</v>
      </c>
      <c r="I177" s="269">
        <f t="shared" si="37"/>
        <v>257.40000000000003</v>
      </c>
      <c r="J177" s="270"/>
      <c r="K177" s="270"/>
      <c r="L177" s="270"/>
      <c r="M177" s="270"/>
      <c r="N177" s="270"/>
      <c r="O177" s="270"/>
      <c r="P177" s="270"/>
      <c r="Q177" s="271"/>
    </row>
    <row r="178" spans="1:17" s="953" customFormat="1" ht="25" customHeight="1">
      <c r="A178" s="954" t="s">
        <v>230</v>
      </c>
      <c r="B178" s="1030" t="s">
        <v>428</v>
      </c>
      <c r="C178" s="779">
        <v>4</v>
      </c>
      <c r="D178" s="779">
        <v>1</v>
      </c>
      <c r="E178" s="779">
        <v>4</v>
      </c>
      <c r="F178" s="271">
        <f t="shared" si="35"/>
        <v>343.2</v>
      </c>
      <c r="G178" s="779">
        <v>70</v>
      </c>
      <c r="H178" s="916">
        <f t="shared" si="36"/>
        <v>1120</v>
      </c>
      <c r="I178" s="269">
        <f t="shared" si="37"/>
        <v>343.2</v>
      </c>
      <c r="J178" s="270"/>
      <c r="K178" s="270"/>
      <c r="L178" s="270"/>
      <c r="M178" s="270"/>
      <c r="N178" s="270"/>
      <c r="O178" s="270"/>
      <c r="P178" s="270"/>
      <c r="Q178" s="271"/>
    </row>
    <row r="179" spans="1:17" s="953" customFormat="1" ht="25" customHeight="1">
      <c r="A179" s="954" t="s">
        <v>231</v>
      </c>
      <c r="B179" s="978" t="s">
        <v>429</v>
      </c>
      <c r="C179" s="779">
        <v>4</v>
      </c>
      <c r="D179" s="779">
        <v>1</v>
      </c>
      <c r="E179" s="779">
        <v>1</v>
      </c>
      <c r="F179" s="271">
        <f t="shared" si="35"/>
        <v>85.8</v>
      </c>
      <c r="G179" s="779">
        <v>70</v>
      </c>
      <c r="H179" s="916">
        <f t="shared" si="36"/>
        <v>280</v>
      </c>
      <c r="I179" s="269">
        <f t="shared" si="37"/>
        <v>85.8</v>
      </c>
      <c r="J179" s="270"/>
      <c r="K179" s="270"/>
      <c r="L179" s="270"/>
      <c r="M179" s="270"/>
      <c r="N179" s="270"/>
      <c r="O179" s="270"/>
      <c r="P179" s="270"/>
      <c r="Q179" s="271"/>
    </row>
    <row r="180" spans="1:17" s="953" customFormat="1" ht="25" customHeight="1">
      <c r="A180" s="954" t="s">
        <v>691</v>
      </c>
      <c r="B180" s="978" t="s">
        <v>692</v>
      </c>
      <c r="C180" s="779">
        <v>2</v>
      </c>
      <c r="D180" s="779">
        <v>1</v>
      </c>
      <c r="E180" s="779">
        <v>4</v>
      </c>
      <c r="F180" s="271">
        <f t="shared" si="35"/>
        <v>171.6</v>
      </c>
      <c r="G180" s="779">
        <v>70</v>
      </c>
      <c r="H180" s="916">
        <f t="shared" si="36"/>
        <v>560</v>
      </c>
      <c r="I180" s="269">
        <f t="shared" si="37"/>
        <v>171.6</v>
      </c>
      <c r="J180" s="270"/>
      <c r="K180" s="270"/>
      <c r="L180" s="270"/>
      <c r="M180" s="270"/>
      <c r="N180" s="270"/>
      <c r="O180" s="270"/>
      <c r="P180" s="270"/>
      <c r="Q180" s="271"/>
    </row>
    <row r="181" spans="1:17" s="953" customFormat="1" ht="25" customHeight="1">
      <c r="A181" s="954" t="s">
        <v>693</v>
      </c>
      <c r="B181" s="978" t="s">
        <v>694</v>
      </c>
      <c r="C181" s="779">
        <v>2</v>
      </c>
      <c r="D181" s="779">
        <v>1</v>
      </c>
      <c r="E181" s="779">
        <v>10</v>
      </c>
      <c r="F181" s="271">
        <f t="shared" si="35"/>
        <v>429</v>
      </c>
      <c r="G181" s="779">
        <v>70</v>
      </c>
      <c r="H181" s="916">
        <f t="shared" si="36"/>
        <v>1400</v>
      </c>
      <c r="I181" s="269">
        <f t="shared" si="37"/>
        <v>429</v>
      </c>
      <c r="J181" s="270"/>
      <c r="K181" s="270"/>
      <c r="L181" s="270"/>
      <c r="M181" s="270"/>
      <c r="N181" s="270"/>
      <c r="O181" s="270"/>
      <c r="P181" s="270"/>
      <c r="Q181" s="271"/>
    </row>
    <row r="182" spans="1:17" s="953" customFormat="1" ht="25" customHeight="1">
      <c r="A182" s="954" t="s">
        <v>282</v>
      </c>
      <c r="B182" s="978" t="s">
        <v>430</v>
      </c>
      <c r="C182" s="779">
        <v>3</v>
      </c>
      <c r="D182" s="779">
        <v>1</v>
      </c>
      <c r="E182" s="779">
        <v>4</v>
      </c>
      <c r="F182" s="271">
        <f t="shared" si="35"/>
        <v>257.40000000000003</v>
      </c>
      <c r="G182" s="779">
        <v>70</v>
      </c>
      <c r="H182" s="916">
        <f t="shared" si="36"/>
        <v>840</v>
      </c>
      <c r="I182" s="269">
        <f t="shared" si="37"/>
        <v>257.40000000000003</v>
      </c>
      <c r="J182" s="270"/>
      <c r="K182" s="270"/>
      <c r="L182" s="270"/>
      <c r="M182" s="270"/>
      <c r="N182" s="270"/>
      <c r="O182" s="270"/>
      <c r="P182" s="270"/>
      <c r="Q182" s="271"/>
    </row>
    <row r="183" spans="1:17" s="953" customFormat="1" ht="25" customHeight="1">
      <c r="A183" s="969"/>
      <c r="B183" s="970" t="s">
        <v>380</v>
      </c>
      <c r="C183" s="971">
        <f>SUM(C174:C182)</f>
        <v>29</v>
      </c>
      <c r="D183" s="971">
        <f t="shared" ref="D183:K183" si="38">SUM(D174:D182)</f>
        <v>9</v>
      </c>
      <c r="E183" s="971">
        <f t="shared" si="38"/>
        <v>43</v>
      </c>
      <c r="F183" s="971">
        <f t="shared" si="38"/>
        <v>2852.8500000000004</v>
      </c>
      <c r="G183" s="971">
        <f t="shared" si="38"/>
        <v>630</v>
      </c>
      <c r="H183" s="971">
        <f t="shared" si="38"/>
        <v>9310</v>
      </c>
      <c r="I183" s="971">
        <f>SUM(I174:I182)</f>
        <v>2852.8500000000004</v>
      </c>
      <c r="J183" s="971">
        <f t="shared" si="38"/>
        <v>0</v>
      </c>
      <c r="K183" s="971">
        <f t="shared" si="38"/>
        <v>0</v>
      </c>
      <c r="L183" s="270"/>
      <c r="M183" s="270"/>
      <c r="N183" s="270"/>
      <c r="O183" s="270"/>
      <c r="P183" s="270"/>
      <c r="Q183" s="271"/>
    </row>
    <row r="184" spans="1:17" s="953" customFormat="1" ht="25" customHeight="1">
      <c r="A184" s="964" t="s">
        <v>148</v>
      </c>
      <c r="B184" s="1035" t="s">
        <v>151</v>
      </c>
      <c r="C184" s="779"/>
      <c r="D184" s="779"/>
      <c r="E184" s="779"/>
      <c r="F184" s="916"/>
      <c r="G184" s="779"/>
      <c r="H184" s="916"/>
      <c r="I184" s="270"/>
      <c r="J184" s="270"/>
      <c r="K184" s="270"/>
      <c r="L184" s="270"/>
      <c r="M184" s="270"/>
      <c r="N184" s="270"/>
      <c r="O184" s="270"/>
      <c r="P184" s="270"/>
      <c r="Q184" s="271"/>
    </row>
    <row r="185" spans="1:17" s="953" customFormat="1" ht="25" customHeight="1">
      <c r="A185" s="967" t="s">
        <v>232</v>
      </c>
      <c r="B185" s="954" t="s">
        <v>154</v>
      </c>
      <c r="C185" s="779"/>
      <c r="D185" s="779"/>
      <c r="E185" s="779"/>
      <c r="F185" s="916"/>
      <c r="G185" s="779"/>
      <c r="H185" s="916"/>
      <c r="I185" s="270"/>
      <c r="J185" s="270"/>
      <c r="K185" s="270"/>
      <c r="L185" s="270"/>
      <c r="M185" s="270"/>
      <c r="N185" s="270"/>
      <c r="O185" s="270"/>
      <c r="P185" s="270"/>
      <c r="Q185" s="271"/>
    </row>
    <row r="186" spans="1:17" s="953" customFormat="1" ht="25" customHeight="1">
      <c r="A186" s="967" t="s">
        <v>233</v>
      </c>
      <c r="B186" s="954" t="s">
        <v>153</v>
      </c>
      <c r="C186" s="779"/>
      <c r="D186" s="779"/>
      <c r="E186" s="779"/>
      <c r="F186" s="916"/>
      <c r="G186" s="779"/>
      <c r="H186" s="916"/>
      <c r="I186" s="270"/>
      <c r="J186" s="270"/>
      <c r="K186" s="270"/>
      <c r="L186" s="270"/>
      <c r="M186" s="270"/>
      <c r="N186" s="270"/>
      <c r="O186" s="270"/>
      <c r="P186" s="270"/>
      <c r="Q186" s="271"/>
    </row>
    <row r="187" spans="1:17" s="953" customFormat="1" ht="25" customHeight="1">
      <c r="A187" s="967" t="s">
        <v>234</v>
      </c>
      <c r="B187" s="954" t="s">
        <v>155</v>
      </c>
      <c r="C187" s="779"/>
      <c r="D187" s="779"/>
      <c r="E187" s="779"/>
      <c r="F187" s="916"/>
      <c r="G187" s="779"/>
      <c r="H187" s="916"/>
      <c r="I187" s="270"/>
      <c r="J187" s="270"/>
      <c r="K187" s="270"/>
      <c r="L187" s="270"/>
      <c r="M187" s="270"/>
      <c r="N187" s="270"/>
      <c r="O187" s="270"/>
      <c r="P187" s="270"/>
      <c r="Q187" s="271"/>
    </row>
    <row r="188" spans="1:17" s="953" customFormat="1" ht="25" customHeight="1">
      <c r="A188" s="967" t="s">
        <v>235</v>
      </c>
      <c r="B188" s="954" t="s">
        <v>156</v>
      </c>
      <c r="C188" s="779"/>
      <c r="D188" s="779"/>
      <c r="E188" s="779"/>
      <c r="F188" s="916"/>
      <c r="G188" s="779"/>
      <c r="H188" s="916"/>
      <c r="I188" s="270"/>
      <c r="J188" s="270"/>
      <c r="K188" s="270"/>
      <c r="L188" s="270"/>
      <c r="M188" s="270"/>
      <c r="N188" s="270"/>
      <c r="O188" s="270"/>
      <c r="P188" s="270"/>
      <c r="Q188" s="271"/>
    </row>
    <row r="189" spans="1:17" s="953" customFormat="1" ht="25" customHeight="1">
      <c r="A189" s="967" t="s">
        <v>236</v>
      </c>
      <c r="B189" s="954" t="s">
        <v>157</v>
      </c>
      <c r="C189" s="779"/>
      <c r="D189" s="779"/>
      <c r="E189" s="779"/>
      <c r="F189" s="916"/>
      <c r="G189" s="779"/>
      <c r="H189" s="916"/>
      <c r="I189" s="270"/>
      <c r="J189" s="270"/>
      <c r="K189" s="270"/>
      <c r="L189" s="270"/>
      <c r="M189" s="270"/>
      <c r="N189" s="270"/>
      <c r="O189" s="270"/>
      <c r="P189" s="270"/>
      <c r="Q189" s="271"/>
    </row>
    <row r="190" spans="1:17" s="953" customFormat="1" ht="25" customHeight="1">
      <c r="A190" s="1028">
        <v>2</v>
      </c>
      <c r="B190" s="1028" t="s">
        <v>164</v>
      </c>
      <c r="C190" s="779"/>
      <c r="D190" s="779"/>
      <c r="E190" s="779"/>
      <c r="F190" s="916"/>
      <c r="G190" s="779"/>
      <c r="H190" s="916"/>
      <c r="I190" s="270"/>
      <c r="J190" s="270"/>
      <c r="K190" s="270"/>
      <c r="L190" s="270"/>
      <c r="M190" s="270"/>
      <c r="N190" s="270"/>
      <c r="O190" s="270"/>
      <c r="P190" s="270"/>
      <c r="Q190" s="271"/>
    </row>
    <row r="191" spans="1:17" s="953" customFormat="1" ht="25" customHeight="1">
      <c r="A191" s="975" t="s">
        <v>147</v>
      </c>
      <c r="B191" s="976" t="s">
        <v>165</v>
      </c>
      <c r="C191" s="779"/>
      <c r="D191" s="779"/>
      <c r="E191" s="779"/>
      <c r="F191" s="271"/>
      <c r="G191" s="779"/>
      <c r="H191" s="916"/>
      <c r="I191" s="269"/>
      <c r="J191" s="270"/>
      <c r="K191" s="270"/>
      <c r="L191" s="270"/>
      <c r="M191" s="270"/>
      <c r="N191" s="270"/>
      <c r="O191" s="270"/>
      <c r="P191" s="270"/>
      <c r="Q191" s="271"/>
    </row>
    <row r="192" spans="1:17" s="953" customFormat="1" ht="25" customHeight="1">
      <c r="A192" s="954" t="s">
        <v>226</v>
      </c>
      <c r="B192" s="1030" t="s">
        <v>433</v>
      </c>
      <c r="C192" s="779">
        <v>3</v>
      </c>
      <c r="D192" s="779">
        <v>1</v>
      </c>
      <c r="E192" s="779">
        <v>3</v>
      </c>
      <c r="F192" s="271">
        <f>(I192+J192+K192)</f>
        <v>103.94999999999999</v>
      </c>
      <c r="G192" s="779">
        <v>25</v>
      </c>
      <c r="H192" s="916">
        <f>C192*E192*G192</f>
        <v>225</v>
      </c>
      <c r="I192" s="269">
        <f>C192*E192*16.5*0.7</f>
        <v>103.94999999999999</v>
      </c>
      <c r="J192" s="270"/>
      <c r="K192" s="270"/>
      <c r="L192" s="270"/>
      <c r="M192" s="270"/>
      <c r="N192" s="270"/>
      <c r="O192" s="270"/>
      <c r="P192" s="270"/>
      <c r="Q192" s="271"/>
    </row>
    <row r="193" spans="1:17" s="953" customFormat="1" ht="25" customHeight="1">
      <c r="A193" s="954" t="s">
        <v>227</v>
      </c>
      <c r="B193" s="1030" t="s">
        <v>434</v>
      </c>
      <c r="C193" s="779">
        <v>3</v>
      </c>
      <c r="D193" s="779">
        <v>1</v>
      </c>
      <c r="E193" s="779">
        <v>1</v>
      </c>
      <c r="F193" s="271">
        <f>(I193+J193+K193)</f>
        <v>34.65</v>
      </c>
      <c r="G193" s="779">
        <v>15</v>
      </c>
      <c r="H193" s="916">
        <f>C193*E193*G193</f>
        <v>45</v>
      </c>
      <c r="I193" s="269">
        <f>C193*E193*16.5*0.7</f>
        <v>34.65</v>
      </c>
      <c r="J193" s="270"/>
      <c r="K193" s="270"/>
      <c r="L193" s="270"/>
      <c r="M193" s="270"/>
      <c r="N193" s="270"/>
      <c r="O193" s="270"/>
      <c r="P193" s="270"/>
      <c r="Q193" s="271"/>
    </row>
    <row r="194" spans="1:17" s="953" customFormat="1" ht="25" customHeight="1">
      <c r="A194" s="954"/>
      <c r="B194" s="1030" t="s">
        <v>695</v>
      </c>
      <c r="C194" s="779">
        <v>3</v>
      </c>
      <c r="D194" s="779">
        <v>1</v>
      </c>
      <c r="E194" s="779">
        <v>1</v>
      </c>
      <c r="F194" s="271">
        <f>(I194+J194+K194)</f>
        <v>34.65</v>
      </c>
      <c r="G194" s="779">
        <v>15</v>
      </c>
      <c r="H194" s="916">
        <f>C194*E194*G194</f>
        <v>45</v>
      </c>
      <c r="I194" s="269">
        <f>C194*E194*16.5*0.7</f>
        <v>34.65</v>
      </c>
      <c r="J194" s="270"/>
      <c r="K194" s="270"/>
      <c r="L194" s="270"/>
      <c r="M194" s="270"/>
      <c r="N194" s="270"/>
      <c r="O194" s="270"/>
      <c r="P194" s="270"/>
      <c r="Q194" s="271"/>
    </row>
    <row r="195" spans="1:17" s="953" customFormat="1" ht="25" customHeight="1">
      <c r="A195" s="954" t="s">
        <v>228</v>
      </c>
      <c r="B195" s="977" t="s">
        <v>435</v>
      </c>
      <c r="C195" s="779">
        <v>3</v>
      </c>
      <c r="D195" s="779">
        <v>1</v>
      </c>
      <c r="E195" s="779">
        <v>3</v>
      </c>
      <c r="F195" s="271">
        <f>(I195+J195+K195)</f>
        <v>103.94999999999999</v>
      </c>
      <c r="G195" s="779">
        <v>25</v>
      </c>
      <c r="H195" s="916">
        <f>C195*E195*G195</f>
        <v>225</v>
      </c>
      <c r="I195" s="269">
        <f>C195*E195*16.5*0.7</f>
        <v>103.94999999999999</v>
      </c>
      <c r="J195" s="270"/>
      <c r="K195" s="270"/>
      <c r="L195" s="270"/>
      <c r="M195" s="270"/>
      <c r="N195" s="270"/>
      <c r="O195" s="270"/>
      <c r="P195" s="270"/>
      <c r="Q195" s="271"/>
    </row>
    <row r="196" spans="1:17" s="953" customFormat="1" ht="25" customHeight="1">
      <c r="A196" s="964" t="s">
        <v>148</v>
      </c>
      <c r="B196" s="1035" t="s">
        <v>696</v>
      </c>
      <c r="C196" s="779"/>
      <c r="D196" s="779"/>
      <c r="E196" s="779"/>
      <c r="F196" s="916"/>
      <c r="G196" s="779"/>
      <c r="H196" s="916"/>
      <c r="I196" s="270"/>
      <c r="J196" s="270"/>
      <c r="K196" s="270"/>
      <c r="L196" s="270"/>
      <c r="M196" s="270"/>
      <c r="N196" s="270"/>
      <c r="O196" s="270"/>
      <c r="P196" s="270"/>
      <c r="Q196" s="271"/>
    </row>
    <row r="197" spans="1:17" s="953" customFormat="1" ht="25" customHeight="1">
      <c r="A197" s="1028">
        <v>3</v>
      </c>
      <c r="B197" s="1028" t="s">
        <v>166</v>
      </c>
      <c r="C197" s="779"/>
      <c r="D197" s="779"/>
      <c r="E197" s="779"/>
      <c r="F197" s="916"/>
      <c r="G197" s="779"/>
      <c r="H197" s="916"/>
      <c r="I197" s="270"/>
      <c r="J197" s="270"/>
      <c r="K197" s="270"/>
      <c r="L197" s="270"/>
      <c r="M197" s="270"/>
      <c r="N197" s="270"/>
      <c r="O197" s="270"/>
      <c r="P197" s="270"/>
      <c r="Q197" s="271"/>
    </row>
    <row r="198" spans="1:17" s="953" customFormat="1" ht="25" customHeight="1">
      <c r="A198" s="975" t="s">
        <v>147</v>
      </c>
      <c r="B198" s="976" t="s">
        <v>167</v>
      </c>
      <c r="C198" s="779"/>
      <c r="D198" s="779"/>
      <c r="E198" s="779"/>
      <c r="F198" s="916"/>
      <c r="G198" s="779"/>
      <c r="H198" s="916"/>
      <c r="I198" s="270"/>
      <c r="J198" s="270"/>
      <c r="K198" s="270"/>
      <c r="L198" s="270"/>
      <c r="M198" s="270"/>
      <c r="N198" s="270"/>
      <c r="O198" s="270"/>
      <c r="P198" s="270"/>
      <c r="Q198" s="271"/>
    </row>
    <row r="199" spans="1:17" s="953" customFormat="1" ht="25" customHeight="1">
      <c r="A199" s="964" t="s">
        <v>148</v>
      </c>
      <c r="B199" s="1035" t="s">
        <v>168</v>
      </c>
      <c r="C199" s="779"/>
      <c r="D199" s="779"/>
      <c r="E199" s="779"/>
      <c r="F199" s="916"/>
      <c r="G199" s="779"/>
      <c r="H199" s="264"/>
      <c r="I199" s="264"/>
      <c r="J199" s="270"/>
      <c r="K199" s="270"/>
      <c r="L199" s="270"/>
      <c r="M199" s="270"/>
      <c r="N199" s="270"/>
      <c r="O199" s="270"/>
      <c r="P199" s="270"/>
      <c r="Q199" s="271"/>
    </row>
    <row r="200" spans="1:17" s="953" customFormat="1" ht="25" customHeight="1">
      <c r="A200" s="964" t="s">
        <v>169</v>
      </c>
      <c r="B200" s="1035" t="s">
        <v>170</v>
      </c>
      <c r="C200" s="779"/>
      <c r="D200" s="779"/>
      <c r="E200" s="779"/>
      <c r="F200" s="916"/>
      <c r="G200" s="779"/>
      <c r="H200" s="916"/>
      <c r="I200" s="270"/>
      <c r="J200" s="270"/>
      <c r="K200" s="270"/>
      <c r="L200" s="270"/>
      <c r="M200" s="270"/>
      <c r="N200" s="270"/>
      <c r="O200" s="270"/>
      <c r="P200" s="270"/>
      <c r="Q200" s="271"/>
    </row>
    <row r="201" spans="1:17" s="953" customFormat="1" ht="25" customHeight="1">
      <c r="A201" s="969"/>
      <c r="B201" s="970" t="s">
        <v>438</v>
      </c>
      <c r="C201" s="971">
        <f>SUM(C192:C200)</f>
        <v>12</v>
      </c>
      <c r="D201" s="971">
        <f t="shared" ref="D201:K201" si="39">SUM(D192:D200)</f>
        <v>4</v>
      </c>
      <c r="E201" s="971">
        <f t="shared" si="39"/>
        <v>8</v>
      </c>
      <c r="F201" s="971">
        <f t="shared" si="39"/>
        <v>277.2</v>
      </c>
      <c r="G201" s="971">
        <f t="shared" si="39"/>
        <v>80</v>
      </c>
      <c r="H201" s="971">
        <f t="shared" si="39"/>
        <v>540</v>
      </c>
      <c r="I201" s="971">
        <f t="shared" si="39"/>
        <v>277.2</v>
      </c>
      <c r="J201" s="971">
        <f t="shared" si="39"/>
        <v>0</v>
      </c>
      <c r="K201" s="971">
        <f t="shared" si="39"/>
        <v>0</v>
      </c>
      <c r="L201" s="270"/>
      <c r="M201" s="270"/>
      <c r="N201" s="270"/>
      <c r="O201" s="270"/>
      <c r="P201" s="270"/>
      <c r="Q201" s="271"/>
    </row>
    <row r="202" spans="1:17" s="953" customFormat="1" ht="25" customHeight="1">
      <c r="A202" s="1028" t="s">
        <v>8</v>
      </c>
      <c r="B202" s="1028" t="s">
        <v>224</v>
      </c>
      <c r="C202" s="779"/>
      <c r="D202" s="779"/>
      <c r="E202" s="779"/>
      <c r="F202" s="916"/>
      <c r="G202" s="779"/>
      <c r="H202" s="916"/>
      <c r="I202" s="270"/>
      <c r="J202" s="270"/>
      <c r="K202" s="270"/>
      <c r="L202" s="270"/>
      <c r="M202" s="270"/>
      <c r="N202" s="270"/>
      <c r="O202" s="270"/>
      <c r="P202" s="270"/>
      <c r="Q202" s="271"/>
    </row>
    <row r="203" spans="1:17" s="953" customFormat="1" ht="25" customHeight="1">
      <c r="A203" s="1028">
        <v>1</v>
      </c>
      <c r="B203" s="976" t="s">
        <v>225</v>
      </c>
      <c r="C203" s="779"/>
      <c r="D203" s="779"/>
      <c r="E203" s="779"/>
      <c r="F203" s="271"/>
      <c r="G203" s="779"/>
      <c r="H203" s="916"/>
      <c r="I203" s="269"/>
      <c r="J203" s="270"/>
      <c r="K203" s="270"/>
      <c r="L203" s="270"/>
      <c r="M203" s="270"/>
      <c r="N203" s="270"/>
      <c r="O203" s="270"/>
      <c r="P203" s="270"/>
      <c r="Q203" s="271"/>
    </row>
    <row r="204" spans="1:17" s="953" customFormat="1" ht="25" customHeight="1">
      <c r="A204" s="1028" t="s">
        <v>147</v>
      </c>
      <c r="B204" s="976" t="s">
        <v>163</v>
      </c>
      <c r="C204" s="779"/>
      <c r="D204" s="779"/>
      <c r="E204" s="779"/>
      <c r="F204" s="271"/>
      <c r="G204" s="779"/>
      <c r="H204" s="916"/>
      <c r="I204" s="269"/>
      <c r="J204" s="270"/>
      <c r="K204" s="270"/>
      <c r="L204" s="270"/>
      <c r="M204" s="270"/>
      <c r="N204" s="270"/>
      <c r="O204" s="270"/>
      <c r="P204" s="270"/>
      <c r="Q204" s="271"/>
    </row>
    <row r="205" spans="1:17" s="953" customFormat="1" ht="25" customHeight="1">
      <c r="A205" s="967" t="s">
        <v>226</v>
      </c>
      <c r="B205" s="1030" t="s">
        <v>697</v>
      </c>
      <c r="C205" s="779">
        <v>5</v>
      </c>
      <c r="D205" s="779">
        <v>1</v>
      </c>
      <c r="E205" s="779">
        <v>16</v>
      </c>
      <c r="F205" s="271">
        <f>(I205+J205+K205)</f>
        <v>1320</v>
      </c>
      <c r="G205" s="779">
        <v>60</v>
      </c>
      <c r="H205" s="916">
        <f t="shared" ref="H205:H210" si="40">C205*E205*G205</f>
        <v>4800</v>
      </c>
      <c r="I205" s="269">
        <f t="shared" ref="I205:I210" si="41">IF(G205&lt;70, C205*E205*16.5*1, C205*E205*16.5*1.3)</f>
        <v>1320</v>
      </c>
      <c r="J205" s="270"/>
      <c r="K205" s="270"/>
      <c r="L205" s="270"/>
      <c r="M205" s="270"/>
      <c r="N205" s="270"/>
      <c r="O205" s="270"/>
      <c r="P205" s="270"/>
      <c r="Q205" s="271"/>
    </row>
    <row r="206" spans="1:17" s="953" customFormat="1" ht="25" customHeight="1">
      <c r="A206" s="967" t="s">
        <v>227</v>
      </c>
      <c r="B206" s="1030" t="s">
        <v>436</v>
      </c>
      <c r="C206" s="779">
        <v>5</v>
      </c>
      <c r="D206" s="779">
        <v>1</v>
      </c>
      <c r="E206" s="779">
        <v>7</v>
      </c>
      <c r="F206" s="271">
        <f>I206+J206+K206</f>
        <v>577.5</v>
      </c>
      <c r="G206" s="779">
        <v>60</v>
      </c>
      <c r="H206" s="916">
        <f t="shared" si="40"/>
        <v>2100</v>
      </c>
      <c r="I206" s="269">
        <f t="shared" si="41"/>
        <v>577.5</v>
      </c>
      <c r="J206" s="270"/>
      <c r="K206" s="270"/>
      <c r="L206" s="270"/>
      <c r="M206" s="270"/>
      <c r="N206" s="270"/>
      <c r="O206" s="270"/>
      <c r="P206" s="270"/>
      <c r="Q206" s="271"/>
    </row>
    <row r="207" spans="1:17" s="953" customFormat="1" ht="25" customHeight="1">
      <c r="A207" s="967" t="s">
        <v>228</v>
      </c>
      <c r="B207" s="1030" t="s">
        <v>425</v>
      </c>
      <c r="C207" s="779">
        <v>3</v>
      </c>
      <c r="D207" s="779">
        <v>1</v>
      </c>
      <c r="E207" s="779">
        <v>16</v>
      </c>
      <c r="F207" s="271">
        <f>I207+J207+K207</f>
        <v>792</v>
      </c>
      <c r="G207" s="779">
        <v>60</v>
      </c>
      <c r="H207" s="916">
        <f t="shared" si="40"/>
        <v>2880</v>
      </c>
      <c r="I207" s="269">
        <f t="shared" si="41"/>
        <v>792</v>
      </c>
      <c r="J207" s="270"/>
      <c r="K207" s="270"/>
      <c r="L207" s="270"/>
      <c r="M207" s="270"/>
      <c r="N207" s="270"/>
      <c r="O207" s="270"/>
      <c r="P207" s="270"/>
      <c r="Q207" s="271"/>
    </row>
    <row r="208" spans="1:17" s="953" customFormat="1" ht="25" customHeight="1">
      <c r="A208" s="967" t="s">
        <v>229</v>
      </c>
      <c r="B208" s="1030" t="s">
        <v>437</v>
      </c>
      <c r="C208" s="779">
        <v>3</v>
      </c>
      <c r="D208" s="779">
        <v>1</v>
      </c>
      <c r="E208" s="779">
        <v>7</v>
      </c>
      <c r="F208" s="271">
        <f>I208+J208+K208</f>
        <v>346.5</v>
      </c>
      <c r="G208" s="779">
        <v>60</v>
      </c>
      <c r="H208" s="916">
        <f t="shared" si="40"/>
        <v>1260</v>
      </c>
      <c r="I208" s="269">
        <f t="shared" si="41"/>
        <v>346.5</v>
      </c>
      <c r="J208" s="270"/>
      <c r="K208" s="270"/>
      <c r="L208" s="270"/>
      <c r="M208" s="270"/>
      <c r="N208" s="270"/>
      <c r="O208" s="270"/>
      <c r="P208" s="270"/>
      <c r="Q208" s="271"/>
    </row>
    <row r="209" spans="1:17" s="953" customFormat="1" ht="25" customHeight="1">
      <c r="A209" s="967" t="s">
        <v>230</v>
      </c>
      <c r="B209" s="1030" t="s">
        <v>505</v>
      </c>
      <c r="C209" s="811">
        <v>5</v>
      </c>
      <c r="D209" s="811">
        <v>1</v>
      </c>
      <c r="E209" s="811">
        <v>7</v>
      </c>
      <c r="F209" s="271">
        <f>I209+J209+K209</f>
        <v>577.5</v>
      </c>
      <c r="G209" s="811">
        <v>50</v>
      </c>
      <c r="H209" s="916">
        <f t="shared" si="40"/>
        <v>1750</v>
      </c>
      <c r="I209" s="269">
        <f t="shared" si="41"/>
        <v>577.5</v>
      </c>
      <c r="J209" s="270"/>
      <c r="K209" s="270"/>
      <c r="L209" s="270"/>
      <c r="M209" s="270"/>
      <c r="N209" s="270"/>
      <c r="O209" s="270"/>
      <c r="P209" s="270"/>
      <c r="Q209" s="271"/>
    </row>
    <row r="210" spans="1:17" s="985" customFormat="1" ht="25" customHeight="1">
      <c r="A210" s="984" t="s">
        <v>231</v>
      </c>
      <c r="B210" s="1036" t="s">
        <v>506</v>
      </c>
      <c r="C210" s="463">
        <v>5</v>
      </c>
      <c r="D210" s="463">
        <v>1</v>
      </c>
      <c r="E210" s="463">
        <v>16</v>
      </c>
      <c r="F210" s="986">
        <f>I210+J210+K210</f>
        <v>1320</v>
      </c>
      <c r="G210" s="463">
        <v>50</v>
      </c>
      <c r="H210" s="459">
        <f t="shared" si="40"/>
        <v>4000</v>
      </c>
      <c r="I210" s="1037">
        <f t="shared" si="41"/>
        <v>1320</v>
      </c>
      <c r="J210" s="1038"/>
      <c r="K210" s="1039"/>
      <c r="L210" s="1039"/>
      <c r="M210" s="1039"/>
      <c r="N210" s="460"/>
      <c r="O210" s="1039"/>
      <c r="P210" s="1039"/>
      <c r="Q210" s="986"/>
    </row>
    <row r="211" spans="1:17" s="985" customFormat="1" ht="25" customHeight="1">
      <c r="A211" s="969"/>
      <c r="B211" s="970" t="s">
        <v>380</v>
      </c>
      <c r="C211" s="971">
        <f>SUM(C205:C210)</f>
        <v>26</v>
      </c>
      <c r="D211" s="971">
        <f>SUM(D205:D210)</f>
        <v>6</v>
      </c>
      <c r="E211" s="971">
        <f>SUM(E205:E210)</f>
        <v>69</v>
      </c>
      <c r="F211" s="971">
        <f t="shared" ref="F211:K211" si="42">SUM(F205:F210)</f>
        <v>4933.5</v>
      </c>
      <c r="G211" s="971">
        <f t="shared" si="42"/>
        <v>340</v>
      </c>
      <c r="H211" s="971">
        <f t="shared" si="42"/>
        <v>16790</v>
      </c>
      <c r="I211" s="971">
        <f t="shared" si="42"/>
        <v>4933.5</v>
      </c>
      <c r="J211" s="971">
        <f t="shared" si="42"/>
        <v>0</v>
      </c>
      <c r="K211" s="971">
        <f t="shared" si="42"/>
        <v>0</v>
      </c>
      <c r="L211" s="990"/>
      <c r="M211" s="990"/>
      <c r="N211" s="464"/>
      <c r="O211" s="990"/>
      <c r="P211" s="990"/>
      <c r="Q211" s="991"/>
    </row>
    <row r="212" spans="1:17" s="953" customFormat="1" ht="25" customHeight="1">
      <c r="A212" s="1033"/>
      <c r="B212" s="1040" t="s">
        <v>439</v>
      </c>
      <c r="C212" s="400">
        <f>C183+C201+C211</f>
        <v>67</v>
      </c>
      <c r="D212" s="400">
        <f t="shared" ref="D212:K212" si="43">D183+D201+D211</f>
        <v>19</v>
      </c>
      <c r="E212" s="400">
        <f t="shared" si="43"/>
        <v>120</v>
      </c>
      <c r="F212" s="400">
        <f t="shared" si="43"/>
        <v>8063.55</v>
      </c>
      <c r="G212" s="400">
        <f t="shared" si="43"/>
        <v>1050</v>
      </c>
      <c r="H212" s="400">
        <f t="shared" si="43"/>
        <v>26640</v>
      </c>
      <c r="I212" s="400">
        <f t="shared" si="43"/>
        <v>8063.55</v>
      </c>
      <c r="J212" s="400">
        <f t="shared" si="43"/>
        <v>0</v>
      </c>
      <c r="K212" s="400">
        <f t="shared" si="43"/>
        <v>0</v>
      </c>
      <c r="L212" s="405">
        <f>'Bieu3 GDH'!F20</f>
        <v>1080</v>
      </c>
      <c r="M212" s="405">
        <f>'Bieu3 GDH'!N20</f>
        <v>1039.5</v>
      </c>
      <c r="N212" s="400">
        <f>I212-M212</f>
        <v>7024.05</v>
      </c>
      <c r="O212" s="405">
        <f>'Bieu3 GDH'!O20</f>
        <v>805.25</v>
      </c>
      <c r="P212" s="405">
        <f>'Bieu3 GDH'!P20</f>
        <v>370</v>
      </c>
      <c r="Q212" s="406" t="s">
        <v>705</v>
      </c>
    </row>
    <row r="213" spans="1:17" s="953" customFormat="1" ht="25" customHeight="1">
      <c r="A213" s="260" t="s">
        <v>6</v>
      </c>
      <c r="B213" s="997" t="s">
        <v>483</v>
      </c>
      <c r="C213" s="261"/>
      <c r="D213" s="261"/>
      <c r="E213" s="261"/>
      <c r="F213" s="336"/>
      <c r="G213" s="261"/>
      <c r="H213" s="261"/>
      <c r="I213" s="261"/>
      <c r="J213" s="261"/>
      <c r="K213" s="1019"/>
      <c r="L213" s="1041"/>
      <c r="M213" s="1003"/>
      <c r="N213" s="1003"/>
      <c r="O213" s="1003"/>
      <c r="P213" s="1003"/>
      <c r="Q213" s="1003"/>
    </row>
    <row r="214" spans="1:17" s="953" customFormat="1" ht="25" customHeight="1">
      <c r="A214" s="260" t="s">
        <v>7</v>
      </c>
      <c r="B214" s="260" t="s">
        <v>223</v>
      </c>
      <c r="C214" s="261"/>
      <c r="D214" s="261"/>
      <c r="E214" s="261"/>
      <c r="F214" s="336"/>
      <c r="G214" s="261"/>
      <c r="H214" s="261"/>
      <c r="I214" s="261"/>
      <c r="J214" s="261"/>
      <c r="K214" s="1019"/>
      <c r="L214" s="1041"/>
      <c r="M214" s="1003"/>
      <c r="N214" s="1003"/>
      <c r="O214" s="1003"/>
      <c r="P214" s="1003"/>
      <c r="Q214" s="1003"/>
    </row>
    <row r="215" spans="1:17" s="953" customFormat="1" ht="25" customHeight="1">
      <c r="A215" s="260">
        <v>1</v>
      </c>
      <c r="B215" s="260" t="s">
        <v>4</v>
      </c>
      <c r="C215" s="261"/>
      <c r="D215" s="261"/>
      <c r="E215" s="261"/>
      <c r="F215" s="336"/>
      <c r="G215" s="261"/>
      <c r="H215" s="261"/>
      <c r="I215" s="261"/>
      <c r="J215" s="261"/>
      <c r="K215" s="1019"/>
      <c r="L215" s="1041"/>
      <c r="M215" s="1003"/>
      <c r="N215" s="1003"/>
      <c r="O215" s="1003"/>
      <c r="P215" s="1003"/>
      <c r="Q215" s="1003"/>
    </row>
    <row r="216" spans="1:17" s="953" customFormat="1" ht="25" customHeight="1">
      <c r="A216" s="262" t="s">
        <v>147</v>
      </c>
      <c r="B216" s="263" t="s">
        <v>161</v>
      </c>
      <c r="C216" s="264"/>
      <c r="D216" s="264"/>
      <c r="E216" s="264"/>
      <c r="F216" s="916"/>
      <c r="G216" s="264"/>
      <c r="H216" s="264"/>
      <c r="I216" s="265"/>
      <c r="J216" s="265"/>
      <c r="K216" s="1019"/>
      <c r="L216" s="1041"/>
      <c r="M216" s="1003"/>
      <c r="N216" s="1003"/>
      <c r="O216" s="1003"/>
      <c r="P216" s="1003"/>
      <c r="Q216" s="1003"/>
    </row>
    <row r="217" spans="1:17" s="953" customFormat="1" ht="25" customHeight="1">
      <c r="A217" s="1042" t="s">
        <v>226</v>
      </c>
      <c r="B217" s="929" t="s">
        <v>442</v>
      </c>
      <c r="C217" s="919">
        <v>2</v>
      </c>
      <c r="D217" s="919">
        <v>1</v>
      </c>
      <c r="E217" s="919">
        <v>1</v>
      </c>
      <c r="F217" s="271">
        <f t="shared" ref="F217:F224" si="44">I217+J217+K217</f>
        <v>42.9</v>
      </c>
      <c r="G217" s="919">
        <v>80</v>
      </c>
      <c r="H217" s="916">
        <f>C217*E217*G217</f>
        <v>160</v>
      </c>
      <c r="I217" s="269">
        <f t="shared" ref="I217:I224" si="45">IF(G217&lt;70, C217*E217*16.5*1, C217*E217*16.5*1.3)</f>
        <v>42.9</v>
      </c>
      <c r="J217" s="1043"/>
      <c r="K217" s="1004"/>
      <c r="L217" s="1041"/>
      <c r="M217" s="1003"/>
      <c r="N217" s="1003"/>
      <c r="O217" s="1003"/>
      <c r="P217" s="1003"/>
      <c r="Q217" s="1003"/>
    </row>
    <row r="218" spans="1:17" s="953" customFormat="1" ht="25" customHeight="1">
      <c r="A218" s="1042" t="s">
        <v>227</v>
      </c>
      <c r="B218" s="955" t="s">
        <v>443</v>
      </c>
      <c r="C218" s="919">
        <v>3</v>
      </c>
      <c r="D218" s="919">
        <v>1</v>
      </c>
      <c r="E218" s="919">
        <v>1</v>
      </c>
      <c r="F218" s="271">
        <f t="shared" si="44"/>
        <v>64.350000000000009</v>
      </c>
      <c r="G218" s="919">
        <v>80</v>
      </c>
      <c r="H218" s="916">
        <f t="shared" ref="H218:H224" si="46">C218*E218*G218</f>
        <v>240</v>
      </c>
      <c r="I218" s="269">
        <f t="shared" si="45"/>
        <v>64.350000000000009</v>
      </c>
      <c r="J218" s="1043"/>
      <c r="K218" s="1004"/>
      <c r="L218" s="1041"/>
      <c r="M218" s="1003"/>
      <c r="N218" s="1003"/>
      <c r="O218" s="1003"/>
      <c r="P218" s="1003"/>
      <c r="Q218" s="1003"/>
    </row>
    <row r="219" spans="1:17" s="953" customFormat="1" ht="25" customHeight="1">
      <c r="A219" s="1042" t="s">
        <v>228</v>
      </c>
      <c r="B219" s="929" t="s">
        <v>442</v>
      </c>
      <c r="C219" s="919">
        <v>2</v>
      </c>
      <c r="D219" s="919">
        <v>1</v>
      </c>
      <c r="E219" s="919">
        <v>2</v>
      </c>
      <c r="F219" s="271">
        <f t="shared" si="44"/>
        <v>85.8</v>
      </c>
      <c r="G219" s="919">
        <v>80</v>
      </c>
      <c r="H219" s="916">
        <f t="shared" si="46"/>
        <v>320</v>
      </c>
      <c r="I219" s="269">
        <f t="shared" si="45"/>
        <v>85.8</v>
      </c>
      <c r="J219" s="1001"/>
      <c r="K219" s="1004"/>
      <c r="L219" s="1041"/>
      <c r="M219" s="1003"/>
      <c r="N219" s="1003"/>
      <c r="O219" s="1003"/>
      <c r="P219" s="1003"/>
      <c r="Q219" s="1003"/>
    </row>
    <row r="220" spans="1:17" s="953" customFormat="1" ht="25" customHeight="1">
      <c r="A220" s="1042" t="s">
        <v>229</v>
      </c>
      <c r="B220" s="929" t="s">
        <v>444</v>
      </c>
      <c r="C220" s="927">
        <v>3</v>
      </c>
      <c r="D220" s="927">
        <v>1</v>
      </c>
      <c r="E220" s="927">
        <v>1</v>
      </c>
      <c r="F220" s="271">
        <f t="shared" si="44"/>
        <v>49.5</v>
      </c>
      <c r="G220" s="927">
        <v>40</v>
      </c>
      <c r="H220" s="916">
        <f t="shared" si="46"/>
        <v>120</v>
      </c>
      <c r="I220" s="269">
        <f t="shared" si="45"/>
        <v>49.5</v>
      </c>
      <c r="J220" s="1043"/>
      <c r="K220" s="1004"/>
      <c r="L220" s="1041"/>
      <c r="M220" s="1003"/>
      <c r="N220" s="1003"/>
      <c r="O220" s="1003"/>
      <c r="P220" s="1003"/>
      <c r="Q220" s="1003"/>
    </row>
    <row r="221" spans="1:17" s="953" customFormat="1" ht="25" customHeight="1">
      <c r="A221" s="1042" t="s">
        <v>230</v>
      </c>
      <c r="B221" s="929" t="s">
        <v>445</v>
      </c>
      <c r="C221" s="927">
        <v>2</v>
      </c>
      <c r="D221" s="927">
        <v>1</v>
      </c>
      <c r="E221" s="927">
        <v>1</v>
      </c>
      <c r="F221" s="271">
        <f t="shared" si="44"/>
        <v>33</v>
      </c>
      <c r="G221" s="927">
        <v>40</v>
      </c>
      <c r="H221" s="916">
        <f t="shared" si="46"/>
        <v>80</v>
      </c>
      <c r="I221" s="269">
        <f t="shared" si="45"/>
        <v>33</v>
      </c>
      <c r="J221" s="1043"/>
      <c r="K221" s="1004"/>
      <c r="L221" s="1041"/>
      <c r="M221" s="1003"/>
      <c r="N221" s="1003"/>
      <c r="O221" s="1003"/>
      <c r="P221" s="1003"/>
      <c r="Q221" s="1003"/>
    </row>
    <row r="222" spans="1:17" s="953" customFormat="1" ht="25" customHeight="1">
      <c r="A222" s="1042" t="s">
        <v>231</v>
      </c>
      <c r="B222" s="929" t="s">
        <v>442</v>
      </c>
      <c r="C222" s="919">
        <v>2</v>
      </c>
      <c r="D222" s="919">
        <v>1</v>
      </c>
      <c r="E222" s="927">
        <v>1</v>
      </c>
      <c r="F222" s="271">
        <f t="shared" si="44"/>
        <v>42.9</v>
      </c>
      <c r="G222" s="919">
        <v>80</v>
      </c>
      <c r="H222" s="916">
        <f t="shared" si="46"/>
        <v>160</v>
      </c>
      <c r="I222" s="269">
        <f t="shared" si="45"/>
        <v>42.9</v>
      </c>
      <c r="J222" s="1043"/>
      <c r="K222" s="1004"/>
      <c r="L222" s="1041"/>
      <c r="M222" s="1003"/>
      <c r="N222" s="1003"/>
      <c r="O222" s="1003"/>
      <c r="P222" s="1003"/>
      <c r="Q222" s="1003"/>
    </row>
    <row r="223" spans="1:17" s="953" customFormat="1" ht="25" customHeight="1">
      <c r="A223" s="1042" t="s">
        <v>282</v>
      </c>
      <c r="B223" s="929" t="s">
        <v>448</v>
      </c>
      <c r="C223" s="919">
        <v>4</v>
      </c>
      <c r="D223" s="919">
        <v>1</v>
      </c>
      <c r="E223" s="919">
        <v>1</v>
      </c>
      <c r="F223" s="271">
        <f t="shared" si="44"/>
        <v>66</v>
      </c>
      <c r="G223" s="919">
        <v>30</v>
      </c>
      <c r="H223" s="916">
        <f t="shared" si="46"/>
        <v>120</v>
      </c>
      <c r="I223" s="269">
        <f t="shared" si="45"/>
        <v>66</v>
      </c>
      <c r="J223" s="1043"/>
      <c r="K223" s="1004"/>
      <c r="L223" s="1041"/>
      <c r="M223" s="1003"/>
      <c r="N223" s="1003"/>
      <c r="O223" s="1003"/>
      <c r="P223" s="1003"/>
      <c r="Q223" s="1003"/>
    </row>
    <row r="224" spans="1:17" s="953" customFormat="1" ht="25" customHeight="1">
      <c r="A224" s="1042" t="s">
        <v>283</v>
      </c>
      <c r="B224" s="929" t="s">
        <v>449</v>
      </c>
      <c r="C224" s="1044">
        <v>4</v>
      </c>
      <c r="D224" s="1045">
        <v>1</v>
      </c>
      <c r="E224" s="1045">
        <v>1</v>
      </c>
      <c r="F224" s="271">
        <f t="shared" si="44"/>
        <v>66</v>
      </c>
      <c r="G224" s="1045">
        <v>40</v>
      </c>
      <c r="H224" s="916">
        <f t="shared" si="46"/>
        <v>160</v>
      </c>
      <c r="I224" s="269">
        <f t="shared" si="45"/>
        <v>66</v>
      </c>
      <c r="J224" s="1043"/>
      <c r="K224" s="1004"/>
      <c r="L224" s="1041"/>
      <c r="M224" s="1003"/>
      <c r="N224" s="1003"/>
      <c r="O224" s="1003"/>
      <c r="P224" s="1003"/>
      <c r="Q224" s="1003"/>
    </row>
    <row r="225" spans="1:17" s="953" customFormat="1" ht="25" customHeight="1">
      <c r="A225" s="1042" t="s">
        <v>284</v>
      </c>
      <c r="B225" s="929" t="s">
        <v>445</v>
      </c>
      <c r="C225" s="927">
        <v>2</v>
      </c>
      <c r="D225" s="962">
        <v>1</v>
      </c>
      <c r="E225" s="962">
        <v>1</v>
      </c>
      <c r="F225" s="1046">
        <f>I225+J225+K225</f>
        <v>33</v>
      </c>
      <c r="G225" s="962">
        <v>40</v>
      </c>
      <c r="H225" s="916">
        <f>C225*E225*G225</f>
        <v>80</v>
      </c>
      <c r="I225" s="269">
        <f>IF(G225&lt;70, C225*E225*16.5*1, C225*E225*16.5*1.3)</f>
        <v>33</v>
      </c>
      <c r="J225" s="1043"/>
      <c r="K225" s="1004"/>
      <c r="L225" s="1041"/>
      <c r="M225" s="1003"/>
      <c r="N225" s="1003"/>
      <c r="O225" s="1003"/>
      <c r="P225" s="1003"/>
      <c r="Q225" s="1003"/>
    </row>
    <row r="226" spans="1:17" s="953" customFormat="1" ht="25" customHeight="1">
      <c r="A226" s="1042" t="s">
        <v>285</v>
      </c>
      <c r="B226" s="929" t="s">
        <v>454</v>
      </c>
      <c r="C226" s="919">
        <v>4</v>
      </c>
      <c r="D226" s="919">
        <v>1</v>
      </c>
      <c r="E226" s="919">
        <v>1</v>
      </c>
      <c r="F226" s="1046">
        <f>I226+J226+K226</f>
        <v>66</v>
      </c>
      <c r="G226" s="919">
        <v>40</v>
      </c>
      <c r="H226" s="916">
        <f>C226*E226*G226</f>
        <v>160</v>
      </c>
      <c r="I226" s="269">
        <f>IF(G226&lt;70, C226*E226*16.5*1, C226*E226*16.5*1.3)</f>
        <v>66</v>
      </c>
      <c r="J226" s="1043"/>
      <c r="K226" s="1004"/>
      <c r="L226" s="1041"/>
      <c r="M226" s="1003"/>
      <c r="N226" s="1003"/>
      <c r="O226" s="1003"/>
      <c r="P226" s="1003"/>
      <c r="Q226" s="1003"/>
    </row>
    <row r="227" spans="1:17" s="953" customFormat="1" ht="25" customHeight="1">
      <c r="A227" s="1042" t="s">
        <v>286</v>
      </c>
      <c r="B227" s="929" t="s">
        <v>455</v>
      </c>
      <c r="C227" s="919">
        <v>4</v>
      </c>
      <c r="D227" s="919">
        <v>1</v>
      </c>
      <c r="E227" s="919">
        <v>1</v>
      </c>
      <c r="F227" s="1046">
        <f>I227+J227+K227</f>
        <v>66</v>
      </c>
      <c r="G227" s="919">
        <v>40</v>
      </c>
      <c r="H227" s="916">
        <f>C227*E227*G227</f>
        <v>160</v>
      </c>
      <c r="I227" s="269">
        <f>IF(G227&lt;70, C227*E227*16.5*1, C227*E227*16.5*1.3)</f>
        <v>66</v>
      </c>
      <c r="J227" s="1043"/>
      <c r="K227" s="1004"/>
      <c r="L227" s="1041"/>
      <c r="M227" s="1003"/>
      <c r="N227" s="1003"/>
      <c r="O227" s="1003"/>
      <c r="P227" s="1003"/>
      <c r="Q227" s="1003"/>
    </row>
    <row r="228" spans="1:17" s="953" customFormat="1" ht="25" customHeight="1">
      <c r="A228" s="1042" t="s">
        <v>289</v>
      </c>
      <c r="B228" s="929" t="s">
        <v>456</v>
      </c>
      <c r="C228" s="919">
        <v>3</v>
      </c>
      <c r="D228" s="919">
        <v>1</v>
      </c>
      <c r="E228" s="919">
        <v>1</v>
      </c>
      <c r="F228" s="1046">
        <f>I228+J228+K228</f>
        <v>49.5</v>
      </c>
      <c r="G228" s="919">
        <v>40</v>
      </c>
      <c r="H228" s="916">
        <f>C228*E228*G228</f>
        <v>120</v>
      </c>
      <c r="I228" s="269">
        <f>IF(G228&lt;70, C228*E228*16.5*1, C228*E228*16.5*1.3)</f>
        <v>49.5</v>
      </c>
      <c r="J228" s="1043"/>
      <c r="K228" s="1004"/>
      <c r="L228" s="1041"/>
      <c r="M228" s="1003"/>
      <c r="N228" s="1003"/>
      <c r="O228" s="1003"/>
      <c r="P228" s="1003"/>
      <c r="Q228" s="1003"/>
    </row>
    <row r="229" spans="1:17" s="953" customFormat="1" ht="25" customHeight="1">
      <c r="A229" s="1042" t="s">
        <v>290</v>
      </c>
      <c r="B229" s="929" t="s">
        <v>457</v>
      </c>
      <c r="C229" s="919">
        <v>1</v>
      </c>
      <c r="D229" s="919">
        <v>1.3</v>
      </c>
      <c r="E229" s="919">
        <v>1</v>
      </c>
      <c r="F229" s="1046">
        <f>I229+J229+K229</f>
        <v>16.5</v>
      </c>
      <c r="G229" s="919">
        <v>40</v>
      </c>
      <c r="H229" s="916">
        <f>C229*E229*G229</f>
        <v>40</v>
      </c>
      <c r="I229" s="269">
        <f>IF(G229&lt;70, C229*E229*16.5*1, C229*E229*16.5*1.3)</f>
        <v>16.5</v>
      </c>
      <c r="J229" s="1043"/>
      <c r="K229" s="1004"/>
      <c r="L229" s="1041"/>
      <c r="M229" s="1003"/>
      <c r="N229" s="1003"/>
      <c r="O229" s="1003"/>
      <c r="P229" s="1003"/>
      <c r="Q229" s="1003"/>
    </row>
    <row r="230" spans="1:17" s="953" customFormat="1" ht="25" customHeight="1">
      <c r="A230" s="964" t="s">
        <v>148</v>
      </c>
      <c r="B230" s="1035" t="s">
        <v>151</v>
      </c>
      <c r="C230" s="779"/>
      <c r="D230" s="779"/>
      <c r="E230" s="779"/>
      <c r="F230" s="916"/>
      <c r="G230" s="779"/>
      <c r="H230" s="916"/>
      <c r="I230" s="270"/>
      <c r="J230" s="1001"/>
      <c r="K230" s="1004"/>
      <c r="L230" s="1041"/>
      <c r="M230" s="1003"/>
      <c r="N230" s="1003"/>
      <c r="O230" s="1003"/>
      <c r="P230" s="1003"/>
      <c r="Q230" s="1003"/>
    </row>
    <row r="231" spans="1:17" s="953" customFormat="1" ht="25" customHeight="1">
      <c r="A231" s="967" t="s">
        <v>232</v>
      </c>
      <c r="B231" s="954" t="s">
        <v>154</v>
      </c>
      <c r="C231" s="779"/>
      <c r="D231" s="779"/>
      <c r="E231" s="779"/>
      <c r="F231" s="916"/>
      <c r="G231" s="779"/>
      <c r="H231" s="916"/>
      <c r="I231" s="270"/>
      <c r="J231" s="1001"/>
      <c r="K231" s="1004"/>
      <c r="L231" s="1041"/>
      <c r="M231" s="1003"/>
      <c r="N231" s="1003"/>
      <c r="O231" s="1003"/>
      <c r="P231" s="1003"/>
      <c r="Q231" s="1003"/>
    </row>
    <row r="232" spans="1:17" s="953" customFormat="1" ht="25" customHeight="1">
      <c r="A232" s="967" t="s">
        <v>233</v>
      </c>
      <c r="B232" s="954" t="s">
        <v>153</v>
      </c>
      <c r="C232" s="779"/>
      <c r="D232" s="779"/>
      <c r="E232" s="779"/>
      <c r="F232" s="916"/>
      <c r="G232" s="779"/>
      <c r="H232" s="916"/>
      <c r="I232" s="270"/>
      <c r="J232" s="1001"/>
      <c r="K232" s="1004"/>
      <c r="L232" s="1041"/>
      <c r="M232" s="1003"/>
      <c r="N232" s="1003"/>
      <c r="O232" s="1003"/>
      <c r="P232" s="1003"/>
      <c r="Q232" s="1003"/>
    </row>
    <row r="233" spans="1:17" s="953" customFormat="1" ht="25" customHeight="1">
      <c r="A233" s="984" t="s">
        <v>234</v>
      </c>
      <c r="B233" s="1047" t="s">
        <v>156</v>
      </c>
      <c r="C233" s="463">
        <v>5</v>
      </c>
      <c r="D233" s="463" t="s">
        <v>665</v>
      </c>
      <c r="E233" s="463">
        <v>1</v>
      </c>
      <c r="F233" s="1048">
        <f>I233+J233+K233</f>
        <v>42</v>
      </c>
      <c r="G233" s="463">
        <v>21</v>
      </c>
      <c r="H233" s="459">
        <f>C233*E233*G233</f>
        <v>105</v>
      </c>
      <c r="I233" s="1049">
        <f>21*2</f>
        <v>42</v>
      </c>
      <c r="J233" s="987"/>
      <c r="K233" s="984"/>
      <c r="L233" s="1041"/>
      <c r="M233" s="1003"/>
      <c r="N233" s="1003"/>
      <c r="O233" s="1003"/>
      <c r="P233" s="1003"/>
      <c r="Q233" s="1003"/>
    </row>
    <row r="234" spans="1:17" s="953" customFormat="1" ht="25" customHeight="1">
      <c r="A234" s="984" t="s">
        <v>235</v>
      </c>
      <c r="B234" s="954" t="s">
        <v>157</v>
      </c>
      <c r="C234" s="779"/>
      <c r="D234" s="779"/>
      <c r="E234" s="779"/>
      <c r="F234" s="916"/>
      <c r="G234" s="779"/>
      <c r="H234" s="916"/>
      <c r="I234" s="270"/>
      <c r="J234" s="1001"/>
      <c r="K234" s="1004"/>
      <c r="L234" s="1041"/>
      <c r="M234" s="1003"/>
      <c r="N234" s="1003"/>
      <c r="O234" s="1003"/>
      <c r="P234" s="1003"/>
      <c r="Q234" s="1003"/>
    </row>
    <row r="235" spans="1:17" s="953" customFormat="1" ht="25" customHeight="1">
      <c r="A235" s="982"/>
      <c r="B235" s="1050" t="s">
        <v>380</v>
      </c>
      <c r="C235" s="1051">
        <f>SUM(C217:C234)</f>
        <v>41</v>
      </c>
      <c r="D235" s="1051">
        <f t="shared" ref="D235:I235" si="47">SUM(D217:D234)</f>
        <v>13.3</v>
      </c>
      <c r="E235" s="1051">
        <f t="shared" si="47"/>
        <v>15</v>
      </c>
      <c r="F235" s="1051">
        <f t="shared" si="47"/>
        <v>723.45</v>
      </c>
      <c r="G235" s="1051">
        <f t="shared" si="47"/>
        <v>691</v>
      </c>
      <c r="H235" s="1051">
        <f t="shared" si="47"/>
        <v>2025</v>
      </c>
      <c r="I235" s="1051">
        <f t="shared" si="47"/>
        <v>723.45</v>
      </c>
      <c r="J235" s="1051">
        <f>SUM(J217:J234)</f>
        <v>0</v>
      </c>
      <c r="K235" s="1051">
        <f>SUM(K217:K234)</f>
        <v>0</v>
      </c>
      <c r="L235" s="981"/>
      <c r="M235" s="811"/>
      <c r="N235" s="811"/>
      <c r="O235" s="811"/>
      <c r="P235" s="811"/>
      <c r="Q235" s="811"/>
    </row>
    <row r="236" spans="1:17" s="953" customFormat="1" ht="25" customHeight="1">
      <c r="A236" s="974">
        <v>2</v>
      </c>
      <c r="B236" s="974" t="s">
        <v>164</v>
      </c>
      <c r="C236" s="779"/>
      <c r="D236" s="779"/>
      <c r="E236" s="779"/>
      <c r="F236" s="916"/>
      <c r="G236" s="779"/>
      <c r="H236" s="916"/>
      <c r="I236" s="270"/>
      <c r="J236" s="1001"/>
      <c r="K236" s="1004"/>
      <c r="L236" s="1041"/>
      <c r="M236" s="1003"/>
      <c r="N236" s="1003"/>
      <c r="O236" s="1003"/>
      <c r="P236" s="1003"/>
      <c r="Q236" s="1003"/>
    </row>
    <row r="237" spans="1:17" s="953" customFormat="1" ht="25" customHeight="1">
      <c r="A237" s="975" t="s">
        <v>147</v>
      </c>
      <c r="B237" s="976" t="s">
        <v>165</v>
      </c>
      <c r="C237" s="779"/>
      <c r="D237" s="779"/>
      <c r="E237" s="779"/>
      <c r="F237" s="916"/>
      <c r="G237" s="779"/>
      <c r="H237" s="916"/>
      <c r="I237" s="270"/>
      <c r="J237" s="1001"/>
      <c r="K237" s="1004"/>
      <c r="L237" s="1041"/>
      <c r="M237" s="1003"/>
      <c r="N237" s="1003"/>
      <c r="O237" s="1003"/>
      <c r="P237" s="1003"/>
      <c r="Q237" s="1003"/>
    </row>
    <row r="238" spans="1:17" s="953" customFormat="1" ht="25" customHeight="1">
      <c r="A238" s="954" t="s">
        <v>226</v>
      </c>
      <c r="B238" s="977" t="s">
        <v>458</v>
      </c>
      <c r="C238" s="779">
        <v>3</v>
      </c>
      <c r="D238" s="779">
        <v>1</v>
      </c>
      <c r="E238" s="919">
        <v>6</v>
      </c>
      <c r="F238" s="271">
        <f t="shared" ref="F238:F250" si="48">I238+J238+K24</f>
        <v>207.89999999999998</v>
      </c>
      <c r="G238" s="779">
        <v>30</v>
      </c>
      <c r="H238" s="916">
        <f>C238*E238*G238</f>
        <v>540</v>
      </c>
      <c r="I238" s="269">
        <f t="shared" ref="I238:I245" si="49">C238*E238*16.5*0.7</f>
        <v>207.89999999999998</v>
      </c>
      <c r="J238" s="1001"/>
      <c r="K238" s="1004"/>
      <c r="L238" s="1041"/>
      <c r="M238" s="1003"/>
      <c r="N238" s="1003"/>
      <c r="O238" s="1003"/>
      <c r="P238" s="1003"/>
      <c r="Q238" s="1003"/>
    </row>
    <row r="239" spans="1:17" s="953" customFormat="1" ht="25" customHeight="1">
      <c r="A239" s="954" t="s">
        <v>227</v>
      </c>
      <c r="B239" s="977" t="s">
        <v>459</v>
      </c>
      <c r="C239" s="779">
        <v>3</v>
      </c>
      <c r="D239" s="779">
        <v>1</v>
      </c>
      <c r="E239" s="919">
        <v>6</v>
      </c>
      <c r="F239" s="271">
        <f t="shared" si="48"/>
        <v>207.89999999999998</v>
      </c>
      <c r="G239" s="779">
        <v>30</v>
      </c>
      <c r="H239" s="916">
        <f t="shared" ref="H239:H250" si="50">C239*E239*G239</f>
        <v>540</v>
      </c>
      <c r="I239" s="269">
        <f t="shared" si="49"/>
        <v>207.89999999999998</v>
      </c>
      <c r="J239" s="1001"/>
      <c r="K239" s="1004"/>
      <c r="L239" s="1041"/>
      <c r="M239" s="1003"/>
      <c r="N239" s="1003"/>
      <c r="O239" s="1003"/>
      <c r="P239" s="1003"/>
      <c r="Q239" s="1003"/>
    </row>
    <row r="240" spans="1:17" s="953" customFormat="1" ht="25" customHeight="1">
      <c r="A240" s="954" t="s">
        <v>228</v>
      </c>
      <c r="B240" s="977" t="s">
        <v>460</v>
      </c>
      <c r="C240" s="779">
        <v>3</v>
      </c>
      <c r="D240" s="779">
        <v>1</v>
      </c>
      <c r="E240" s="919">
        <v>2</v>
      </c>
      <c r="F240" s="271">
        <f t="shared" si="48"/>
        <v>69.3</v>
      </c>
      <c r="G240" s="779">
        <v>30</v>
      </c>
      <c r="H240" s="916">
        <f t="shared" si="50"/>
        <v>180</v>
      </c>
      <c r="I240" s="269">
        <f t="shared" si="49"/>
        <v>69.3</v>
      </c>
      <c r="J240" s="1001"/>
      <c r="K240" s="1004"/>
      <c r="L240" s="1041"/>
      <c r="M240" s="1003"/>
      <c r="N240" s="1003"/>
      <c r="O240" s="1003"/>
      <c r="P240" s="1003"/>
      <c r="Q240" s="1003"/>
    </row>
    <row r="241" spans="1:17" s="953" customFormat="1" ht="25" customHeight="1">
      <c r="A241" s="954" t="s">
        <v>229</v>
      </c>
      <c r="B241" s="977" t="s">
        <v>461</v>
      </c>
      <c r="C241" s="779">
        <v>3</v>
      </c>
      <c r="D241" s="779">
        <v>1</v>
      </c>
      <c r="E241" s="919">
        <v>2</v>
      </c>
      <c r="F241" s="271">
        <f t="shared" si="48"/>
        <v>69.3</v>
      </c>
      <c r="G241" s="779">
        <v>30</v>
      </c>
      <c r="H241" s="916">
        <f t="shared" si="50"/>
        <v>180</v>
      </c>
      <c r="I241" s="269">
        <f t="shared" si="49"/>
        <v>69.3</v>
      </c>
      <c r="J241" s="1001"/>
      <c r="K241" s="1004"/>
      <c r="L241" s="1041"/>
      <c r="M241" s="1003"/>
      <c r="N241" s="1003"/>
      <c r="O241" s="1003"/>
      <c r="P241" s="1003"/>
      <c r="Q241" s="1003"/>
    </row>
    <row r="242" spans="1:17" s="953" customFormat="1" ht="25" customHeight="1">
      <c r="A242" s="954" t="s">
        <v>230</v>
      </c>
      <c r="B242" s="978" t="s">
        <v>462</v>
      </c>
      <c r="C242" s="779">
        <v>3</v>
      </c>
      <c r="D242" s="779">
        <v>1</v>
      </c>
      <c r="E242" s="919">
        <v>6</v>
      </c>
      <c r="F242" s="271">
        <f t="shared" si="48"/>
        <v>207.89999999999998</v>
      </c>
      <c r="G242" s="779">
        <v>30</v>
      </c>
      <c r="H242" s="916">
        <f t="shared" si="50"/>
        <v>540</v>
      </c>
      <c r="I242" s="269">
        <f t="shared" si="49"/>
        <v>207.89999999999998</v>
      </c>
      <c r="J242" s="1001"/>
      <c r="K242" s="1004"/>
      <c r="L242" s="1041"/>
      <c r="M242" s="1003"/>
      <c r="N242" s="1003"/>
      <c r="O242" s="1003"/>
      <c r="P242" s="1003"/>
      <c r="Q242" s="1003"/>
    </row>
    <row r="243" spans="1:17" s="953" customFormat="1" ht="25" customHeight="1">
      <c r="A243" s="954" t="s">
        <v>231</v>
      </c>
      <c r="B243" s="978" t="s">
        <v>463</v>
      </c>
      <c r="C243" s="779">
        <v>3</v>
      </c>
      <c r="D243" s="779">
        <v>1</v>
      </c>
      <c r="E243" s="919">
        <v>6</v>
      </c>
      <c r="F243" s="271">
        <f t="shared" si="48"/>
        <v>207.89999999999998</v>
      </c>
      <c r="G243" s="779">
        <v>30</v>
      </c>
      <c r="H243" s="916">
        <f t="shared" si="50"/>
        <v>540</v>
      </c>
      <c r="I243" s="269">
        <f t="shared" si="49"/>
        <v>207.89999999999998</v>
      </c>
      <c r="J243" s="1001"/>
      <c r="K243" s="964"/>
      <c r="L243" s="263"/>
      <c r="M243" s="323"/>
      <c r="N243" s="323"/>
      <c r="O243" s="323"/>
      <c r="P243" s="323"/>
      <c r="Q243" s="323"/>
    </row>
    <row r="244" spans="1:17" s="953" customFormat="1" ht="25" customHeight="1">
      <c r="A244" s="954" t="s">
        <v>282</v>
      </c>
      <c r="B244" s="978" t="s">
        <v>464</v>
      </c>
      <c r="C244" s="779">
        <v>3</v>
      </c>
      <c r="D244" s="779">
        <v>1</v>
      </c>
      <c r="E244" s="919">
        <v>2</v>
      </c>
      <c r="F244" s="271">
        <f t="shared" si="48"/>
        <v>69.3</v>
      </c>
      <c r="G244" s="779">
        <v>30</v>
      </c>
      <c r="H244" s="916">
        <f t="shared" si="50"/>
        <v>180</v>
      </c>
      <c r="I244" s="269">
        <f t="shared" si="49"/>
        <v>69.3</v>
      </c>
      <c r="J244" s="1001"/>
      <c r="K244" s="974"/>
      <c r="L244" s="260"/>
      <c r="M244" s="323"/>
      <c r="N244" s="323"/>
      <c r="O244" s="323"/>
      <c r="P244" s="323"/>
      <c r="Q244" s="323"/>
    </row>
    <row r="245" spans="1:17" s="953" customFormat="1" ht="25" customHeight="1">
      <c r="A245" s="954" t="s">
        <v>283</v>
      </c>
      <c r="B245" s="978" t="s">
        <v>465</v>
      </c>
      <c r="C245" s="779">
        <v>3</v>
      </c>
      <c r="D245" s="779">
        <v>1</v>
      </c>
      <c r="E245" s="919">
        <v>2</v>
      </c>
      <c r="F245" s="271">
        <f t="shared" si="48"/>
        <v>69.3</v>
      </c>
      <c r="G245" s="779">
        <v>30</v>
      </c>
      <c r="H245" s="916">
        <f t="shared" si="50"/>
        <v>180</v>
      </c>
      <c r="I245" s="269">
        <f t="shared" si="49"/>
        <v>69.3</v>
      </c>
      <c r="J245" s="1001"/>
      <c r="K245" s="964"/>
      <c r="L245" s="260"/>
      <c r="M245" s="323"/>
      <c r="N245" s="323"/>
      <c r="O245" s="323"/>
      <c r="P245" s="323"/>
      <c r="Q245" s="323"/>
    </row>
    <row r="246" spans="1:17" s="953" customFormat="1" ht="25" customHeight="1">
      <c r="A246" s="954" t="s">
        <v>284</v>
      </c>
      <c r="B246" s="978" t="s">
        <v>466</v>
      </c>
      <c r="C246" s="779">
        <v>3</v>
      </c>
      <c r="D246" s="779">
        <v>1</v>
      </c>
      <c r="E246" s="919">
        <v>6</v>
      </c>
      <c r="F246" s="271">
        <f t="shared" si="48"/>
        <v>207.89999999999998</v>
      </c>
      <c r="G246" s="779">
        <v>30</v>
      </c>
      <c r="H246" s="916">
        <f t="shared" si="50"/>
        <v>540</v>
      </c>
      <c r="I246" s="1052"/>
      <c r="J246" s="269">
        <f>C246*E246*16.5*0.7</f>
        <v>207.89999999999998</v>
      </c>
      <c r="K246" s="974"/>
      <c r="L246" s="260"/>
      <c r="M246" s="323"/>
      <c r="N246" s="323"/>
      <c r="O246" s="323"/>
      <c r="P246" s="323"/>
      <c r="Q246" s="323"/>
    </row>
    <row r="247" spans="1:17" s="953" customFormat="1" ht="25" customHeight="1">
      <c r="A247" s="954" t="s">
        <v>285</v>
      </c>
      <c r="B247" s="978" t="s">
        <v>467</v>
      </c>
      <c r="C247" s="779">
        <v>3</v>
      </c>
      <c r="D247" s="779">
        <v>1</v>
      </c>
      <c r="E247" s="919">
        <v>6</v>
      </c>
      <c r="F247" s="271">
        <f t="shared" si="48"/>
        <v>207.89999999999998</v>
      </c>
      <c r="G247" s="779">
        <v>30</v>
      </c>
      <c r="H247" s="916">
        <f t="shared" si="50"/>
        <v>540</v>
      </c>
      <c r="I247" s="1052"/>
      <c r="J247" s="269">
        <f>C247*E247*16.5*0.7</f>
        <v>207.89999999999998</v>
      </c>
      <c r="K247" s="974"/>
      <c r="L247" s="260"/>
      <c r="M247" s="323"/>
      <c r="N247" s="323"/>
      <c r="O247" s="323"/>
      <c r="P247" s="323"/>
      <c r="Q247" s="323"/>
    </row>
    <row r="248" spans="1:17" s="1005" customFormat="1" ht="25" customHeight="1">
      <c r="A248" s="954" t="s">
        <v>286</v>
      </c>
      <c r="B248" s="978" t="s">
        <v>468</v>
      </c>
      <c r="C248" s="779">
        <v>3</v>
      </c>
      <c r="D248" s="779">
        <v>1</v>
      </c>
      <c r="E248" s="919">
        <v>2</v>
      </c>
      <c r="F248" s="271">
        <f t="shared" si="48"/>
        <v>69.3</v>
      </c>
      <c r="G248" s="779">
        <v>30</v>
      </c>
      <c r="H248" s="916">
        <f t="shared" si="50"/>
        <v>180</v>
      </c>
      <c r="I248" s="1053"/>
      <c r="J248" s="269">
        <f>C248*E248*16.5*0.7</f>
        <v>69.3</v>
      </c>
      <c r="K248" s="967"/>
      <c r="L248" s="277"/>
      <c r="M248" s="323"/>
      <c r="N248" s="323"/>
      <c r="O248" s="323"/>
      <c r="P248" s="323"/>
      <c r="Q248" s="323"/>
    </row>
    <row r="249" spans="1:17" s="1005" customFormat="1" ht="25" customHeight="1">
      <c r="A249" s="954" t="s">
        <v>289</v>
      </c>
      <c r="B249" s="978" t="s">
        <v>469</v>
      </c>
      <c r="C249" s="779">
        <v>3</v>
      </c>
      <c r="D249" s="779">
        <v>1</v>
      </c>
      <c r="E249" s="919">
        <v>2</v>
      </c>
      <c r="F249" s="271">
        <f t="shared" si="48"/>
        <v>69.3</v>
      </c>
      <c r="G249" s="779">
        <v>30</v>
      </c>
      <c r="H249" s="916">
        <f t="shared" si="50"/>
        <v>180</v>
      </c>
      <c r="I249" s="1053"/>
      <c r="J249" s="269">
        <f>C249*E249*16.5*0.7</f>
        <v>69.3</v>
      </c>
      <c r="K249" s="967"/>
      <c r="L249" s="277"/>
      <c r="M249" s="323"/>
      <c r="N249" s="323"/>
      <c r="O249" s="323"/>
      <c r="P249" s="323"/>
      <c r="Q249" s="323"/>
    </row>
    <row r="250" spans="1:17" s="1005" customFormat="1" ht="25" customHeight="1">
      <c r="A250" s="954" t="s">
        <v>290</v>
      </c>
      <c r="B250" s="978" t="s">
        <v>463</v>
      </c>
      <c r="C250" s="779">
        <v>3</v>
      </c>
      <c r="D250" s="779">
        <v>1</v>
      </c>
      <c r="E250" s="919">
        <v>6</v>
      </c>
      <c r="F250" s="271">
        <f t="shared" si="48"/>
        <v>207.89999999999998</v>
      </c>
      <c r="G250" s="779">
        <v>30</v>
      </c>
      <c r="H250" s="916">
        <f t="shared" si="50"/>
        <v>540</v>
      </c>
      <c r="I250" s="270"/>
      <c r="J250" s="269">
        <f>C250*E250*16.5*0.7</f>
        <v>207.89999999999998</v>
      </c>
      <c r="K250" s="1054"/>
      <c r="L250" s="324"/>
      <c r="M250" s="325"/>
      <c r="N250" s="325"/>
      <c r="O250" s="325"/>
      <c r="P250" s="325"/>
      <c r="Q250" s="325"/>
    </row>
    <row r="251" spans="1:17" s="1005" customFormat="1" ht="25" customHeight="1">
      <c r="A251" s="964" t="s">
        <v>148</v>
      </c>
      <c r="B251" s="1035" t="s">
        <v>812</v>
      </c>
      <c r="C251" s="779"/>
      <c r="D251" s="779"/>
      <c r="E251" s="779"/>
      <c r="F251" s="916"/>
      <c r="G251" s="779"/>
      <c r="H251" s="916"/>
      <c r="I251" s="270"/>
      <c r="J251" s="1001"/>
      <c r="K251" s="1054"/>
      <c r="L251" s="324"/>
      <c r="M251" s="325"/>
      <c r="N251" s="325"/>
      <c r="O251" s="325"/>
      <c r="P251" s="325"/>
      <c r="Q251" s="325"/>
    </row>
    <row r="252" spans="1:17" s="1005" customFormat="1" ht="25" customHeight="1">
      <c r="A252" s="967" t="s">
        <v>512</v>
      </c>
      <c r="B252" s="954" t="s">
        <v>471</v>
      </c>
      <c r="C252" s="779">
        <v>15</v>
      </c>
      <c r="D252" s="779">
        <v>1</v>
      </c>
      <c r="E252" s="779">
        <v>1</v>
      </c>
      <c r="F252" s="271">
        <f>I252+J252+K252</f>
        <v>175</v>
      </c>
      <c r="G252" s="779">
        <v>5</v>
      </c>
      <c r="H252" s="916">
        <f>C252*G252</f>
        <v>75</v>
      </c>
      <c r="I252" s="269">
        <f>G252*35</f>
        <v>175</v>
      </c>
      <c r="J252" s="1001"/>
      <c r="K252" s="1054"/>
      <c r="L252" s="326"/>
      <c r="M252" s="326"/>
      <c r="N252" s="326"/>
      <c r="O252" s="326"/>
      <c r="P252" s="326"/>
      <c r="Q252" s="326"/>
    </row>
    <row r="253" spans="1:17" s="1005" customFormat="1" ht="25" customHeight="1">
      <c r="A253" s="967" t="s">
        <v>513</v>
      </c>
      <c r="B253" s="954" t="s">
        <v>666</v>
      </c>
      <c r="C253" s="779">
        <v>15</v>
      </c>
      <c r="D253" s="779">
        <v>1</v>
      </c>
      <c r="E253" s="779">
        <v>1</v>
      </c>
      <c r="F253" s="271">
        <f>I253+K253+J253</f>
        <v>245</v>
      </c>
      <c r="G253" s="779">
        <v>7</v>
      </c>
      <c r="H253" s="916">
        <f t="shared" ref="H253:H266" si="51">C253*G253</f>
        <v>105</v>
      </c>
      <c r="I253" s="269"/>
      <c r="K253" s="1002">
        <f>G253*35</f>
        <v>245</v>
      </c>
      <c r="L253" s="325"/>
      <c r="M253" s="325"/>
      <c r="N253" s="325"/>
      <c r="O253" s="325"/>
      <c r="P253" s="325"/>
      <c r="Q253" s="325"/>
    </row>
    <row r="254" spans="1:17" s="1005" customFormat="1" ht="25" customHeight="1">
      <c r="A254" s="967" t="s">
        <v>514</v>
      </c>
      <c r="B254" s="954" t="s">
        <v>472</v>
      </c>
      <c r="C254" s="779">
        <v>15</v>
      </c>
      <c r="D254" s="779">
        <v>1</v>
      </c>
      <c r="E254" s="779">
        <v>1</v>
      </c>
      <c r="F254" s="271">
        <f t="shared" ref="F254:F267" si="52">I254+J254+K254</f>
        <v>175</v>
      </c>
      <c r="G254" s="779">
        <v>5</v>
      </c>
      <c r="H254" s="916">
        <f t="shared" si="51"/>
        <v>75</v>
      </c>
      <c r="I254" s="269">
        <f>G254*35</f>
        <v>175</v>
      </c>
      <c r="J254" s="1002"/>
      <c r="K254" s="1054"/>
      <c r="L254" s="328"/>
      <c r="M254" s="328"/>
      <c r="N254" s="328"/>
      <c r="O254" s="328"/>
      <c r="P254" s="328"/>
      <c r="Q254" s="328"/>
    </row>
    <row r="255" spans="1:17" s="1005" customFormat="1" ht="25" customHeight="1">
      <c r="A255" s="967" t="s">
        <v>515</v>
      </c>
      <c r="B255" s="954" t="s">
        <v>473</v>
      </c>
      <c r="C255" s="779">
        <v>15</v>
      </c>
      <c r="D255" s="779">
        <v>1</v>
      </c>
      <c r="E255" s="779">
        <v>1</v>
      </c>
      <c r="F255" s="271">
        <f t="shared" si="52"/>
        <v>175</v>
      </c>
      <c r="G255" s="779">
        <v>5</v>
      </c>
      <c r="H255" s="916">
        <f t="shared" si="51"/>
        <v>75</v>
      </c>
      <c r="I255" s="270"/>
      <c r="J255" s="1002">
        <f>G255*35</f>
        <v>175</v>
      </c>
      <c r="K255" s="1054"/>
      <c r="L255" s="324"/>
      <c r="M255" s="1573"/>
      <c r="N255" s="1573"/>
      <c r="O255" s="1573"/>
      <c r="P255" s="1573"/>
      <c r="Q255" s="1573"/>
    </row>
    <row r="256" spans="1:17" s="1005" customFormat="1" ht="25" customHeight="1">
      <c r="A256" s="967" t="s">
        <v>516</v>
      </c>
      <c r="B256" s="954" t="s">
        <v>474</v>
      </c>
      <c r="C256" s="779">
        <v>15</v>
      </c>
      <c r="D256" s="779">
        <v>1</v>
      </c>
      <c r="E256" s="779">
        <v>1</v>
      </c>
      <c r="F256" s="271">
        <f t="shared" si="52"/>
        <v>175</v>
      </c>
      <c r="G256" s="779">
        <v>5</v>
      </c>
      <c r="H256" s="916">
        <f t="shared" si="51"/>
        <v>75</v>
      </c>
      <c r="I256" s="270"/>
      <c r="J256" s="1002">
        <f>G256*35</f>
        <v>175</v>
      </c>
      <c r="K256" s="1054"/>
      <c r="L256" s="324"/>
      <c r="M256" s="325"/>
      <c r="N256" s="325"/>
      <c r="O256" s="325"/>
      <c r="P256" s="325"/>
      <c r="Q256" s="325"/>
    </row>
    <row r="257" spans="1:17" ht="25" customHeight="1">
      <c r="A257" s="967" t="s">
        <v>517</v>
      </c>
      <c r="B257" s="954" t="s">
        <v>508</v>
      </c>
      <c r="C257" s="779">
        <v>15</v>
      </c>
      <c r="D257" s="779">
        <v>1</v>
      </c>
      <c r="E257" s="779">
        <v>1</v>
      </c>
      <c r="F257" s="271">
        <f t="shared" si="52"/>
        <v>175</v>
      </c>
      <c r="G257" s="779">
        <v>5</v>
      </c>
      <c r="H257" s="916">
        <f t="shared" si="51"/>
        <v>75</v>
      </c>
      <c r="I257" s="269">
        <f t="shared" ref="I257:I262" si="53">G257*35</f>
        <v>175</v>
      </c>
      <c r="J257" s="1055"/>
      <c r="K257" s="1054"/>
      <c r="L257" s="324"/>
      <c r="M257" s="325"/>
      <c r="N257" s="325"/>
      <c r="O257" s="325"/>
      <c r="P257" s="325"/>
      <c r="Q257" s="325"/>
    </row>
    <row r="258" spans="1:17" ht="25" customHeight="1">
      <c r="A258" s="967" t="s">
        <v>518</v>
      </c>
      <c r="B258" s="954" t="s">
        <v>509</v>
      </c>
      <c r="C258" s="779">
        <v>15</v>
      </c>
      <c r="D258" s="779">
        <v>1</v>
      </c>
      <c r="E258" s="779">
        <v>1</v>
      </c>
      <c r="F258" s="271">
        <f t="shared" si="52"/>
        <v>175</v>
      </c>
      <c r="G258" s="779">
        <v>5</v>
      </c>
      <c r="H258" s="916">
        <f t="shared" si="51"/>
        <v>75</v>
      </c>
      <c r="I258" s="269">
        <f t="shared" si="53"/>
        <v>175</v>
      </c>
      <c r="J258" s="1055"/>
      <c r="K258" s="1054"/>
      <c r="L258" s="324"/>
      <c r="M258" s="329"/>
      <c r="N258" s="329"/>
      <c r="O258" s="329"/>
      <c r="P258" s="329"/>
      <c r="Q258" s="329"/>
    </row>
    <row r="259" spans="1:17" ht="25" customHeight="1">
      <c r="A259" s="967" t="s">
        <v>519</v>
      </c>
      <c r="B259" s="981" t="s">
        <v>510</v>
      </c>
      <c r="C259" s="779">
        <v>15</v>
      </c>
      <c r="D259" s="779">
        <v>1</v>
      </c>
      <c r="E259" s="779">
        <v>1</v>
      </c>
      <c r="F259" s="271">
        <f t="shared" si="52"/>
        <v>175</v>
      </c>
      <c r="G259" s="779">
        <v>5</v>
      </c>
      <c r="H259" s="916">
        <f t="shared" si="51"/>
        <v>75</v>
      </c>
      <c r="I259" s="269">
        <f t="shared" si="53"/>
        <v>175</v>
      </c>
      <c r="J259" s="1056"/>
      <c r="K259" s="1054"/>
      <c r="L259" s="324"/>
      <c r="M259" s="329"/>
      <c r="N259" s="329"/>
      <c r="O259" s="329"/>
      <c r="P259" s="329"/>
      <c r="Q259" s="329"/>
    </row>
    <row r="260" spans="1:17" ht="25" customHeight="1">
      <c r="A260" s="967" t="s">
        <v>520</v>
      </c>
      <c r="B260" s="981" t="s">
        <v>511</v>
      </c>
      <c r="C260" s="779">
        <v>15</v>
      </c>
      <c r="D260" s="779">
        <v>1</v>
      </c>
      <c r="E260" s="779">
        <v>1</v>
      </c>
      <c r="F260" s="271">
        <f t="shared" si="52"/>
        <v>175</v>
      </c>
      <c r="G260" s="779">
        <v>5</v>
      </c>
      <c r="H260" s="916">
        <f t="shared" si="51"/>
        <v>75</v>
      </c>
      <c r="I260" s="269">
        <f t="shared" si="53"/>
        <v>175</v>
      </c>
      <c r="J260" s="1002"/>
      <c r="K260" s="1054"/>
      <c r="L260" s="324"/>
      <c r="M260" s="329"/>
      <c r="N260" s="329"/>
      <c r="O260" s="329"/>
      <c r="P260" s="329"/>
      <c r="Q260" s="329"/>
    </row>
    <row r="261" spans="1:17" ht="25" customHeight="1">
      <c r="A261" s="967" t="s">
        <v>521</v>
      </c>
      <c r="B261" s="981" t="s">
        <v>566</v>
      </c>
      <c r="C261" s="779">
        <v>15</v>
      </c>
      <c r="D261" s="779">
        <v>1</v>
      </c>
      <c r="E261" s="779">
        <v>1</v>
      </c>
      <c r="F261" s="271">
        <f t="shared" si="52"/>
        <v>175</v>
      </c>
      <c r="G261" s="779">
        <v>5</v>
      </c>
      <c r="H261" s="916">
        <f t="shared" si="51"/>
        <v>75</v>
      </c>
      <c r="I261" s="269">
        <f t="shared" si="53"/>
        <v>175</v>
      </c>
      <c r="J261" s="1002"/>
      <c r="K261" s="1054"/>
      <c r="L261" s="324"/>
      <c r="M261" s="329"/>
      <c r="N261" s="329"/>
      <c r="O261" s="329"/>
      <c r="P261" s="329"/>
      <c r="Q261" s="329"/>
    </row>
    <row r="262" spans="1:17" ht="25" customHeight="1">
      <c r="A262" s="967" t="s">
        <v>667</v>
      </c>
      <c r="B262" s="981" t="s">
        <v>668</v>
      </c>
      <c r="C262" s="779">
        <v>15</v>
      </c>
      <c r="D262" s="779">
        <v>1</v>
      </c>
      <c r="E262" s="779">
        <v>1</v>
      </c>
      <c r="F262" s="271">
        <f t="shared" si="52"/>
        <v>175</v>
      </c>
      <c r="G262" s="779">
        <v>5</v>
      </c>
      <c r="H262" s="916">
        <f t="shared" si="51"/>
        <v>75</v>
      </c>
      <c r="I262" s="269">
        <f t="shared" si="53"/>
        <v>175</v>
      </c>
      <c r="J262" s="1002"/>
      <c r="K262" s="1054"/>
      <c r="L262" s="324"/>
      <c r="M262" s="329"/>
      <c r="N262" s="329"/>
      <c r="O262" s="329"/>
      <c r="P262" s="329"/>
      <c r="Q262" s="329"/>
    </row>
    <row r="263" spans="1:17" ht="25" customHeight="1">
      <c r="A263" s="967" t="s">
        <v>669</v>
      </c>
      <c r="B263" s="981" t="s">
        <v>670</v>
      </c>
      <c r="C263" s="779">
        <v>15</v>
      </c>
      <c r="D263" s="779">
        <v>1</v>
      </c>
      <c r="E263" s="779">
        <v>1</v>
      </c>
      <c r="F263" s="271">
        <f t="shared" si="52"/>
        <v>70</v>
      </c>
      <c r="G263" s="779">
        <v>2</v>
      </c>
      <c r="H263" s="916">
        <f>C263*G263</f>
        <v>30</v>
      </c>
      <c r="I263" s="269"/>
      <c r="J263" s="1002">
        <f>G263*35</f>
        <v>70</v>
      </c>
      <c r="K263" s="1054"/>
      <c r="L263" s="324"/>
      <c r="M263" s="329"/>
      <c r="N263" s="329"/>
      <c r="O263" s="329"/>
      <c r="P263" s="329"/>
      <c r="Q263" s="329"/>
    </row>
    <row r="264" spans="1:17" ht="25" customHeight="1">
      <c r="A264" s="967" t="s">
        <v>671</v>
      </c>
      <c r="B264" s="981" t="s">
        <v>672</v>
      </c>
      <c r="C264" s="779">
        <v>15</v>
      </c>
      <c r="D264" s="779">
        <v>1</v>
      </c>
      <c r="E264" s="779">
        <v>1</v>
      </c>
      <c r="F264" s="271">
        <f t="shared" si="52"/>
        <v>70</v>
      </c>
      <c r="G264" s="779">
        <v>2</v>
      </c>
      <c r="H264" s="916">
        <f t="shared" si="51"/>
        <v>30</v>
      </c>
      <c r="I264" s="269"/>
      <c r="J264" s="1002">
        <f>G264*35</f>
        <v>70</v>
      </c>
      <c r="K264" s="1054"/>
      <c r="L264" s="324"/>
      <c r="M264" s="330"/>
      <c r="N264" s="330"/>
      <c r="O264" s="330"/>
      <c r="P264" s="330"/>
      <c r="Q264" s="330"/>
    </row>
    <row r="265" spans="1:17" ht="25" customHeight="1">
      <c r="A265" s="1057"/>
      <c r="B265" s="968" t="s">
        <v>672</v>
      </c>
      <c r="C265" s="919">
        <v>15</v>
      </c>
      <c r="D265" s="919">
        <v>1</v>
      </c>
      <c r="E265" s="919">
        <v>1</v>
      </c>
      <c r="F265" s="1058"/>
      <c r="G265" s="1059">
        <v>2</v>
      </c>
      <c r="H265" s="1059">
        <f t="shared" si="51"/>
        <v>30</v>
      </c>
      <c r="I265" s="1060"/>
      <c r="J265" s="1002">
        <f>G265*35</f>
        <v>70</v>
      </c>
      <c r="K265" s="1061"/>
      <c r="L265" s="1061"/>
      <c r="M265" s="1062"/>
      <c r="N265" s="1062"/>
      <c r="O265" s="1062"/>
      <c r="P265" s="1062"/>
      <c r="Q265" s="1062"/>
    </row>
    <row r="266" spans="1:17" ht="25" customHeight="1">
      <c r="A266" s="1057"/>
      <c r="B266" s="968" t="s">
        <v>973</v>
      </c>
      <c r="C266" s="919">
        <v>15</v>
      </c>
      <c r="D266" s="919">
        <v>1</v>
      </c>
      <c r="E266" s="919">
        <v>1</v>
      </c>
      <c r="F266" s="1058"/>
      <c r="G266" s="1059">
        <v>2</v>
      </c>
      <c r="H266" s="1059">
        <f t="shared" si="51"/>
        <v>30</v>
      </c>
      <c r="I266" s="1060"/>
      <c r="J266" s="1002">
        <f>G266*35</f>
        <v>70</v>
      </c>
      <c r="K266" s="1061"/>
      <c r="L266" s="1061"/>
      <c r="M266" s="1062"/>
      <c r="N266" s="1062"/>
      <c r="O266" s="1062"/>
      <c r="P266" s="1062"/>
      <c r="Q266" s="1062"/>
    </row>
    <row r="267" spans="1:17" ht="25" customHeight="1">
      <c r="A267" s="1033"/>
      <c r="B267" s="1063" t="s">
        <v>974</v>
      </c>
      <c r="C267" s="779">
        <v>15</v>
      </c>
      <c r="D267" s="779">
        <v>1</v>
      </c>
      <c r="E267" s="779">
        <v>1</v>
      </c>
      <c r="F267" s="271">
        <f t="shared" si="52"/>
        <v>2625</v>
      </c>
      <c r="G267" s="779">
        <v>75</v>
      </c>
      <c r="H267" s="916">
        <f>C267*G267</f>
        <v>1125</v>
      </c>
      <c r="I267" s="269"/>
      <c r="J267" s="1002"/>
      <c r="K267" s="1002">
        <f>G267*35</f>
        <v>2625</v>
      </c>
      <c r="L267" s="324"/>
      <c r="M267" s="325"/>
      <c r="N267" s="325"/>
      <c r="O267" s="325"/>
      <c r="P267" s="325"/>
      <c r="Q267" s="325"/>
    </row>
    <row r="268" spans="1:17" ht="25" customHeight="1">
      <c r="A268" s="969"/>
      <c r="B268" s="970" t="s">
        <v>380</v>
      </c>
      <c r="C268" s="971">
        <f>SUM(C238:C267)</f>
        <v>279</v>
      </c>
      <c r="D268" s="971">
        <f t="shared" ref="D268:J268" si="54">SUM(D238:D267)</f>
        <v>29</v>
      </c>
      <c r="E268" s="971">
        <f t="shared" si="54"/>
        <v>70</v>
      </c>
      <c r="F268" s="971">
        <f t="shared" si="54"/>
        <v>6631.1</v>
      </c>
      <c r="G268" s="971">
        <f t="shared" si="54"/>
        <v>530</v>
      </c>
      <c r="H268" s="971">
        <f t="shared" si="54"/>
        <v>6960</v>
      </c>
      <c r="I268" s="971">
        <f t="shared" si="54"/>
        <v>2508.8000000000002</v>
      </c>
      <c r="J268" s="971">
        <f t="shared" si="54"/>
        <v>1392.3</v>
      </c>
      <c r="K268" s="971">
        <f>SUM(K238:K267)</f>
        <v>2870</v>
      </c>
      <c r="L268" s="324"/>
      <c r="M268" s="325"/>
      <c r="N268" s="325"/>
      <c r="O268" s="325"/>
      <c r="P268" s="325"/>
      <c r="Q268" s="325"/>
    </row>
    <row r="269" spans="1:17" ht="25" customHeight="1">
      <c r="A269" s="974">
        <v>3</v>
      </c>
      <c r="B269" s="974" t="s">
        <v>166</v>
      </c>
      <c r="C269" s="779"/>
      <c r="D269" s="779"/>
      <c r="E269" s="779"/>
      <c r="F269" s="271"/>
      <c r="G269" s="779"/>
      <c r="H269" s="916"/>
      <c r="I269" s="269"/>
      <c r="J269" s="1001"/>
      <c r="K269" s="1054"/>
      <c r="L269" s="324"/>
      <c r="M269" s="325"/>
      <c r="N269" s="325"/>
      <c r="O269" s="325"/>
      <c r="P269" s="325"/>
      <c r="Q269" s="325"/>
    </row>
    <row r="270" spans="1:17" ht="25" customHeight="1">
      <c r="A270" s="975" t="s">
        <v>147</v>
      </c>
      <c r="B270" s="976" t="s">
        <v>167</v>
      </c>
      <c r="C270" s="779"/>
      <c r="D270" s="779"/>
      <c r="E270" s="779"/>
      <c r="F270" s="271"/>
      <c r="G270" s="779"/>
      <c r="H270" s="916"/>
      <c r="I270" s="269"/>
      <c r="J270" s="1001"/>
      <c r="K270" s="1054"/>
      <c r="L270" s="324"/>
      <c r="M270" s="325"/>
      <c r="N270" s="325"/>
      <c r="O270" s="325"/>
      <c r="P270" s="325"/>
      <c r="Q270" s="325"/>
    </row>
    <row r="271" spans="1:17" ht="25" customHeight="1">
      <c r="A271" s="954" t="s">
        <v>226</v>
      </c>
      <c r="B271" s="977" t="s">
        <v>475</v>
      </c>
      <c r="C271" s="779">
        <v>3</v>
      </c>
      <c r="D271" s="779">
        <v>1</v>
      </c>
      <c r="E271" s="779">
        <v>1</v>
      </c>
      <c r="F271" s="916">
        <f>I271+J271+K271</f>
        <v>99</v>
      </c>
      <c r="G271" s="779">
        <v>11</v>
      </c>
      <c r="H271" s="916">
        <f>C271*E271*G271</f>
        <v>33</v>
      </c>
      <c r="I271" s="269"/>
      <c r="J271" s="1001"/>
      <c r="K271" s="1054">
        <f>IF(G271&lt;70, C271*E271*16.5*2, C271*E271*16.5*2)</f>
        <v>99</v>
      </c>
      <c r="L271" s="324"/>
      <c r="M271" s="325"/>
      <c r="N271" s="325"/>
      <c r="O271" s="325"/>
      <c r="P271" s="325"/>
      <c r="Q271" s="325"/>
    </row>
    <row r="272" spans="1:17" ht="25" customHeight="1">
      <c r="A272" s="954" t="s">
        <v>227</v>
      </c>
      <c r="B272" s="977" t="s">
        <v>476</v>
      </c>
      <c r="C272" s="779">
        <v>3</v>
      </c>
      <c r="D272" s="779">
        <v>1</v>
      </c>
      <c r="E272" s="779">
        <v>1</v>
      </c>
      <c r="F272" s="916">
        <f>I272+J272+K272</f>
        <v>99</v>
      </c>
      <c r="G272" s="779">
        <v>11</v>
      </c>
      <c r="H272" s="916">
        <f>C272*E272*G272</f>
        <v>33</v>
      </c>
      <c r="I272" s="269">
        <f>IF(G272&lt;70, C272*E272*16.5*2, C272*E272*16.5*2)</f>
        <v>99</v>
      </c>
      <c r="J272" s="1001"/>
      <c r="K272" s="1054"/>
      <c r="L272" s="324"/>
      <c r="M272" s="325"/>
      <c r="N272" s="325"/>
      <c r="O272" s="325"/>
      <c r="P272" s="325"/>
      <c r="Q272" s="325"/>
    </row>
    <row r="273" spans="1:17" ht="25" customHeight="1">
      <c r="A273" s="967" t="s">
        <v>477</v>
      </c>
      <c r="B273" s="954" t="s">
        <v>478</v>
      </c>
      <c r="C273" s="779">
        <v>3</v>
      </c>
      <c r="D273" s="779">
        <v>1</v>
      </c>
      <c r="E273" s="779">
        <v>1</v>
      </c>
      <c r="F273" s="916">
        <f>I273+J273+K273</f>
        <v>99</v>
      </c>
      <c r="G273" s="779">
        <v>11</v>
      </c>
      <c r="H273" s="916">
        <f>C273*E273*G273</f>
        <v>33</v>
      </c>
      <c r="I273" s="269">
        <f>IF(G273&lt;70, C273*E273*16.5*2, C273*E273*16.5*2)</f>
        <v>99</v>
      </c>
      <c r="J273" s="1001"/>
      <c r="K273" s="1054"/>
      <c r="L273" s="324"/>
      <c r="M273" s="325"/>
      <c r="N273" s="325"/>
      <c r="O273" s="325"/>
      <c r="P273" s="325"/>
      <c r="Q273" s="325"/>
    </row>
    <row r="274" spans="1:17" ht="25" customHeight="1">
      <c r="A274" s="964" t="s">
        <v>148</v>
      </c>
      <c r="B274" s="1035" t="s">
        <v>168</v>
      </c>
      <c r="C274" s="779"/>
      <c r="D274" s="779"/>
      <c r="E274" s="779"/>
      <c r="F274" s="271"/>
      <c r="G274" s="779"/>
      <c r="H274" s="916"/>
      <c r="I274" s="270"/>
      <c r="J274" s="1001"/>
      <c r="K274" s="1054"/>
      <c r="L274" s="324"/>
      <c r="M274" s="325"/>
      <c r="N274" s="325"/>
      <c r="O274" s="325"/>
      <c r="P274" s="325"/>
      <c r="Q274" s="325"/>
    </row>
    <row r="275" spans="1:17" ht="25" customHeight="1">
      <c r="A275" s="964"/>
      <c r="B275" s="1035" t="s">
        <v>674</v>
      </c>
      <c r="C275" s="779"/>
      <c r="D275" s="779"/>
      <c r="E275" s="779"/>
      <c r="F275" s="916"/>
      <c r="G275" s="779"/>
      <c r="H275" s="916"/>
      <c r="I275" s="270"/>
      <c r="J275" s="1001"/>
      <c r="K275" s="1054"/>
      <c r="L275" s="324"/>
      <c r="M275" s="325"/>
      <c r="N275" s="325"/>
      <c r="O275" s="325"/>
      <c r="P275" s="325"/>
      <c r="Q275" s="325" t="s">
        <v>707</v>
      </c>
    </row>
    <row r="276" spans="1:17" ht="25" customHeight="1">
      <c r="A276" s="964"/>
      <c r="B276" s="1035" t="s">
        <v>675</v>
      </c>
      <c r="C276" s="779"/>
      <c r="D276" s="779"/>
      <c r="E276" s="779"/>
      <c r="F276" s="1064"/>
      <c r="G276" s="1056"/>
      <c r="H276" s="1056"/>
      <c r="I276" s="1056"/>
      <c r="J276" s="1001"/>
      <c r="K276" s="1054"/>
      <c r="L276" s="324"/>
      <c r="M276" s="325"/>
      <c r="N276" s="325"/>
      <c r="O276" s="325"/>
      <c r="P276" s="325"/>
      <c r="Q276" s="325"/>
    </row>
    <row r="277" spans="1:17" ht="25" customHeight="1">
      <c r="A277" s="964"/>
      <c r="B277" s="1035" t="s">
        <v>479</v>
      </c>
      <c r="C277" s="779"/>
      <c r="D277" s="779"/>
      <c r="E277" s="779"/>
      <c r="F277" s="916">
        <f>I277+J276+K276</f>
        <v>1140</v>
      </c>
      <c r="G277" s="779"/>
      <c r="H277" s="916"/>
      <c r="I277" s="270">
        <v>1140</v>
      </c>
      <c r="J277" s="1001"/>
      <c r="K277" s="1054"/>
      <c r="L277" s="324"/>
      <c r="M277" s="325"/>
      <c r="N277" s="325"/>
      <c r="O277" s="325"/>
      <c r="P277" s="325"/>
      <c r="Q277" s="325"/>
    </row>
    <row r="278" spans="1:17" ht="25" customHeight="1">
      <c r="A278" s="967"/>
      <c r="B278" s="954" t="s">
        <v>480</v>
      </c>
      <c r="C278" s="779"/>
      <c r="D278" s="779"/>
      <c r="E278" s="779"/>
      <c r="F278" s="916">
        <f>I278+J277+K277</f>
        <v>300</v>
      </c>
      <c r="G278" s="779"/>
      <c r="H278" s="916"/>
      <c r="I278" s="270">
        <v>300</v>
      </c>
      <c r="J278" s="1001"/>
      <c r="K278" s="1054"/>
      <c r="L278" s="324"/>
      <c r="M278" s="325"/>
      <c r="N278" s="325"/>
      <c r="O278" s="325"/>
      <c r="P278" s="325"/>
      <c r="Q278" s="325"/>
    </row>
    <row r="279" spans="1:17" ht="25" customHeight="1">
      <c r="A279" s="964" t="s">
        <v>169</v>
      </c>
      <c r="B279" s="1035" t="s">
        <v>170</v>
      </c>
      <c r="C279" s="779"/>
      <c r="D279" s="779"/>
      <c r="E279" s="779"/>
      <c r="F279" s="271"/>
      <c r="G279" s="779"/>
      <c r="H279" s="916"/>
      <c r="I279" s="270"/>
      <c r="J279" s="1001"/>
      <c r="K279" s="1054"/>
      <c r="L279" s="324"/>
      <c r="M279" s="325"/>
      <c r="N279" s="325"/>
      <c r="O279" s="325"/>
      <c r="P279" s="325"/>
      <c r="Q279" s="325"/>
    </row>
    <row r="280" spans="1:17" ht="25" customHeight="1">
      <c r="A280" s="967"/>
      <c r="B280" s="954" t="s">
        <v>975</v>
      </c>
      <c r="C280" s="779"/>
      <c r="D280" s="779"/>
      <c r="E280" s="779"/>
      <c r="F280" s="916">
        <f>I280+J280+K280</f>
        <v>1000</v>
      </c>
      <c r="G280" s="779"/>
      <c r="H280" s="264"/>
      <c r="I280" s="264">
        <v>1000</v>
      </c>
      <c r="J280" s="1001"/>
      <c r="K280" s="1054"/>
      <c r="L280" s="324"/>
      <c r="M280" s="325"/>
      <c r="N280" s="325"/>
      <c r="O280" s="325"/>
      <c r="P280" s="325"/>
      <c r="Q280" s="325"/>
    </row>
    <row r="281" spans="1:17" ht="25" customHeight="1">
      <c r="A281" s="967"/>
      <c r="B281" s="954" t="s">
        <v>481</v>
      </c>
      <c r="C281" s="779"/>
      <c r="D281" s="779"/>
      <c r="E281" s="779"/>
      <c r="F281" s="916">
        <f>I281+J281+K281</f>
        <v>1000</v>
      </c>
      <c r="G281" s="779"/>
      <c r="H281" s="916"/>
      <c r="I281" s="270">
        <v>1000</v>
      </c>
      <c r="J281" s="1001"/>
      <c r="K281" s="1054"/>
      <c r="L281" s="324"/>
      <c r="M281" s="325"/>
      <c r="N281" s="325"/>
      <c r="O281" s="325"/>
      <c r="P281" s="325"/>
      <c r="Q281" s="325"/>
    </row>
    <row r="282" spans="1:17" ht="25" customHeight="1">
      <c r="A282" s="967"/>
      <c r="B282" s="954" t="s">
        <v>480</v>
      </c>
      <c r="C282" s="779"/>
      <c r="D282" s="779"/>
      <c r="E282" s="779"/>
      <c r="F282" s="916">
        <f>I282+J282+K282</f>
        <v>350</v>
      </c>
      <c r="G282" s="779"/>
      <c r="H282" s="916"/>
      <c r="I282" s="270"/>
      <c r="J282" s="1001">
        <v>350</v>
      </c>
      <c r="K282" s="1054"/>
      <c r="L282" s="324"/>
      <c r="M282" s="325"/>
      <c r="N282" s="325"/>
      <c r="O282" s="325"/>
      <c r="P282" s="325"/>
      <c r="Q282" s="325"/>
    </row>
    <row r="283" spans="1:17" ht="25" customHeight="1">
      <c r="A283" s="969"/>
      <c r="B283" s="970" t="s">
        <v>380</v>
      </c>
      <c r="C283" s="971">
        <f t="shared" ref="C283:K283" si="55">SUM(C271:C282)</f>
        <v>9</v>
      </c>
      <c r="D283" s="971">
        <f t="shared" si="55"/>
        <v>3</v>
      </c>
      <c r="E283" s="971">
        <f t="shared" si="55"/>
        <v>3</v>
      </c>
      <c r="F283" s="971">
        <f t="shared" si="55"/>
        <v>4087</v>
      </c>
      <c r="G283" s="971">
        <f t="shared" si="55"/>
        <v>33</v>
      </c>
      <c r="H283" s="971">
        <f t="shared" si="55"/>
        <v>99</v>
      </c>
      <c r="I283" s="971">
        <f t="shared" si="55"/>
        <v>3638</v>
      </c>
      <c r="J283" s="971">
        <f t="shared" si="55"/>
        <v>350</v>
      </c>
      <c r="K283" s="971">
        <f t="shared" si="55"/>
        <v>99</v>
      </c>
      <c r="L283" s="324"/>
      <c r="M283" s="325"/>
      <c r="N283" s="325"/>
      <c r="O283" s="325"/>
      <c r="P283" s="325"/>
      <c r="Q283" s="325"/>
    </row>
    <row r="284" spans="1:17" ht="25" customHeight="1">
      <c r="A284" s="1009" t="s">
        <v>502</v>
      </c>
      <c r="B284" s="1009" t="s">
        <v>503</v>
      </c>
      <c r="C284" s="779"/>
      <c r="D284" s="779"/>
      <c r="E284" s="779"/>
      <c r="F284" s="271"/>
      <c r="G284" s="779"/>
      <c r="H284" s="916"/>
      <c r="I284" s="269"/>
      <c r="J284" s="1001"/>
      <c r="K284" s="1054"/>
      <c r="L284" s="324"/>
      <c r="M284" s="325"/>
      <c r="N284" s="325"/>
      <c r="O284" s="325"/>
      <c r="P284" s="325"/>
      <c r="Q284" s="325"/>
    </row>
    <row r="285" spans="1:17" ht="25" customHeight="1">
      <c r="A285" s="1009">
        <v>1</v>
      </c>
      <c r="B285" s="1011" t="s">
        <v>225</v>
      </c>
      <c r="C285" s="779"/>
      <c r="D285" s="779"/>
      <c r="E285" s="779"/>
      <c r="F285" s="271"/>
      <c r="G285" s="779"/>
      <c r="H285" s="916"/>
      <c r="I285" s="269"/>
      <c r="J285" s="1001"/>
      <c r="K285" s="1054"/>
      <c r="L285" s="324"/>
      <c r="M285" s="325"/>
      <c r="N285" s="325"/>
      <c r="O285" s="325"/>
      <c r="P285" s="325"/>
      <c r="Q285" s="325"/>
    </row>
    <row r="286" spans="1:17" ht="25" customHeight="1">
      <c r="A286" s="1009" t="s">
        <v>381</v>
      </c>
      <c r="B286" s="1011" t="s">
        <v>163</v>
      </c>
      <c r="C286" s="779"/>
      <c r="D286" s="779"/>
      <c r="E286" s="779"/>
      <c r="F286" s="916"/>
      <c r="G286" s="779"/>
      <c r="H286" s="264"/>
      <c r="I286" s="264"/>
      <c r="J286" s="1001"/>
      <c r="K286" s="1054"/>
      <c r="L286" s="324"/>
      <c r="M286" s="325"/>
      <c r="N286" s="325"/>
      <c r="O286" s="325"/>
      <c r="P286" s="325"/>
      <c r="Q286" s="325"/>
    </row>
    <row r="287" spans="1:17" s="1066" customFormat="1" ht="25" customHeight="1">
      <c r="A287" s="984" t="s">
        <v>226</v>
      </c>
      <c r="B287" s="1065" t="s">
        <v>677</v>
      </c>
      <c r="C287" s="463">
        <v>2</v>
      </c>
      <c r="D287" s="463">
        <v>1</v>
      </c>
      <c r="E287" s="463">
        <v>5</v>
      </c>
      <c r="F287" s="459">
        <f>I287+J287+K287</f>
        <v>165</v>
      </c>
      <c r="G287" s="811">
        <v>40</v>
      </c>
      <c r="H287" s="916">
        <f>C287*E287*G287</f>
        <v>400</v>
      </c>
      <c r="I287" s="269">
        <f>IF(G287&lt;70, C287*E287*16.5*1, C287*E287*16.5*1.3)</f>
        <v>165</v>
      </c>
      <c r="J287" s="1001"/>
      <c r="K287" s="1054"/>
      <c r="L287" s="461"/>
      <c r="M287" s="462"/>
      <c r="N287" s="462"/>
      <c r="O287" s="462"/>
      <c r="P287" s="462"/>
      <c r="Q287" s="462"/>
    </row>
    <row r="288" spans="1:17" s="1066" customFormat="1" ht="25" customHeight="1">
      <c r="A288" s="984" t="s">
        <v>226</v>
      </c>
      <c r="B288" s="1065" t="s">
        <v>813</v>
      </c>
      <c r="C288" s="463">
        <v>2</v>
      </c>
      <c r="D288" s="463">
        <v>1</v>
      </c>
      <c r="E288" s="463">
        <v>5</v>
      </c>
      <c r="F288" s="459">
        <f>I288+J288+K288</f>
        <v>165</v>
      </c>
      <c r="G288" s="811">
        <v>40</v>
      </c>
      <c r="H288" s="916">
        <f>C288*E288*G288</f>
        <v>400</v>
      </c>
      <c r="I288" s="269">
        <f>IF(G288&lt;70, C288*E288*16.5*1, C288*E288*16.5*1.3)</f>
        <v>165</v>
      </c>
      <c r="J288" s="1001"/>
      <c r="K288" s="1054"/>
      <c r="L288" s="465"/>
      <c r="M288" s="449"/>
      <c r="N288" s="449"/>
      <c r="O288" s="449"/>
      <c r="P288" s="449"/>
      <c r="Q288" s="449"/>
    </row>
    <row r="289" spans="1:17" s="1066" customFormat="1" ht="25" customHeight="1">
      <c r="A289" s="984" t="s">
        <v>227</v>
      </c>
      <c r="B289" s="1065" t="s">
        <v>814</v>
      </c>
      <c r="C289" s="463">
        <v>2</v>
      </c>
      <c r="D289" s="463">
        <v>1</v>
      </c>
      <c r="E289" s="463">
        <v>5</v>
      </c>
      <c r="F289" s="459">
        <f>I289+J289+K289</f>
        <v>165</v>
      </c>
      <c r="G289" s="811">
        <v>40</v>
      </c>
      <c r="H289" s="916">
        <f>C289*E289*G289</f>
        <v>400</v>
      </c>
      <c r="I289" s="269">
        <f>IF(G289&lt;70, C289*E289*16.5*1, C289*E289*16.5*1.3)</f>
        <v>165</v>
      </c>
      <c r="J289" s="1001"/>
      <c r="K289" s="1054"/>
      <c r="L289" s="1067"/>
      <c r="M289" s="1067"/>
      <c r="N289" s="1067"/>
      <c r="O289" s="1067"/>
      <c r="P289" s="1067"/>
      <c r="Q289" s="449"/>
    </row>
    <row r="290" spans="1:17" s="1066" customFormat="1" ht="25" customHeight="1">
      <c r="A290" s="969"/>
      <c r="B290" s="970" t="s">
        <v>380</v>
      </c>
      <c r="C290" s="971">
        <f>SUM(C287:C289)</f>
        <v>6</v>
      </c>
      <c r="D290" s="971">
        <f t="shared" ref="D290:K290" si="56">SUM(D287:D289)</f>
        <v>3</v>
      </c>
      <c r="E290" s="971">
        <f t="shared" si="56"/>
        <v>15</v>
      </c>
      <c r="F290" s="971">
        <f t="shared" si="56"/>
        <v>495</v>
      </c>
      <c r="G290" s="971">
        <f t="shared" si="56"/>
        <v>120</v>
      </c>
      <c r="H290" s="971">
        <f t="shared" si="56"/>
        <v>1200</v>
      </c>
      <c r="I290" s="971">
        <f t="shared" si="56"/>
        <v>495</v>
      </c>
      <c r="J290" s="971">
        <f t="shared" si="56"/>
        <v>0</v>
      </c>
      <c r="K290" s="971">
        <f t="shared" si="56"/>
        <v>0</v>
      </c>
      <c r="L290" s="1068"/>
      <c r="M290" s="1068"/>
      <c r="N290" s="1068"/>
      <c r="O290" s="1068"/>
      <c r="P290" s="1068"/>
      <c r="Q290" s="449"/>
    </row>
    <row r="291" spans="1:17" s="1066" customFormat="1" ht="25" customHeight="1">
      <c r="A291" s="1033"/>
      <c r="B291" s="404" t="s">
        <v>482</v>
      </c>
      <c r="C291" s="400">
        <f>C235+C268+C283+C290</f>
        <v>335</v>
      </c>
      <c r="D291" s="400">
        <f t="shared" ref="D291:I291" si="57">D235+D268+D283+D290</f>
        <v>48.3</v>
      </c>
      <c r="E291" s="400">
        <f t="shared" si="57"/>
        <v>103</v>
      </c>
      <c r="F291" s="400">
        <f t="shared" si="57"/>
        <v>11936.55</v>
      </c>
      <c r="G291" s="400">
        <f t="shared" si="57"/>
        <v>1374</v>
      </c>
      <c r="H291" s="400">
        <f t="shared" si="57"/>
        <v>10284</v>
      </c>
      <c r="I291" s="400">
        <f t="shared" si="57"/>
        <v>7365.25</v>
      </c>
      <c r="J291" s="400">
        <f>J235+J268+J283+J290</f>
        <v>1742.3</v>
      </c>
      <c r="K291" s="400">
        <f>K235+K268+K283+K290</f>
        <v>2969</v>
      </c>
      <c r="L291" s="1069">
        <f>'Bieu3 QLGD'!F25</f>
        <v>1890</v>
      </c>
      <c r="M291" s="1069">
        <f>'Bieu3 QLGD'!N25</f>
        <v>1606.5</v>
      </c>
      <c r="N291" s="1069">
        <f>I291-M291</f>
        <v>5758.75</v>
      </c>
      <c r="O291" s="1069">
        <f>'Bieu3 QLGD'!O25</f>
        <v>1266.75</v>
      </c>
      <c r="P291" s="1069">
        <f>'Bieu3 QLGD'!P25</f>
        <v>650</v>
      </c>
      <c r="Q291" s="1070" t="s">
        <v>709</v>
      </c>
    </row>
    <row r="292" spans="1:17" s="1066" customFormat="1" ht="25" customHeight="1">
      <c r="A292" s="1071"/>
      <c r="B292" s="1072"/>
      <c r="C292" s="1073"/>
      <c r="D292" s="1073"/>
      <c r="E292" s="1074"/>
      <c r="F292" s="1073"/>
      <c r="G292" s="1073"/>
      <c r="H292" s="1073"/>
      <c r="I292" s="1073"/>
      <c r="J292" s="1073"/>
      <c r="K292" s="1075"/>
      <c r="L292" s="1068"/>
      <c r="M292" s="1068"/>
      <c r="N292" s="1068"/>
      <c r="O292" s="1068"/>
      <c r="P292" s="1068"/>
      <c r="Q292" s="449"/>
    </row>
    <row r="293" spans="1:17" ht="25" customHeight="1">
      <c r="A293" s="260" t="s">
        <v>7</v>
      </c>
      <c r="B293" s="260" t="s">
        <v>162</v>
      </c>
      <c r="C293" s="264">
        <f t="shared" ref="C293:P293" si="58">C45+C153+C183+C235+C105</f>
        <v>269</v>
      </c>
      <c r="D293" s="264">
        <f t="shared" si="58"/>
        <v>87.56</v>
      </c>
      <c r="E293" s="264">
        <f t="shared" si="58"/>
        <v>275</v>
      </c>
      <c r="F293" s="264">
        <f t="shared" si="58"/>
        <v>18067.700000000004</v>
      </c>
      <c r="G293" s="264">
        <f t="shared" si="58"/>
        <v>4837</v>
      </c>
      <c r="H293" s="264">
        <f t="shared" si="58"/>
        <v>49463</v>
      </c>
      <c r="I293" s="264">
        <f t="shared" si="58"/>
        <v>18067.700000000004</v>
      </c>
      <c r="J293" s="264">
        <f t="shared" si="58"/>
        <v>0</v>
      </c>
      <c r="K293" s="264">
        <f t="shared" si="58"/>
        <v>0</v>
      </c>
      <c r="L293" s="264">
        <f t="shared" si="58"/>
        <v>0</v>
      </c>
      <c r="M293" s="264">
        <f t="shared" si="58"/>
        <v>0</v>
      </c>
      <c r="N293" s="264">
        <f t="shared" si="58"/>
        <v>0</v>
      </c>
      <c r="O293" s="264">
        <f t="shared" si="58"/>
        <v>0</v>
      </c>
      <c r="P293" s="264">
        <f t="shared" si="58"/>
        <v>0</v>
      </c>
      <c r="Q293" s="271"/>
    </row>
    <row r="294" spans="1:17" ht="25" customHeight="1">
      <c r="A294" s="275" t="s">
        <v>8</v>
      </c>
      <c r="B294" s="260" t="s">
        <v>172</v>
      </c>
      <c r="C294" s="264">
        <f t="shared" ref="C294:K294" si="59">C268+C201+C163+C117+C56</f>
        <v>381</v>
      </c>
      <c r="D294" s="264">
        <f t="shared" si="59"/>
        <v>55</v>
      </c>
      <c r="E294" s="264">
        <f t="shared" si="59"/>
        <v>171</v>
      </c>
      <c r="F294" s="264">
        <f t="shared" si="59"/>
        <v>17755.849999999999</v>
      </c>
      <c r="G294" s="264">
        <f t="shared" si="59"/>
        <v>895</v>
      </c>
      <c r="H294" s="264">
        <f t="shared" si="59"/>
        <v>10836</v>
      </c>
      <c r="I294" s="264">
        <f t="shared" si="59"/>
        <v>13494.95</v>
      </c>
      <c r="J294" s="264">
        <f t="shared" si="59"/>
        <v>1392.3</v>
      </c>
      <c r="K294" s="264">
        <f t="shared" si="59"/>
        <v>3008.6</v>
      </c>
      <c r="L294" s="264">
        <v>0</v>
      </c>
      <c r="M294" s="264">
        <v>0</v>
      </c>
      <c r="N294" s="264">
        <v>0</v>
      </c>
      <c r="O294" s="264">
        <v>0</v>
      </c>
      <c r="P294" s="264">
        <v>0</v>
      </c>
      <c r="Q294" s="271"/>
    </row>
    <row r="295" spans="1:17" ht="25" customHeight="1">
      <c r="A295" s="275" t="s">
        <v>25</v>
      </c>
      <c r="B295" s="263" t="s">
        <v>166</v>
      </c>
      <c r="C295" s="264">
        <f>C283</f>
        <v>9</v>
      </c>
      <c r="D295" s="264">
        <f>D283</f>
        <v>3</v>
      </c>
      <c r="E295" s="264">
        <f t="shared" ref="E295:K295" si="60">E283</f>
        <v>3</v>
      </c>
      <c r="F295" s="264">
        <f t="shared" si="60"/>
        <v>4087</v>
      </c>
      <c r="G295" s="264">
        <f t="shared" si="60"/>
        <v>33</v>
      </c>
      <c r="H295" s="264">
        <f t="shared" si="60"/>
        <v>99</v>
      </c>
      <c r="I295" s="264">
        <f t="shared" si="60"/>
        <v>3638</v>
      </c>
      <c r="J295" s="264">
        <f t="shared" si="60"/>
        <v>350</v>
      </c>
      <c r="K295" s="264">
        <f t="shared" si="60"/>
        <v>99</v>
      </c>
      <c r="L295" s="264">
        <v>0</v>
      </c>
      <c r="M295" s="264">
        <v>0</v>
      </c>
      <c r="N295" s="264">
        <v>0</v>
      </c>
      <c r="O295" s="264">
        <v>0</v>
      </c>
      <c r="P295" s="264">
        <v>0</v>
      </c>
      <c r="Q295" s="271"/>
    </row>
    <row r="296" spans="1:17" ht="25" customHeight="1">
      <c r="A296" s="275"/>
      <c r="B296" s="263" t="s">
        <v>542</v>
      </c>
      <c r="C296" s="264">
        <f t="shared" ref="C296:K296" si="61">C290+C211+C169+C130+C76</f>
        <v>123</v>
      </c>
      <c r="D296" s="264">
        <f t="shared" si="61"/>
        <v>36</v>
      </c>
      <c r="E296" s="264">
        <f t="shared" si="61"/>
        <v>305</v>
      </c>
      <c r="F296" s="264">
        <f t="shared" si="61"/>
        <v>20106.900000000001</v>
      </c>
      <c r="G296" s="264">
        <f t="shared" si="61"/>
        <v>1850</v>
      </c>
      <c r="H296" s="264">
        <f t="shared" si="61"/>
        <v>58940</v>
      </c>
      <c r="I296" s="264">
        <f t="shared" si="61"/>
        <v>20106.900000000001</v>
      </c>
      <c r="J296" s="264">
        <f t="shared" si="61"/>
        <v>0</v>
      </c>
      <c r="K296" s="264">
        <f t="shared" si="61"/>
        <v>0</v>
      </c>
      <c r="L296" s="264">
        <v>0</v>
      </c>
      <c r="M296" s="264">
        <v>0</v>
      </c>
      <c r="N296" s="264">
        <v>0</v>
      </c>
      <c r="O296" s="264">
        <v>0</v>
      </c>
      <c r="P296" s="264">
        <v>0</v>
      </c>
      <c r="Q296" s="271"/>
    </row>
    <row r="297" spans="1:17" ht="25" customHeight="1">
      <c r="A297" s="275"/>
      <c r="B297" s="263" t="s">
        <v>543</v>
      </c>
      <c r="C297" s="264">
        <v>0</v>
      </c>
      <c r="D297" s="264"/>
      <c r="E297" s="264">
        <v>0</v>
      </c>
      <c r="F297" s="264">
        <v>0</v>
      </c>
      <c r="G297" s="264">
        <v>0</v>
      </c>
      <c r="H297" s="264">
        <v>0</v>
      </c>
      <c r="I297" s="264">
        <v>0</v>
      </c>
      <c r="J297" s="264">
        <v>0</v>
      </c>
      <c r="K297" s="264">
        <v>0</v>
      </c>
      <c r="L297" s="264">
        <v>0</v>
      </c>
      <c r="M297" s="264">
        <v>0</v>
      </c>
      <c r="N297" s="264">
        <v>0</v>
      </c>
      <c r="O297" s="264">
        <v>0</v>
      </c>
      <c r="P297" s="264">
        <v>0</v>
      </c>
      <c r="Q297" s="271"/>
    </row>
    <row r="298" spans="1:17" ht="25" customHeight="1">
      <c r="A298" s="255"/>
      <c r="B298" s="283" t="s">
        <v>484</v>
      </c>
      <c r="C298" s="279">
        <f>C291+C212+C170+C131+C78</f>
        <v>782</v>
      </c>
      <c r="D298" s="279">
        <f t="shared" ref="D298:P298" si="62">D291+D212+D170+D131+D78</f>
        <v>181.55999999999997</v>
      </c>
      <c r="E298" s="279">
        <f t="shared" si="62"/>
        <v>754</v>
      </c>
      <c r="F298" s="279">
        <f t="shared" si="62"/>
        <v>60017.45</v>
      </c>
      <c r="G298" s="279">
        <f t="shared" si="62"/>
        <v>7615</v>
      </c>
      <c r="H298" s="279">
        <f t="shared" si="62"/>
        <v>119338</v>
      </c>
      <c r="I298" s="279">
        <f t="shared" si="62"/>
        <v>55307.55</v>
      </c>
      <c r="J298" s="279">
        <f t="shared" si="62"/>
        <v>1742.3</v>
      </c>
      <c r="K298" s="279">
        <f t="shared" si="62"/>
        <v>3107.6</v>
      </c>
      <c r="L298" s="279">
        <f t="shared" si="62"/>
        <v>9922</v>
      </c>
      <c r="M298" s="996">
        <f>M291+M212+M170+M131+M78</f>
        <v>8923</v>
      </c>
      <c r="N298" s="996">
        <f>N291+N212+N170+N131+N78</f>
        <v>46384.55</v>
      </c>
      <c r="O298" s="279">
        <f t="shared" si="62"/>
        <v>6367.25</v>
      </c>
      <c r="P298" s="279">
        <f t="shared" si="62"/>
        <v>3350</v>
      </c>
      <c r="Q298" s="271"/>
    </row>
    <row r="299" spans="1:17">
      <c r="C299" s="190"/>
      <c r="D299" s="1574" t="s">
        <v>570</v>
      </c>
      <c r="E299" s="1574"/>
      <c r="F299" s="1574"/>
      <c r="G299" s="1574"/>
      <c r="H299" s="1574"/>
      <c r="I299" s="1574"/>
      <c r="J299" s="911">
        <f>J298+K298</f>
        <v>4849.8999999999996</v>
      </c>
      <c r="K299" s="63"/>
      <c r="L299" s="63"/>
      <c r="M299" s="63"/>
      <c r="N299" s="1575" t="s">
        <v>982</v>
      </c>
      <c r="O299" s="1575"/>
      <c r="P299" s="1575"/>
      <c r="Q299" s="1575"/>
    </row>
    <row r="300" spans="1:17" ht="12.75" customHeight="1">
      <c r="A300" s="914"/>
      <c r="B300" s="914"/>
      <c r="C300" s="190"/>
      <c r="D300" s="190"/>
      <c r="E300" s="190"/>
      <c r="G300" s="190"/>
      <c r="H300" s="190"/>
      <c r="I300" s="190"/>
      <c r="J300" s="190"/>
      <c r="K300" s="63"/>
      <c r="L300" s="63"/>
      <c r="M300" s="63"/>
      <c r="N300" s="1558" t="s">
        <v>548</v>
      </c>
      <c r="O300" s="1558"/>
      <c r="P300" s="1558"/>
      <c r="Q300" s="1558"/>
    </row>
    <row r="301" spans="1:17" ht="12" customHeight="1">
      <c r="A301" s="914"/>
      <c r="B301" s="1576" t="s">
        <v>976</v>
      </c>
      <c r="C301" s="1576"/>
      <c r="D301" s="1576"/>
      <c r="E301" s="1576"/>
      <c r="F301" s="1576"/>
      <c r="G301" s="1576"/>
      <c r="H301" s="1576"/>
      <c r="I301" s="1576"/>
      <c r="J301" s="1576"/>
      <c r="K301" s="1576"/>
      <c r="L301" s="63"/>
      <c r="M301" s="63"/>
      <c r="N301" s="63"/>
      <c r="O301" s="63"/>
      <c r="P301" s="63"/>
      <c r="Q301" s="915"/>
    </row>
    <row r="302" spans="1:17" ht="26.25" customHeight="1">
      <c r="A302" s="914"/>
      <c r="B302" s="1577" t="s">
        <v>237</v>
      </c>
      <c r="C302" s="1577"/>
      <c r="D302" s="1577"/>
      <c r="E302" s="1577"/>
      <c r="F302" s="1577"/>
      <c r="G302" s="1577"/>
      <c r="H302" s="1577"/>
      <c r="I302" s="1577"/>
      <c r="J302" s="1577"/>
      <c r="K302" s="1577"/>
      <c r="L302" s="63"/>
      <c r="M302" s="63"/>
      <c r="N302" s="63"/>
      <c r="O302" s="63"/>
      <c r="P302" s="63"/>
      <c r="Q302" s="915"/>
    </row>
    <row r="303" spans="1:17" ht="30" customHeight="1">
      <c r="A303" s="914"/>
      <c r="B303" s="1572" t="s">
        <v>74</v>
      </c>
      <c r="C303" s="1572"/>
      <c r="D303" s="1572"/>
      <c r="E303" s="1572"/>
      <c r="F303" s="1572"/>
      <c r="G303" s="1572"/>
      <c r="H303" s="1572"/>
      <c r="I303" s="1572"/>
      <c r="J303" s="1572"/>
      <c r="K303" s="1572"/>
      <c r="L303" s="63"/>
      <c r="M303" s="63"/>
      <c r="N303" s="1559" t="s">
        <v>766</v>
      </c>
      <c r="O303" s="1559"/>
      <c r="P303" s="1559"/>
      <c r="Q303" s="1559"/>
    </row>
    <row r="304" spans="1:17">
      <c r="B304" s="949" t="s">
        <v>771</v>
      </c>
      <c r="C304" s="16"/>
      <c r="D304" s="16"/>
      <c r="E304" s="16"/>
      <c r="F304" s="16"/>
      <c r="G304" s="16"/>
      <c r="H304" s="16"/>
      <c r="I304" s="16"/>
      <c r="J304" s="16"/>
      <c r="K304" s="16"/>
      <c r="L304" s="63"/>
    </row>
    <row r="305" spans="2:12">
      <c r="B305" s="949" t="s">
        <v>772</v>
      </c>
      <c r="C305" s="10"/>
      <c r="D305" s="10"/>
      <c r="E305" s="10"/>
      <c r="F305" s="10"/>
      <c r="G305" s="10"/>
      <c r="H305" s="10"/>
      <c r="I305" s="10"/>
      <c r="J305" s="10"/>
      <c r="K305" s="10"/>
      <c r="L305" s="63"/>
    </row>
    <row r="306" spans="2:12">
      <c r="B306" s="949" t="s">
        <v>773</v>
      </c>
      <c r="C306" s="10"/>
      <c r="D306" s="10"/>
      <c r="E306" s="10"/>
      <c r="F306" s="10"/>
      <c r="G306" s="10"/>
      <c r="H306" s="10"/>
      <c r="I306" s="10"/>
      <c r="J306" s="10"/>
      <c r="K306" s="10"/>
      <c r="L306" s="63"/>
    </row>
    <row r="307" spans="2:12">
      <c r="B307" s="949" t="s">
        <v>774</v>
      </c>
      <c r="C307" s="10"/>
      <c r="D307" s="10"/>
      <c r="E307" s="10"/>
      <c r="F307" s="10"/>
      <c r="G307" s="10"/>
      <c r="H307" s="10"/>
      <c r="I307" s="10"/>
      <c r="J307" s="10"/>
      <c r="K307" s="10"/>
      <c r="L307" s="63"/>
    </row>
    <row r="308" spans="2:12">
      <c r="B308" s="914"/>
      <c r="C308" s="708"/>
      <c r="D308" s="708"/>
      <c r="E308" s="708"/>
      <c r="F308" s="708"/>
      <c r="G308" s="708"/>
      <c r="H308" s="63"/>
      <c r="I308" s="63"/>
      <c r="J308" s="63"/>
      <c r="K308" s="63"/>
      <c r="L308" s="63"/>
    </row>
  </sheetData>
  <mergeCells count="28">
    <mergeCell ref="O5:O6"/>
    <mergeCell ref="P5:P6"/>
    <mergeCell ref="Q5:Q6"/>
    <mergeCell ref="Q106:Q112"/>
    <mergeCell ref="B303:K303"/>
    <mergeCell ref="N303:Q303"/>
    <mergeCell ref="M255:Q255"/>
    <mergeCell ref="D299:I299"/>
    <mergeCell ref="N299:Q299"/>
    <mergeCell ref="N300:Q300"/>
    <mergeCell ref="B301:K301"/>
    <mergeCell ref="B302:K302"/>
    <mergeCell ref="M5:M6"/>
    <mergeCell ref="G5:G6"/>
    <mergeCell ref="H5:H6"/>
    <mergeCell ref="I5:K5"/>
    <mergeCell ref="A1:C1"/>
    <mergeCell ref="I1:N1"/>
    <mergeCell ref="A2:C2"/>
    <mergeCell ref="I2:N2"/>
    <mergeCell ref="A3:Q3"/>
    <mergeCell ref="L5:L6"/>
    <mergeCell ref="N5:N6"/>
    <mergeCell ref="A5:A6"/>
    <mergeCell ref="B5:B6"/>
    <mergeCell ref="C5:C6"/>
    <mergeCell ref="E5:E6"/>
    <mergeCell ref="F5:F6"/>
  </mergeCells>
  <pageMargins left="0.24" right="0.2" top="0.37" bottom="0.26" header="0.74" footer="0.6"/>
  <pageSetup paperSize="9" scale="85" orientation="landscape"/>
  <ignoredErrors>
    <ignoredError sqref="F226:F229 F220:F225 J235:K235 K268 F277:H277 F278:F282 C117:F117 C105:E105 G105:K105 H117:K117" emptyCellReference="1"/>
  </ignoredError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1E-3234-EE4A-9E72-A7C90A07DB32}">
  <dimension ref="A1:I42"/>
  <sheetViews>
    <sheetView workbookViewId="0">
      <selection activeCell="G3" sqref="G3"/>
    </sheetView>
  </sheetViews>
  <sheetFormatPr baseColWidth="10" defaultRowHeight="13"/>
  <cols>
    <col min="1" max="1" width="5.6640625" customWidth="1"/>
    <col min="2" max="2" width="34.5" customWidth="1"/>
    <col min="3" max="4" width="9.1640625" customWidth="1"/>
    <col min="5" max="5" width="11.5" customWidth="1"/>
    <col min="6" max="6" width="15.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5.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5.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5.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5.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5.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5.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5.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5.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5.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5.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5.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5.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5.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5.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5.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5.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5.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5.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5.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5.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5.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5.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5.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5.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5.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5.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5.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5.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5.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5.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5.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5.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5.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5.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5.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5.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5.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5.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5.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5.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5.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5.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5.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5.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5.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5.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5.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5.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5.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5.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5.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5.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5.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5.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5.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5.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5.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5.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5.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5.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5.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5.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5.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709" t="s">
        <v>1213</v>
      </c>
      <c r="B4" s="1709"/>
      <c r="C4" s="1709"/>
      <c r="D4" s="1709"/>
      <c r="E4" s="1709"/>
      <c r="F4" s="1709"/>
      <c r="G4" s="1709"/>
    </row>
    <row r="5" spans="1:9" ht="14">
      <c r="A5" s="1710" t="s">
        <v>1214</v>
      </c>
      <c r="B5" s="1710"/>
      <c r="C5" s="1710"/>
      <c r="D5" s="1710"/>
      <c r="E5" s="1710"/>
      <c r="F5" s="1710"/>
      <c r="G5" s="1710"/>
    </row>
    <row r="6" spans="1:9" ht="30">
      <c r="A6" s="1351" t="s">
        <v>51</v>
      </c>
      <c r="B6" s="1352" t="s">
        <v>1016</v>
      </c>
      <c r="C6" s="1352" t="s">
        <v>1</v>
      </c>
      <c r="D6" s="1352" t="s">
        <v>373</v>
      </c>
      <c r="E6" s="1353" t="s">
        <v>28</v>
      </c>
      <c r="F6" s="1354" t="s">
        <v>1017</v>
      </c>
      <c r="G6" s="1351" t="s">
        <v>2</v>
      </c>
    </row>
    <row r="7" spans="1:9" ht="16">
      <c r="A7" s="1352" t="s">
        <v>7</v>
      </c>
      <c r="B7" s="1355" t="s">
        <v>1018</v>
      </c>
      <c r="C7" s="1356"/>
      <c r="D7" s="1356"/>
      <c r="E7" s="1357"/>
      <c r="F7" s="1358"/>
      <c r="G7" s="1359"/>
    </row>
    <row r="8" spans="1:9" ht="16">
      <c r="A8" s="1356">
        <v>1</v>
      </c>
      <c r="B8" s="1318" t="s">
        <v>1019</v>
      </c>
      <c r="C8" s="1356" t="s">
        <v>1020</v>
      </c>
      <c r="D8" s="1360">
        <v>720</v>
      </c>
      <c r="E8" s="1357">
        <v>50000</v>
      </c>
      <c r="F8" s="1358">
        <f>D8*E8</f>
        <v>36000000</v>
      </c>
      <c r="G8" s="1361"/>
    </row>
    <row r="9" spans="1:9" ht="16">
      <c r="A9" s="1276">
        <v>2</v>
      </c>
      <c r="B9" s="1318" t="s">
        <v>1022</v>
      </c>
      <c r="C9" s="1356" t="s">
        <v>1020</v>
      </c>
      <c r="D9" s="1356">
        <v>720</v>
      </c>
      <c r="E9" s="1357">
        <v>50000</v>
      </c>
      <c r="F9" s="1358">
        <f>D9*E9</f>
        <v>36000000</v>
      </c>
      <c r="G9" s="1361"/>
    </row>
    <row r="10" spans="1:9" ht="16">
      <c r="A10" s="1362" t="s">
        <v>8</v>
      </c>
      <c r="B10" s="1355" t="s">
        <v>1024</v>
      </c>
      <c r="C10" s="1356"/>
      <c r="D10" s="1356"/>
      <c r="E10" s="1357"/>
      <c r="F10" s="1358"/>
      <c r="G10" s="1363"/>
      <c r="I10" s="2"/>
    </row>
    <row r="11" spans="1:9" ht="16">
      <c r="A11" s="1356">
        <v>1</v>
      </c>
      <c r="B11" s="1318" t="s">
        <v>1025</v>
      </c>
      <c r="C11" s="1356" t="s">
        <v>1020</v>
      </c>
      <c r="D11" s="1356">
        <v>5</v>
      </c>
      <c r="E11" s="1357">
        <v>50000</v>
      </c>
      <c r="F11" s="1358">
        <f>D11*E11*8*8</f>
        <v>16000000</v>
      </c>
      <c r="G11" s="1364"/>
    </row>
    <row r="12" spans="1:9" ht="16">
      <c r="A12" s="1351">
        <v>2</v>
      </c>
      <c r="B12" s="1318" t="s">
        <v>1027</v>
      </c>
      <c r="C12" s="1356" t="s">
        <v>1020</v>
      </c>
      <c r="D12" s="1360">
        <v>3</v>
      </c>
      <c r="E12" s="1357">
        <v>50000</v>
      </c>
      <c r="F12" s="1358">
        <f>D12*E12*8*2*8</f>
        <v>19200000</v>
      </c>
      <c r="G12" s="1364"/>
    </row>
    <row r="13" spans="1:9" ht="16">
      <c r="A13" s="1356">
        <v>3</v>
      </c>
      <c r="B13" s="1318" t="s">
        <v>1215</v>
      </c>
      <c r="C13" s="1356" t="s">
        <v>1020</v>
      </c>
      <c r="D13" s="1356">
        <v>1</v>
      </c>
      <c r="E13" s="1357">
        <v>50000</v>
      </c>
      <c r="F13" s="1358">
        <f>D13*E13*8</f>
        <v>400000</v>
      </c>
      <c r="G13" s="1364"/>
    </row>
    <row r="14" spans="1:9" ht="16">
      <c r="A14" s="1356">
        <v>4</v>
      </c>
      <c r="B14" s="1318" t="s">
        <v>1216</v>
      </c>
      <c r="C14" s="1356" t="s">
        <v>1032</v>
      </c>
      <c r="D14" s="1356">
        <v>8</v>
      </c>
      <c r="E14" s="1357">
        <v>300000</v>
      </c>
      <c r="F14" s="1358">
        <f>D14*E14</f>
        <v>2400000</v>
      </c>
      <c r="G14" s="1364"/>
    </row>
    <row r="15" spans="1:9" ht="16">
      <c r="A15" s="1356">
        <v>5</v>
      </c>
      <c r="B15" s="1318" t="s">
        <v>1034</v>
      </c>
      <c r="C15" s="1356" t="s">
        <v>370</v>
      </c>
      <c r="D15" s="1360">
        <v>2</v>
      </c>
      <c r="E15" s="1357">
        <v>100000</v>
      </c>
      <c r="F15" s="1358">
        <f>D15*E15*8</f>
        <v>1600000</v>
      </c>
      <c r="G15" s="1364"/>
    </row>
    <row r="16" spans="1:9" ht="16">
      <c r="A16" s="1356">
        <v>6</v>
      </c>
      <c r="B16" s="1318" t="s">
        <v>786</v>
      </c>
      <c r="C16" s="1356" t="s">
        <v>1032</v>
      </c>
      <c r="D16" s="1356">
        <v>8</v>
      </c>
      <c r="E16" s="1357">
        <v>200000</v>
      </c>
      <c r="F16" s="1358">
        <f>D16*E16</f>
        <v>1600000</v>
      </c>
      <c r="G16" s="1364"/>
    </row>
    <row r="17" spans="1:7" ht="16">
      <c r="A17" s="1356">
        <v>7</v>
      </c>
      <c r="B17" s="1318" t="s">
        <v>1037</v>
      </c>
      <c r="C17" s="1356" t="s">
        <v>1032</v>
      </c>
      <c r="D17" s="1356">
        <v>8</v>
      </c>
      <c r="E17" s="1357">
        <v>150000</v>
      </c>
      <c r="F17" s="1358">
        <f>D17*E17</f>
        <v>1200000</v>
      </c>
      <c r="G17" s="1364"/>
    </row>
    <row r="18" spans="1:7" ht="16">
      <c r="A18" s="1351" t="s">
        <v>25</v>
      </c>
      <c r="B18" s="1355" t="s">
        <v>1039</v>
      </c>
      <c r="C18" s="1365"/>
      <c r="D18" s="1365"/>
      <c r="E18" s="1254"/>
      <c r="F18" s="1358"/>
      <c r="G18" s="1366"/>
    </row>
    <row r="19" spans="1:7" ht="16">
      <c r="A19" s="1356">
        <v>1</v>
      </c>
      <c r="B19" s="1318" t="s">
        <v>1040</v>
      </c>
      <c r="C19" s="1356" t="s">
        <v>1032</v>
      </c>
      <c r="D19" s="1356">
        <v>8</v>
      </c>
      <c r="E19" s="1357">
        <v>200000</v>
      </c>
      <c r="F19" s="1358">
        <f t="shared" ref="F19:F29" si="0">D19*E19</f>
        <v>1600000</v>
      </c>
      <c r="G19" s="1364"/>
    </row>
    <row r="20" spans="1:7" ht="16">
      <c r="A20" s="1356">
        <v>2</v>
      </c>
      <c r="B20" s="1338" t="s">
        <v>1041</v>
      </c>
      <c r="C20" s="1367" t="s">
        <v>1042</v>
      </c>
      <c r="D20" s="1367">
        <v>2</v>
      </c>
      <c r="E20" s="1368">
        <v>300000</v>
      </c>
      <c r="F20" s="1358">
        <f t="shared" si="0"/>
        <v>600000</v>
      </c>
      <c r="G20" s="1369"/>
    </row>
    <row r="21" spans="1:7" ht="16">
      <c r="A21" s="1356" t="s">
        <v>36</v>
      </c>
      <c r="B21" s="1130" t="s">
        <v>1044</v>
      </c>
      <c r="C21" s="1261"/>
      <c r="D21" s="1356"/>
      <c r="E21" s="1357"/>
      <c r="F21" s="1358"/>
      <c r="G21" s="1364"/>
    </row>
    <row r="22" spans="1:7" ht="16">
      <c r="A22" s="1356">
        <v>1</v>
      </c>
      <c r="B22" s="1318" t="s">
        <v>1045</v>
      </c>
      <c r="C22" s="1356" t="s">
        <v>1042</v>
      </c>
      <c r="D22" s="1356">
        <v>180</v>
      </c>
      <c r="E22" s="1357">
        <v>10000</v>
      </c>
      <c r="F22" s="1358">
        <f t="shared" si="0"/>
        <v>1800000</v>
      </c>
      <c r="G22" s="1364"/>
    </row>
    <row r="23" spans="1:7" ht="16">
      <c r="A23" s="1356">
        <v>2</v>
      </c>
      <c r="B23" s="1318" t="s">
        <v>1047</v>
      </c>
      <c r="C23" s="1356"/>
      <c r="D23" s="1356"/>
      <c r="E23" s="1357"/>
      <c r="F23" s="1358"/>
      <c r="G23" s="1364"/>
    </row>
    <row r="24" spans="1:7" ht="16">
      <c r="A24" s="1356"/>
      <c r="B24" s="1318" t="s">
        <v>1048</v>
      </c>
      <c r="C24" s="1356" t="s">
        <v>1032</v>
      </c>
      <c r="D24" s="1356">
        <v>8</v>
      </c>
      <c r="E24" s="1357">
        <v>150000</v>
      </c>
      <c r="F24" s="1358">
        <f t="shared" si="0"/>
        <v>1200000</v>
      </c>
      <c r="G24" s="1364"/>
    </row>
    <row r="25" spans="1:7" ht="16">
      <c r="A25" s="1356"/>
      <c r="B25" s="1318" t="s">
        <v>1049</v>
      </c>
      <c r="C25" s="1356" t="s">
        <v>1032</v>
      </c>
      <c r="D25" s="1356">
        <v>8</v>
      </c>
      <c r="E25" s="1357">
        <v>100000</v>
      </c>
      <c r="F25" s="1358">
        <f t="shared" si="0"/>
        <v>800000</v>
      </c>
      <c r="G25" s="1364"/>
    </row>
    <row r="26" spans="1:7" ht="42">
      <c r="A26" s="1356" t="s">
        <v>579</v>
      </c>
      <c r="B26" s="1370" t="s">
        <v>1051</v>
      </c>
      <c r="C26" s="1370"/>
      <c r="D26" s="1370"/>
      <c r="E26" s="1370"/>
      <c r="F26" s="1358"/>
      <c r="G26" s="1371"/>
    </row>
    <row r="27" spans="1:7" ht="16">
      <c r="A27" s="1356">
        <v>1</v>
      </c>
      <c r="B27" s="1135" t="s">
        <v>1052</v>
      </c>
      <c r="C27" s="1356"/>
      <c r="D27" s="1356"/>
      <c r="E27" s="1357"/>
      <c r="F27" s="1358"/>
      <c r="G27" s="1364"/>
    </row>
    <row r="28" spans="1:7" ht="16">
      <c r="A28" s="1356"/>
      <c r="B28" s="1318" t="s">
        <v>1053</v>
      </c>
      <c r="C28" s="1356" t="s">
        <v>1054</v>
      </c>
      <c r="D28" s="1356">
        <v>1</v>
      </c>
      <c r="E28" s="1357">
        <v>500000</v>
      </c>
      <c r="F28" s="1358">
        <f t="shared" si="0"/>
        <v>500000</v>
      </c>
      <c r="G28" s="1364"/>
    </row>
    <row r="29" spans="1:7" ht="16">
      <c r="A29" s="1356"/>
      <c r="B29" s="1318" t="s">
        <v>1056</v>
      </c>
      <c r="C29" s="1356" t="s">
        <v>1057</v>
      </c>
      <c r="D29" s="1356">
        <v>8</v>
      </c>
      <c r="E29" s="1357">
        <v>100000</v>
      </c>
      <c r="F29" s="1358">
        <f t="shared" si="0"/>
        <v>800000</v>
      </c>
      <c r="G29" s="1364"/>
    </row>
    <row r="30" spans="1:7" ht="16">
      <c r="A30" s="1356">
        <v>2</v>
      </c>
      <c r="B30" s="1135" t="s">
        <v>1059</v>
      </c>
      <c r="C30" s="1356"/>
      <c r="D30" s="1356"/>
      <c r="E30" s="1357"/>
      <c r="F30" s="1358"/>
      <c r="G30" s="1364"/>
    </row>
    <row r="31" spans="1:7" ht="16">
      <c r="A31" s="1356"/>
      <c r="B31" s="1318"/>
      <c r="C31" s="1356" t="s">
        <v>1042</v>
      </c>
      <c r="D31" s="1356">
        <v>22</v>
      </c>
      <c r="E31" s="1357">
        <v>50000</v>
      </c>
      <c r="F31" s="1358">
        <f>D31*E31*5</f>
        <v>5500000</v>
      </c>
      <c r="G31" s="1364"/>
    </row>
    <row r="32" spans="1:7" ht="16">
      <c r="A32" s="1356"/>
      <c r="B32" s="1318"/>
      <c r="C32" s="1356" t="s">
        <v>1042</v>
      </c>
      <c r="D32" s="1356">
        <v>22</v>
      </c>
      <c r="E32" s="1357">
        <v>50000</v>
      </c>
      <c r="F32" s="1358">
        <f>D32*E32*5</f>
        <v>5500000</v>
      </c>
      <c r="G32" s="1364"/>
    </row>
    <row r="33" spans="1:7" ht="16">
      <c r="A33" s="1367"/>
      <c r="B33" s="1372"/>
      <c r="C33" s="1356" t="s">
        <v>1054</v>
      </c>
      <c r="D33" s="1276">
        <v>1</v>
      </c>
      <c r="E33" s="1227">
        <v>500000</v>
      </c>
      <c r="F33" s="1358">
        <f>D33*E33*5</f>
        <v>2500000</v>
      </c>
      <c r="G33" s="1364"/>
    </row>
    <row r="34" spans="1:7" ht="16">
      <c r="A34" s="1356"/>
      <c r="B34" s="1373" t="s">
        <v>14</v>
      </c>
      <c r="C34" s="1356"/>
      <c r="D34" s="1356"/>
      <c r="E34" s="1357"/>
      <c r="F34" s="1374">
        <f>SUM(F8:F33)</f>
        <v>135200000</v>
      </c>
      <c r="G34" s="1375"/>
    </row>
    <row r="35" spans="1:7">
      <c r="F35" s="1376"/>
      <c r="G35" s="1377"/>
    </row>
    <row r="36" spans="1:7" ht="16">
      <c r="F36" s="1708" t="s">
        <v>1323</v>
      </c>
      <c r="G36" s="1708"/>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1217</v>
      </c>
    </row>
  </sheetData>
  <mergeCells count="8">
    <mergeCell ref="F36:G36"/>
    <mergeCell ref="A38:G38"/>
    <mergeCell ref="A1:B1"/>
    <mergeCell ref="C1:F1"/>
    <mergeCell ref="A2:B2"/>
    <mergeCell ref="C2:F2"/>
    <mergeCell ref="A4:G4"/>
    <mergeCell ref="A5:G5"/>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7501C-BA68-4347-BD73-A2658AB1E44A}">
  <dimension ref="A1:BK131"/>
  <sheetViews>
    <sheetView topLeftCell="A74" workbookViewId="0">
      <selection activeCell="I25" sqref="I25"/>
    </sheetView>
  </sheetViews>
  <sheetFormatPr baseColWidth="10" defaultRowHeight="13"/>
  <cols>
    <col min="1" max="1" width="5.6640625" customWidth="1"/>
    <col min="2" max="2" width="25" customWidth="1"/>
    <col min="3" max="3" width="7.33203125" customWidth="1"/>
    <col min="4" max="5" width="6.33203125" customWidth="1"/>
    <col min="6" max="6" width="9" customWidth="1"/>
    <col min="7" max="7" width="6.6640625" customWidth="1"/>
    <col min="8" max="8" width="12.1640625" customWidth="1"/>
    <col min="9" max="9" width="36" customWidth="1"/>
    <col min="10" max="10" width="18" customWidth="1"/>
    <col min="11" max="256" width="8.83203125" customWidth="1"/>
    <col min="257" max="257" width="5.6640625" customWidth="1"/>
    <col min="258" max="258" width="25" customWidth="1"/>
    <col min="259" max="259" width="7.33203125" customWidth="1"/>
    <col min="260" max="261" width="6.33203125" customWidth="1"/>
    <col min="262" max="262" width="9" customWidth="1"/>
    <col min="263" max="263" width="6.6640625" customWidth="1"/>
    <col min="264" max="264" width="12.1640625" customWidth="1"/>
    <col min="265" max="265" width="36" customWidth="1"/>
    <col min="266" max="266" width="18" customWidth="1"/>
    <col min="267" max="512" width="8.83203125" customWidth="1"/>
    <col min="513" max="513" width="5.6640625" customWidth="1"/>
    <col min="514" max="514" width="25" customWidth="1"/>
    <col min="515" max="515" width="7.33203125" customWidth="1"/>
    <col min="516" max="517" width="6.33203125" customWidth="1"/>
    <col min="518" max="518" width="9" customWidth="1"/>
    <col min="519" max="519" width="6.6640625" customWidth="1"/>
    <col min="520" max="520" width="12.1640625" customWidth="1"/>
    <col min="521" max="521" width="36" customWidth="1"/>
    <col min="522" max="522" width="18" customWidth="1"/>
    <col min="523" max="768" width="8.83203125" customWidth="1"/>
    <col min="769" max="769" width="5.6640625" customWidth="1"/>
    <col min="770" max="770" width="25" customWidth="1"/>
    <col min="771" max="771" width="7.33203125" customWidth="1"/>
    <col min="772" max="773" width="6.33203125" customWidth="1"/>
    <col min="774" max="774" width="9" customWidth="1"/>
    <col min="775" max="775" width="6.6640625" customWidth="1"/>
    <col min="776" max="776" width="12.1640625" customWidth="1"/>
    <col min="777" max="777" width="36" customWidth="1"/>
    <col min="778" max="778" width="18" customWidth="1"/>
    <col min="779" max="1024" width="8.83203125" customWidth="1"/>
    <col min="1025" max="1025" width="5.6640625" customWidth="1"/>
    <col min="1026" max="1026" width="25" customWidth="1"/>
    <col min="1027" max="1027" width="7.33203125" customWidth="1"/>
    <col min="1028" max="1029" width="6.33203125" customWidth="1"/>
    <col min="1030" max="1030" width="9" customWidth="1"/>
    <col min="1031" max="1031" width="6.6640625" customWidth="1"/>
    <col min="1032" max="1032" width="12.1640625" customWidth="1"/>
    <col min="1033" max="1033" width="36" customWidth="1"/>
    <col min="1034" max="1034" width="18" customWidth="1"/>
    <col min="1035" max="1280" width="8.83203125" customWidth="1"/>
    <col min="1281" max="1281" width="5.6640625" customWidth="1"/>
    <col min="1282" max="1282" width="25" customWidth="1"/>
    <col min="1283" max="1283" width="7.33203125" customWidth="1"/>
    <col min="1284" max="1285" width="6.33203125" customWidth="1"/>
    <col min="1286" max="1286" width="9" customWidth="1"/>
    <col min="1287" max="1287" width="6.6640625" customWidth="1"/>
    <col min="1288" max="1288" width="12.1640625" customWidth="1"/>
    <col min="1289" max="1289" width="36" customWidth="1"/>
    <col min="1290" max="1290" width="18" customWidth="1"/>
    <col min="1291" max="1536" width="8.83203125" customWidth="1"/>
    <col min="1537" max="1537" width="5.6640625" customWidth="1"/>
    <col min="1538" max="1538" width="25" customWidth="1"/>
    <col min="1539" max="1539" width="7.33203125" customWidth="1"/>
    <col min="1540" max="1541" width="6.33203125" customWidth="1"/>
    <col min="1542" max="1542" width="9" customWidth="1"/>
    <col min="1543" max="1543" width="6.6640625" customWidth="1"/>
    <col min="1544" max="1544" width="12.1640625" customWidth="1"/>
    <col min="1545" max="1545" width="36" customWidth="1"/>
    <col min="1546" max="1546" width="18" customWidth="1"/>
    <col min="1547" max="1792" width="8.83203125" customWidth="1"/>
    <col min="1793" max="1793" width="5.6640625" customWidth="1"/>
    <col min="1794" max="1794" width="25" customWidth="1"/>
    <col min="1795" max="1795" width="7.33203125" customWidth="1"/>
    <col min="1796" max="1797" width="6.33203125" customWidth="1"/>
    <col min="1798" max="1798" width="9" customWidth="1"/>
    <col min="1799" max="1799" width="6.6640625" customWidth="1"/>
    <col min="1800" max="1800" width="12.1640625" customWidth="1"/>
    <col min="1801" max="1801" width="36" customWidth="1"/>
    <col min="1802" max="1802" width="18" customWidth="1"/>
    <col min="1803" max="2048" width="8.83203125" customWidth="1"/>
    <col min="2049" max="2049" width="5.6640625" customWidth="1"/>
    <col min="2050" max="2050" width="25" customWidth="1"/>
    <col min="2051" max="2051" width="7.33203125" customWidth="1"/>
    <col min="2052" max="2053" width="6.33203125" customWidth="1"/>
    <col min="2054" max="2054" width="9" customWidth="1"/>
    <col min="2055" max="2055" width="6.6640625" customWidth="1"/>
    <col min="2056" max="2056" width="12.1640625" customWidth="1"/>
    <col min="2057" max="2057" width="36" customWidth="1"/>
    <col min="2058" max="2058" width="18" customWidth="1"/>
    <col min="2059" max="2304" width="8.83203125" customWidth="1"/>
    <col min="2305" max="2305" width="5.6640625" customWidth="1"/>
    <col min="2306" max="2306" width="25" customWidth="1"/>
    <col min="2307" max="2307" width="7.33203125" customWidth="1"/>
    <col min="2308" max="2309" width="6.33203125" customWidth="1"/>
    <col min="2310" max="2310" width="9" customWidth="1"/>
    <col min="2311" max="2311" width="6.6640625" customWidth="1"/>
    <col min="2312" max="2312" width="12.1640625" customWidth="1"/>
    <col min="2313" max="2313" width="36" customWidth="1"/>
    <col min="2314" max="2314" width="18" customWidth="1"/>
    <col min="2315" max="2560" width="8.83203125" customWidth="1"/>
    <col min="2561" max="2561" width="5.6640625" customWidth="1"/>
    <col min="2562" max="2562" width="25" customWidth="1"/>
    <col min="2563" max="2563" width="7.33203125" customWidth="1"/>
    <col min="2564" max="2565" width="6.33203125" customWidth="1"/>
    <col min="2566" max="2566" width="9" customWidth="1"/>
    <col min="2567" max="2567" width="6.6640625" customWidth="1"/>
    <col min="2568" max="2568" width="12.1640625" customWidth="1"/>
    <col min="2569" max="2569" width="36" customWidth="1"/>
    <col min="2570" max="2570" width="18" customWidth="1"/>
    <col min="2571" max="2816" width="8.83203125" customWidth="1"/>
    <col min="2817" max="2817" width="5.6640625" customWidth="1"/>
    <col min="2818" max="2818" width="25" customWidth="1"/>
    <col min="2819" max="2819" width="7.33203125" customWidth="1"/>
    <col min="2820" max="2821" width="6.33203125" customWidth="1"/>
    <col min="2822" max="2822" width="9" customWidth="1"/>
    <col min="2823" max="2823" width="6.6640625" customWidth="1"/>
    <col min="2824" max="2824" width="12.1640625" customWidth="1"/>
    <col min="2825" max="2825" width="36" customWidth="1"/>
    <col min="2826" max="2826" width="18" customWidth="1"/>
    <col min="2827" max="3072" width="8.83203125" customWidth="1"/>
    <col min="3073" max="3073" width="5.6640625" customWidth="1"/>
    <col min="3074" max="3074" width="25" customWidth="1"/>
    <col min="3075" max="3075" width="7.33203125" customWidth="1"/>
    <col min="3076" max="3077" width="6.33203125" customWidth="1"/>
    <col min="3078" max="3078" width="9" customWidth="1"/>
    <col min="3079" max="3079" width="6.6640625" customWidth="1"/>
    <col min="3080" max="3080" width="12.1640625" customWidth="1"/>
    <col min="3081" max="3081" width="36" customWidth="1"/>
    <col min="3082" max="3082" width="18" customWidth="1"/>
    <col min="3083" max="3328" width="8.83203125" customWidth="1"/>
    <col min="3329" max="3329" width="5.6640625" customWidth="1"/>
    <col min="3330" max="3330" width="25" customWidth="1"/>
    <col min="3331" max="3331" width="7.33203125" customWidth="1"/>
    <col min="3332" max="3333" width="6.33203125" customWidth="1"/>
    <col min="3334" max="3334" width="9" customWidth="1"/>
    <col min="3335" max="3335" width="6.6640625" customWidth="1"/>
    <col min="3336" max="3336" width="12.1640625" customWidth="1"/>
    <col min="3337" max="3337" width="36" customWidth="1"/>
    <col min="3338" max="3338" width="18" customWidth="1"/>
    <col min="3339" max="3584" width="8.83203125" customWidth="1"/>
    <col min="3585" max="3585" width="5.6640625" customWidth="1"/>
    <col min="3586" max="3586" width="25" customWidth="1"/>
    <col min="3587" max="3587" width="7.33203125" customWidth="1"/>
    <col min="3588" max="3589" width="6.33203125" customWidth="1"/>
    <col min="3590" max="3590" width="9" customWidth="1"/>
    <col min="3591" max="3591" width="6.6640625" customWidth="1"/>
    <col min="3592" max="3592" width="12.1640625" customWidth="1"/>
    <col min="3593" max="3593" width="36" customWidth="1"/>
    <col min="3594" max="3594" width="18" customWidth="1"/>
    <col min="3595" max="3840" width="8.83203125" customWidth="1"/>
    <col min="3841" max="3841" width="5.6640625" customWidth="1"/>
    <col min="3842" max="3842" width="25" customWidth="1"/>
    <col min="3843" max="3843" width="7.33203125" customWidth="1"/>
    <col min="3844" max="3845" width="6.33203125" customWidth="1"/>
    <col min="3846" max="3846" width="9" customWidth="1"/>
    <col min="3847" max="3847" width="6.6640625" customWidth="1"/>
    <col min="3848" max="3848" width="12.1640625" customWidth="1"/>
    <col min="3849" max="3849" width="36" customWidth="1"/>
    <col min="3850" max="3850" width="18" customWidth="1"/>
    <col min="3851" max="4096" width="8.83203125" customWidth="1"/>
    <col min="4097" max="4097" width="5.6640625" customWidth="1"/>
    <col min="4098" max="4098" width="25" customWidth="1"/>
    <col min="4099" max="4099" width="7.33203125" customWidth="1"/>
    <col min="4100" max="4101" width="6.33203125" customWidth="1"/>
    <col min="4102" max="4102" width="9" customWidth="1"/>
    <col min="4103" max="4103" width="6.6640625" customWidth="1"/>
    <col min="4104" max="4104" width="12.1640625" customWidth="1"/>
    <col min="4105" max="4105" width="36" customWidth="1"/>
    <col min="4106" max="4106" width="18" customWidth="1"/>
    <col min="4107" max="4352" width="8.83203125" customWidth="1"/>
    <col min="4353" max="4353" width="5.6640625" customWidth="1"/>
    <col min="4354" max="4354" width="25" customWidth="1"/>
    <col min="4355" max="4355" width="7.33203125" customWidth="1"/>
    <col min="4356" max="4357" width="6.33203125" customWidth="1"/>
    <col min="4358" max="4358" width="9" customWidth="1"/>
    <col min="4359" max="4359" width="6.6640625" customWidth="1"/>
    <col min="4360" max="4360" width="12.1640625" customWidth="1"/>
    <col min="4361" max="4361" width="36" customWidth="1"/>
    <col min="4362" max="4362" width="18" customWidth="1"/>
    <col min="4363" max="4608" width="8.83203125" customWidth="1"/>
    <col min="4609" max="4609" width="5.6640625" customWidth="1"/>
    <col min="4610" max="4610" width="25" customWidth="1"/>
    <col min="4611" max="4611" width="7.33203125" customWidth="1"/>
    <col min="4612" max="4613" width="6.33203125" customWidth="1"/>
    <col min="4614" max="4614" width="9" customWidth="1"/>
    <col min="4615" max="4615" width="6.6640625" customWidth="1"/>
    <col min="4616" max="4616" width="12.1640625" customWidth="1"/>
    <col min="4617" max="4617" width="36" customWidth="1"/>
    <col min="4618" max="4618" width="18" customWidth="1"/>
    <col min="4619" max="4864" width="8.83203125" customWidth="1"/>
    <col min="4865" max="4865" width="5.6640625" customWidth="1"/>
    <col min="4866" max="4866" width="25" customWidth="1"/>
    <col min="4867" max="4867" width="7.33203125" customWidth="1"/>
    <col min="4868" max="4869" width="6.33203125" customWidth="1"/>
    <col min="4870" max="4870" width="9" customWidth="1"/>
    <col min="4871" max="4871" width="6.6640625" customWidth="1"/>
    <col min="4872" max="4872" width="12.1640625" customWidth="1"/>
    <col min="4873" max="4873" width="36" customWidth="1"/>
    <col min="4874" max="4874" width="18" customWidth="1"/>
    <col min="4875" max="5120" width="8.83203125" customWidth="1"/>
    <col min="5121" max="5121" width="5.6640625" customWidth="1"/>
    <col min="5122" max="5122" width="25" customWidth="1"/>
    <col min="5123" max="5123" width="7.33203125" customWidth="1"/>
    <col min="5124" max="5125" width="6.33203125" customWidth="1"/>
    <col min="5126" max="5126" width="9" customWidth="1"/>
    <col min="5127" max="5127" width="6.6640625" customWidth="1"/>
    <col min="5128" max="5128" width="12.1640625" customWidth="1"/>
    <col min="5129" max="5129" width="36" customWidth="1"/>
    <col min="5130" max="5130" width="18" customWidth="1"/>
    <col min="5131" max="5376" width="8.83203125" customWidth="1"/>
    <col min="5377" max="5377" width="5.6640625" customWidth="1"/>
    <col min="5378" max="5378" width="25" customWidth="1"/>
    <col min="5379" max="5379" width="7.33203125" customWidth="1"/>
    <col min="5380" max="5381" width="6.33203125" customWidth="1"/>
    <col min="5382" max="5382" width="9" customWidth="1"/>
    <col min="5383" max="5383" width="6.6640625" customWidth="1"/>
    <col min="5384" max="5384" width="12.1640625" customWidth="1"/>
    <col min="5385" max="5385" width="36" customWidth="1"/>
    <col min="5386" max="5386" width="18" customWidth="1"/>
    <col min="5387" max="5632" width="8.83203125" customWidth="1"/>
    <col min="5633" max="5633" width="5.6640625" customWidth="1"/>
    <col min="5634" max="5634" width="25" customWidth="1"/>
    <col min="5635" max="5635" width="7.33203125" customWidth="1"/>
    <col min="5636" max="5637" width="6.33203125" customWidth="1"/>
    <col min="5638" max="5638" width="9" customWidth="1"/>
    <col min="5639" max="5639" width="6.6640625" customWidth="1"/>
    <col min="5640" max="5640" width="12.1640625" customWidth="1"/>
    <col min="5641" max="5641" width="36" customWidth="1"/>
    <col min="5642" max="5642" width="18" customWidth="1"/>
    <col min="5643" max="5888" width="8.83203125" customWidth="1"/>
    <col min="5889" max="5889" width="5.6640625" customWidth="1"/>
    <col min="5890" max="5890" width="25" customWidth="1"/>
    <col min="5891" max="5891" width="7.33203125" customWidth="1"/>
    <col min="5892" max="5893" width="6.33203125" customWidth="1"/>
    <col min="5894" max="5894" width="9" customWidth="1"/>
    <col min="5895" max="5895" width="6.6640625" customWidth="1"/>
    <col min="5896" max="5896" width="12.1640625" customWidth="1"/>
    <col min="5897" max="5897" width="36" customWidth="1"/>
    <col min="5898" max="5898" width="18" customWidth="1"/>
    <col min="5899" max="6144" width="8.83203125" customWidth="1"/>
    <col min="6145" max="6145" width="5.6640625" customWidth="1"/>
    <col min="6146" max="6146" width="25" customWidth="1"/>
    <col min="6147" max="6147" width="7.33203125" customWidth="1"/>
    <col min="6148" max="6149" width="6.33203125" customWidth="1"/>
    <col min="6150" max="6150" width="9" customWidth="1"/>
    <col min="6151" max="6151" width="6.6640625" customWidth="1"/>
    <col min="6152" max="6152" width="12.1640625" customWidth="1"/>
    <col min="6153" max="6153" width="36" customWidth="1"/>
    <col min="6154" max="6154" width="18" customWidth="1"/>
    <col min="6155" max="6400" width="8.83203125" customWidth="1"/>
    <col min="6401" max="6401" width="5.6640625" customWidth="1"/>
    <col min="6402" max="6402" width="25" customWidth="1"/>
    <col min="6403" max="6403" width="7.33203125" customWidth="1"/>
    <col min="6404" max="6405" width="6.33203125" customWidth="1"/>
    <col min="6406" max="6406" width="9" customWidth="1"/>
    <col min="6407" max="6407" width="6.6640625" customWidth="1"/>
    <col min="6408" max="6408" width="12.1640625" customWidth="1"/>
    <col min="6409" max="6409" width="36" customWidth="1"/>
    <col min="6410" max="6410" width="18" customWidth="1"/>
    <col min="6411" max="6656" width="8.83203125" customWidth="1"/>
    <col min="6657" max="6657" width="5.6640625" customWidth="1"/>
    <col min="6658" max="6658" width="25" customWidth="1"/>
    <col min="6659" max="6659" width="7.33203125" customWidth="1"/>
    <col min="6660" max="6661" width="6.33203125" customWidth="1"/>
    <col min="6662" max="6662" width="9" customWidth="1"/>
    <col min="6663" max="6663" width="6.6640625" customWidth="1"/>
    <col min="6664" max="6664" width="12.1640625" customWidth="1"/>
    <col min="6665" max="6665" width="36" customWidth="1"/>
    <col min="6666" max="6666" width="18" customWidth="1"/>
    <col min="6667" max="6912" width="8.83203125" customWidth="1"/>
    <col min="6913" max="6913" width="5.6640625" customWidth="1"/>
    <col min="6914" max="6914" width="25" customWidth="1"/>
    <col min="6915" max="6915" width="7.33203125" customWidth="1"/>
    <col min="6916" max="6917" width="6.33203125" customWidth="1"/>
    <col min="6918" max="6918" width="9" customWidth="1"/>
    <col min="6919" max="6919" width="6.6640625" customWidth="1"/>
    <col min="6920" max="6920" width="12.1640625" customWidth="1"/>
    <col min="6921" max="6921" width="36" customWidth="1"/>
    <col min="6922" max="6922" width="18" customWidth="1"/>
    <col min="6923" max="7168" width="8.83203125" customWidth="1"/>
    <col min="7169" max="7169" width="5.6640625" customWidth="1"/>
    <col min="7170" max="7170" width="25" customWidth="1"/>
    <col min="7171" max="7171" width="7.33203125" customWidth="1"/>
    <col min="7172" max="7173" width="6.33203125" customWidth="1"/>
    <col min="7174" max="7174" width="9" customWidth="1"/>
    <col min="7175" max="7175" width="6.6640625" customWidth="1"/>
    <col min="7176" max="7176" width="12.1640625" customWidth="1"/>
    <col min="7177" max="7177" width="36" customWidth="1"/>
    <col min="7178" max="7178" width="18" customWidth="1"/>
    <col min="7179" max="7424" width="8.83203125" customWidth="1"/>
    <col min="7425" max="7425" width="5.6640625" customWidth="1"/>
    <col min="7426" max="7426" width="25" customWidth="1"/>
    <col min="7427" max="7427" width="7.33203125" customWidth="1"/>
    <col min="7428" max="7429" width="6.33203125" customWidth="1"/>
    <col min="7430" max="7430" width="9" customWidth="1"/>
    <col min="7431" max="7431" width="6.6640625" customWidth="1"/>
    <col min="7432" max="7432" width="12.1640625" customWidth="1"/>
    <col min="7433" max="7433" width="36" customWidth="1"/>
    <col min="7434" max="7434" width="18" customWidth="1"/>
    <col min="7435" max="7680" width="8.83203125" customWidth="1"/>
    <col min="7681" max="7681" width="5.6640625" customWidth="1"/>
    <col min="7682" max="7682" width="25" customWidth="1"/>
    <col min="7683" max="7683" width="7.33203125" customWidth="1"/>
    <col min="7684" max="7685" width="6.33203125" customWidth="1"/>
    <col min="7686" max="7686" width="9" customWidth="1"/>
    <col min="7687" max="7687" width="6.6640625" customWidth="1"/>
    <col min="7688" max="7688" width="12.1640625" customWidth="1"/>
    <col min="7689" max="7689" width="36" customWidth="1"/>
    <col min="7690" max="7690" width="18" customWidth="1"/>
    <col min="7691" max="7936" width="8.83203125" customWidth="1"/>
    <col min="7937" max="7937" width="5.6640625" customWidth="1"/>
    <col min="7938" max="7938" width="25" customWidth="1"/>
    <col min="7939" max="7939" width="7.33203125" customWidth="1"/>
    <col min="7940" max="7941" width="6.33203125" customWidth="1"/>
    <col min="7942" max="7942" width="9" customWidth="1"/>
    <col min="7943" max="7943" width="6.6640625" customWidth="1"/>
    <col min="7944" max="7944" width="12.1640625" customWidth="1"/>
    <col min="7945" max="7945" width="36" customWidth="1"/>
    <col min="7946" max="7946" width="18" customWidth="1"/>
    <col min="7947" max="8192" width="8.83203125" customWidth="1"/>
    <col min="8193" max="8193" width="5.6640625" customWidth="1"/>
    <col min="8194" max="8194" width="25" customWidth="1"/>
    <col min="8195" max="8195" width="7.33203125" customWidth="1"/>
    <col min="8196" max="8197" width="6.33203125" customWidth="1"/>
    <col min="8198" max="8198" width="9" customWidth="1"/>
    <col min="8199" max="8199" width="6.6640625" customWidth="1"/>
    <col min="8200" max="8200" width="12.1640625" customWidth="1"/>
    <col min="8201" max="8201" width="36" customWidth="1"/>
    <col min="8202" max="8202" width="18" customWidth="1"/>
    <col min="8203" max="8448" width="8.83203125" customWidth="1"/>
    <col min="8449" max="8449" width="5.6640625" customWidth="1"/>
    <col min="8450" max="8450" width="25" customWidth="1"/>
    <col min="8451" max="8451" width="7.33203125" customWidth="1"/>
    <col min="8452" max="8453" width="6.33203125" customWidth="1"/>
    <col min="8454" max="8454" width="9" customWidth="1"/>
    <col min="8455" max="8455" width="6.6640625" customWidth="1"/>
    <col min="8456" max="8456" width="12.1640625" customWidth="1"/>
    <col min="8457" max="8457" width="36" customWidth="1"/>
    <col min="8458" max="8458" width="18" customWidth="1"/>
    <col min="8459" max="8704" width="8.83203125" customWidth="1"/>
    <col min="8705" max="8705" width="5.6640625" customWidth="1"/>
    <col min="8706" max="8706" width="25" customWidth="1"/>
    <col min="8707" max="8707" width="7.33203125" customWidth="1"/>
    <col min="8708" max="8709" width="6.33203125" customWidth="1"/>
    <col min="8710" max="8710" width="9" customWidth="1"/>
    <col min="8711" max="8711" width="6.6640625" customWidth="1"/>
    <col min="8712" max="8712" width="12.1640625" customWidth="1"/>
    <col min="8713" max="8713" width="36" customWidth="1"/>
    <col min="8714" max="8714" width="18" customWidth="1"/>
    <col min="8715" max="8960" width="8.83203125" customWidth="1"/>
    <col min="8961" max="8961" width="5.6640625" customWidth="1"/>
    <col min="8962" max="8962" width="25" customWidth="1"/>
    <col min="8963" max="8963" width="7.33203125" customWidth="1"/>
    <col min="8964" max="8965" width="6.33203125" customWidth="1"/>
    <col min="8966" max="8966" width="9" customWidth="1"/>
    <col min="8967" max="8967" width="6.6640625" customWidth="1"/>
    <col min="8968" max="8968" width="12.1640625" customWidth="1"/>
    <col min="8969" max="8969" width="36" customWidth="1"/>
    <col min="8970" max="8970" width="18" customWidth="1"/>
    <col min="8971" max="9216" width="8.83203125" customWidth="1"/>
    <col min="9217" max="9217" width="5.6640625" customWidth="1"/>
    <col min="9218" max="9218" width="25" customWidth="1"/>
    <col min="9219" max="9219" width="7.33203125" customWidth="1"/>
    <col min="9220" max="9221" width="6.33203125" customWidth="1"/>
    <col min="9222" max="9222" width="9" customWidth="1"/>
    <col min="9223" max="9223" width="6.6640625" customWidth="1"/>
    <col min="9224" max="9224" width="12.1640625" customWidth="1"/>
    <col min="9225" max="9225" width="36" customWidth="1"/>
    <col min="9226" max="9226" width="18" customWidth="1"/>
    <col min="9227" max="9472" width="8.83203125" customWidth="1"/>
    <col min="9473" max="9473" width="5.6640625" customWidth="1"/>
    <col min="9474" max="9474" width="25" customWidth="1"/>
    <col min="9475" max="9475" width="7.33203125" customWidth="1"/>
    <col min="9476" max="9477" width="6.33203125" customWidth="1"/>
    <col min="9478" max="9478" width="9" customWidth="1"/>
    <col min="9479" max="9479" width="6.6640625" customWidth="1"/>
    <col min="9480" max="9480" width="12.1640625" customWidth="1"/>
    <col min="9481" max="9481" width="36" customWidth="1"/>
    <col min="9482" max="9482" width="18" customWidth="1"/>
    <col min="9483" max="9728" width="8.83203125" customWidth="1"/>
    <col min="9729" max="9729" width="5.6640625" customWidth="1"/>
    <col min="9730" max="9730" width="25" customWidth="1"/>
    <col min="9731" max="9731" width="7.33203125" customWidth="1"/>
    <col min="9732" max="9733" width="6.33203125" customWidth="1"/>
    <col min="9734" max="9734" width="9" customWidth="1"/>
    <col min="9735" max="9735" width="6.6640625" customWidth="1"/>
    <col min="9736" max="9736" width="12.1640625" customWidth="1"/>
    <col min="9737" max="9737" width="36" customWidth="1"/>
    <col min="9738" max="9738" width="18" customWidth="1"/>
    <col min="9739" max="9984" width="8.83203125" customWidth="1"/>
    <col min="9985" max="9985" width="5.6640625" customWidth="1"/>
    <col min="9986" max="9986" width="25" customWidth="1"/>
    <col min="9987" max="9987" width="7.33203125" customWidth="1"/>
    <col min="9988" max="9989" width="6.33203125" customWidth="1"/>
    <col min="9990" max="9990" width="9" customWidth="1"/>
    <col min="9991" max="9991" width="6.6640625" customWidth="1"/>
    <col min="9992" max="9992" width="12.1640625" customWidth="1"/>
    <col min="9993" max="9993" width="36" customWidth="1"/>
    <col min="9994" max="9994" width="18" customWidth="1"/>
    <col min="9995" max="10240" width="8.83203125" customWidth="1"/>
    <col min="10241" max="10241" width="5.6640625" customWidth="1"/>
    <col min="10242" max="10242" width="25" customWidth="1"/>
    <col min="10243" max="10243" width="7.33203125" customWidth="1"/>
    <col min="10244" max="10245" width="6.33203125" customWidth="1"/>
    <col min="10246" max="10246" width="9" customWidth="1"/>
    <col min="10247" max="10247" width="6.6640625" customWidth="1"/>
    <col min="10248" max="10248" width="12.1640625" customWidth="1"/>
    <col min="10249" max="10249" width="36" customWidth="1"/>
    <col min="10250" max="10250" width="18" customWidth="1"/>
    <col min="10251" max="10496" width="8.83203125" customWidth="1"/>
    <col min="10497" max="10497" width="5.6640625" customWidth="1"/>
    <col min="10498" max="10498" width="25" customWidth="1"/>
    <col min="10499" max="10499" width="7.33203125" customWidth="1"/>
    <col min="10500" max="10501" width="6.33203125" customWidth="1"/>
    <col min="10502" max="10502" width="9" customWidth="1"/>
    <col min="10503" max="10503" width="6.6640625" customWidth="1"/>
    <col min="10504" max="10504" width="12.1640625" customWidth="1"/>
    <col min="10505" max="10505" width="36" customWidth="1"/>
    <col min="10506" max="10506" width="18" customWidth="1"/>
    <col min="10507" max="10752" width="8.83203125" customWidth="1"/>
    <col min="10753" max="10753" width="5.6640625" customWidth="1"/>
    <col min="10754" max="10754" width="25" customWidth="1"/>
    <col min="10755" max="10755" width="7.33203125" customWidth="1"/>
    <col min="10756" max="10757" width="6.33203125" customWidth="1"/>
    <col min="10758" max="10758" width="9" customWidth="1"/>
    <col min="10759" max="10759" width="6.6640625" customWidth="1"/>
    <col min="10760" max="10760" width="12.1640625" customWidth="1"/>
    <col min="10761" max="10761" width="36" customWidth="1"/>
    <col min="10762" max="10762" width="18" customWidth="1"/>
    <col min="10763" max="11008" width="8.83203125" customWidth="1"/>
    <col min="11009" max="11009" width="5.6640625" customWidth="1"/>
    <col min="11010" max="11010" width="25" customWidth="1"/>
    <col min="11011" max="11011" width="7.33203125" customWidth="1"/>
    <col min="11012" max="11013" width="6.33203125" customWidth="1"/>
    <col min="11014" max="11014" width="9" customWidth="1"/>
    <col min="11015" max="11015" width="6.6640625" customWidth="1"/>
    <col min="11016" max="11016" width="12.1640625" customWidth="1"/>
    <col min="11017" max="11017" width="36" customWidth="1"/>
    <col min="11018" max="11018" width="18" customWidth="1"/>
    <col min="11019" max="11264" width="8.83203125" customWidth="1"/>
    <col min="11265" max="11265" width="5.6640625" customWidth="1"/>
    <col min="11266" max="11266" width="25" customWidth="1"/>
    <col min="11267" max="11267" width="7.33203125" customWidth="1"/>
    <col min="11268" max="11269" width="6.33203125" customWidth="1"/>
    <col min="11270" max="11270" width="9" customWidth="1"/>
    <col min="11271" max="11271" width="6.6640625" customWidth="1"/>
    <col min="11272" max="11272" width="12.1640625" customWidth="1"/>
    <col min="11273" max="11273" width="36" customWidth="1"/>
    <col min="11274" max="11274" width="18" customWidth="1"/>
    <col min="11275" max="11520" width="8.83203125" customWidth="1"/>
    <col min="11521" max="11521" width="5.6640625" customWidth="1"/>
    <col min="11522" max="11522" width="25" customWidth="1"/>
    <col min="11523" max="11523" width="7.33203125" customWidth="1"/>
    <col min="11524" max="11525" width="6.33203125" customWidth="1"/>
    <col min="11526" max="11526" width="9" customWidth="1"/>
    <col min="11527" max="11527" width="6.6640625" customWidth="1"/>
    <col min="11528" max="11528" width="12.1640625" customWidth="1"/>
    <col min="11529" max="11529" width="36" customWidth="1"/>
    <col min="11530" max="11530" width="18" customWidth="1"/>
    <col min="11531" max="11776" width="8.83203125" customWidth="1"/>
    <col min="11777" max="11777" width="5.6640625" customWidth="1"/>
    <col min="11778" max="11778" width="25" customWidth="1"/>
    <col min="11779" max="11779" width="7.33203125" customWidth="1"/>
    <col min="11780" max="11781" width="6.33203125" customWidth="1"/>
    <col min="11782" max="11782" width="9" customWidth="1"/>
    <col min="11783" max="11783" width="6.6640625" customWidth="1"/>
    <col min="11784" max="11784" width="12.1640625" customWidth="1"/>
    <col min="11785" max="11785" width="36" customWidth="1"/>
    <col min="11786" max="11786" width="18" customWidth="1"/>
    <col min="11787" max="12032" width="8.83203125" customWidth="1"/>
    <col min="12033" max="12033" width="5.6640625" customWidth="1"/>
    <col min="12034" max="12034" width="25" customWidth="1"/>
    <col min="12035" max="12035" width="7.33203125" customWidth="1"/>
    <col min="12036" max="12037" width="6.33203125" customWidth="1"/>
    <col min="12038" max="12038" width="9" customWidth="1"/>
    <col min="12039" max="12039" width="6.6640625" customWidth="1"/>
    <col min="12040" max="12040" width="12.1640625" customWidth="1"/>
    <col min="12041" max="12041" width="36" customWidth="1"/>
    <col min="12042" max="12042" width="18" customWidth="1"/>
    <col min="12043" max="12288" width="8.83203125" customWidth="1"/>
    <col min="12289" max="12289" width="5.6640625" customWidth="1"/>
    <col min="12290" max="12290" width="25" customWidth="1"/>
    <col min="12291" max="12291" width="7.33203125" customWidth="1"/>
    <col min="12292" max="12293" width="6.33203125" customWidth="1"/>
    <col min="12294" max="12294" width="9" customWidth="1"/>
    <col min="12295" max="12295" width="6.6640625" customWidth="1"/>
    <col min="12296" max="12296" width="12.1640625" customWidth="1"/>
    <col min="12297" max="12297" width="36" customWidth="1"/>
    <col min="12298" max="12298" width="18" customWidth="1"/>
    <col min="12299" max="12544" width="8.83203125" customWidth="1"/>
    <col min="12545" max="12545" width="5.6640625" customWidth="1"/>
    <col min="12546" max="12546" width="25" customWidth="1"/>
    <col min="12547" max="12547" width="7.33203125" customWidth="1"/>
    <col min="12548" max="12549" width="6.33203125" customWidth="1"/>
    <col min="12550" max="12550" width="9" customWidth="1"/>
    <col min="12551" max="12551" width="6.6640625" customWidth="1"/>
    <col min="12552" max="12552" width="12.1640625" customWidth="1"/>
    <col min="12553" max="12553" width="36" customWidth="1"/>
    <col min="12554" max="12554" width="18" customWidth="1"/>
    <col min="12555" max="12800" width="8.83203125" customWidth="1"/>
    <col min="12801" max="12801" width="5.6640625" customWidth="1"/>
    <col min="12802" max="12802" width="25" customWidth="1"/>
    <col min="12803" max="12803" width="7.33203125" customWidth="1"/>
    <col min="12804" max="12805" width="6.33203125" customWidth="1"/>
    <col min="12806" max="12806" width="9" customWidth="1"/>
    <col min="12807" max="12807" width="6.6640625" customWidth="1"/>
    <col min="12808" max="12808" width="12.1640625" customWidth="1"/>
    <col min="12809" max="12809" width="36" customWidth="1"/>
    <col min="12810" max="12810" width="18" customWidth="1"/>
    <col min="12811" max="13056" width="8.83203125" customWidth="1"/>
    <col min="13057" max="13057" width="5.6640625" customWidth="1"/>
    <col min="13058" max="13058" width="25" customWidth="1"/>
    <col min="13059" max="13059" width="7.33203125" customWidth="1"/>
    <col min="13060" max="13061" width="6.33203125" customWidth="1"/>
    <col min="13062" max="13062" width="9" customWidth="1"/>
    <col min="13063" max="13063" width="6.6640625" customWidth="1"/>
    <col min="13064" max="13064" width="12.1640625" customWidth="1"/>
    <col min="13065" max="13065" width="36" customWidth="1"/>
    <col min="13066" max="13066" width="18" customWidth="1"/>
    <col min="13067" max="13312" width="8.83203125" customWidth="1"/>
    <col min="13313" max="13313" width="5.6640625" customWidth="1"/>
    <col min="13314" max="13314" width="25" customWidth="1"/>
    <col min="13315" max="13315" width="7.33203125" customWidth="1"/>
    <col min="13316" max="13317" width="6.33203125" customWidth="1"/>
    <col min="13318" max="13318" width="9" customWidth="1"/>
    <col min="13319" max="13319" width="6.6640625" customWidth="1"/>
    <col min="13320" max="13320" width="12.1640625" customWidth="1"/>
    <col min="13321" max="13321" width="36" customWidth="1"/>
    <col min="13322" max="13322" width="18" customWidth="1"/>
    <col min="13323" max="13568" width="8.83203125" customWidth="1"/>
    <col min="13569" max="13569" width="5.6640625" customWidth="1"/>
    <col min="13570" max="13570" width="25" customWidth="1"/>
    <col min="13571" max="13571" width="7.33203125" customWidth="1"/>
    <col min="13572" max="13573" width="6.33203125" customWidth="1"/>
    <col min="13574" max="13574" width="9" customWidth="1"/>
    <col min="13575" max="13575" width="6.6640625" customWidth="1"/>
    <col min="13576" max="13576" width="12.1640625" customWidth="1"/>
    <col min="13577" max="13577" width="36" customWidth="1"/>
    <col min="13578" max="13578" width="18" customWidth="1"/>
    <col min="13579" max="13824" width="8.83203125" customWidth="1"/>
    <col min="13825" max="13825" width="5.6640625" customWidth="1"/>
    <col min="13826" max="13826" width="25" customWidth="1"/>
    <col min="13827" max="13827" width="7.33203125" customWidth="1"/>
    <col min="13828" max="13829" width="6.33203125" customWidth="1"/>
    <col min="13830" max="13830" width="9" customWidth="1"/>
    <col min="13831" max="13831" width="6.6640625" customWidth="1"/>
    <col min="13832" max="13832" width="12.1640625" customWidth="1"/>
    <col min="13833" max="13833" width="36" customWidth="1"/>
    <col min="13834" max="13834" width="18" customWidth="1"/>
    <col min="13835" max="14080" width="8.83203125" customWidth="1"/>
    <col min="14081" max="14081" width="5.6640625" customWidth="1"/>
    <col min="14082" max="14082" width="25" customWidth="1"/>
    <col min="14083" max="14083" width="7.33203125" customWidth="1"/>
    <col min="14084" max="14085" width="6.33203125" customWidth="1"/>
    <col min="14086" max="14086" width="9" customWidth="1"/>
    <col min="14087" max="14087" width="6.6640625" customWidth="1"/>
    <col min="14088" max="14088" width="12.1640625" customWidth="1"/>
    <col min="14089" max="14089" width="36" customWidth="1"/>
    <col min="14090" max="14090" width="18" customWidth="1"/>
    <col min="14091" max="14336" width="8.83203125" customWidth="1"/>
    <col min="14337" max="14337" width="5.6640625" customWidth="1"/>
    <col min="14338" max="14338" width="25" customWidth="1"/>
    <col min="14339" max="14339" width="7.33203125" customWidth="1"/>
    <col min="14340" max="14341" width="6.33203125" customWidth="1"/>
    <col min="14342" max="14342" width="9" customWidth="1"/>
    <col min="14343" max="14343" width="6.6640625" customWidth="1"/>
    <col min="14344" max="14344" width="12.1640625" customWidth="1"/>
    <col min="14345" max="14345" width="36" customWidth="1"/>
    <col min="14346" max="14346" width="18" customWidth="1"/>
    <col min="14347" max="14592" width="8.83203125" customWidth="1"/>
    <col min="14593" max="14593" width="5.6640625" customWidth="1"/>
    <col min="14594" max="14594" width="25" customWidth="1"/>
    <col min="14595" max="14595" width="7.33203125" customWidth="1"/>
    <col min="14596" max="14597" width="6.33203125" customWidth="1"/>
    <col min="14598" max="14598" width="9" customWidth="1"/>
    <col min="14599" max="14599" width="6.6640625" customWidth="1"/>
    <col min="14600" max="14600" width="12.1640625" customWidth="1"/>
    <col min="14601" max="14601" width="36" customWidth="1"/>
    <col min="14602" max="14602" width="18" customWidth="1"/>
    <col min="14603" max="14848" width="8.83203125" customWidth="1"/>
    <col min="14849" max="14849" width="5.6640625" customWidth="1"/>
    <col min="14850" max="14850" width="25" customWidth="1"/>
    <col min="14851" max="14851" width="7.33203125" customWidth="1"/>
    <col min="14852" max="14853" width="6.33203125" customWidth="1"/>
    <col min="14854" max="14854" width="9" customWidth="1"/>
    <col min="14855" max="14855" width="6.6640625" customWidth="1"/>
    <col min="14856" max="14856" width="12.1640625" customWidth="1"/>
    <col min="14857" max="14857" width="36" customWidth="1"/>
    <col min="14858" max="14858" width="18" customWidth="1"/>
    <col min="14859" max="15104" width="8.83203125" customWidth="1"/>
    <col min="15105" max="15105" width="5.6640625" customWidth="1"/>
    <col min="15106" max="15106" width="25" customWidth="1"/>
    <col min="15107" max="15107" width="7.33203125" customWidth="1"/>
    <col min="15108" max="15109" width="6.33203125" customWidth="1"/>
    <col min="15110" max="15110" width="9" customWidth="1"/>
    <col min="15111" max="15111" width="6.6640625" customWidth="1"/>
    <col min="15112" max="15112" width="12.1640625" customWidth="1"/>
    <col min="15113" max="15113" width="36" customWidth="1"/>
    <col min="15114" max="15114" width="18" customWidth="1"/>
    <col min="15115" max="15360" width="8.83203125" customWidth="1"/>
    <col min="15361" max="15361" width="5.6640625" customWidth="1"/>
    <col min="15362" max="15362" width="25" customWidth="1"/>
    <col min="15363" max="15363" width="7.33203125" customWidth="1"/>
    <col min="15364" max="15365" width="6.33203125" customWidth="1"/>
    <col min="15366" max="15366" width="9" customWidth="1"/>
    <col min="15367" max="15367" width="6.6640625" customWidth="1"/>
    <col min="15368" max="15368" width="12.1640625" customWidth="1"/>
    <col min="15369" max="15369" width="36" customWidth="1"/>
    <col min="15370" max="15370" width="18" customWidth="1"/>
    <col min="15371" max="15616" width="8.83203125" customWidth="1"/>
    <col min="15617" max="15617" width="5.6640625" customWidth="1"/>
    <col min="15618" max="15618" width="25" customWidth="1"/>
    <col min="15619" max="15619" width="7.33203125" customWidth="1"/>
    <col min="15620" max="15621" width="6.33203125" customWidth="1"/>
    <col min="15622" max="15622" width="9" customWidth="1"/>
    <col min="15623" max="15623" width="6.6640625" customWidth="1"/>
    <col min="15624" max="15624" width="12.1640625" customWidth="1"/>
    <col min="15625" max="15625" width="36" customWidth="1"/>
    <col min="15626" max="15626" width="18" customWidth="1"/>
    <col min="15627" max="15872" width="8.83203125" customWidth="1"/>
    <col min="15873" max="15873" width="5.6640625" customWidth="1"/>
    <col min="15874" max="15874" width="25" customWidth="1"/>
    <col min="15875" max="15875" width="7.33203125" customWidth="1"/>
    <col min="15876" max="15877" width="6.33203125" customWidth="1"/>
    <col min="15878" max="15878" width="9" customWidth="1"/>
    <col min="15879" max="15879" width="6.6640625" customWidth="1"/>
    <col min="15880" max="15880" width="12.1640625" customWidth="1"/>
    <col min="15881" max="15881" width="36" customWidth="1"/>
    <col min="15882" max="15882" width="18" customWidth="1"/>
    <col min="15883" max="16128" width="8.83203125" customWidth="1"/>
    <col min="16129" max="16129" width="5.6640625" customWidth="1"/>
    <col min="16130" max="16130" width="25" customWidth="1"/>
    <col min="16131" max="16131" width="7.33203125" customWidth="1"/>
    <col min="16132" max="16133" width="6.33203125" customWidth="1"/>
    <col min="16134" max="16134" width="9" customWidth="1"/>
    <col min="16135" max="16135" width="6.6640625" customWidth="1"/>
    <col min="16136" max="16136" width="12.1640625" customWidth="1"/>
    <col min="16137" max="16137" width="36" customWidth="1"/>
    <col min="16138" max="16138" width="18" customWidth="1"/>
    <col min="16139" max="16384" width="8.832031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1220</v>
      </c>
      <c r="B4" s="1714"/>
      <c r="C4" s="1714"/>
      <c r="D4" s="1714"/>
      <c r="E4" s="1714"/>
      <c r="F4" s="1714"/>
      <c r="G4" s="1714"/>
      <c r="H4" s="1714"/>
      <c r="I4" s="1714"/>
      <c r="J4" s="1714"/>
    </row>
    <row r="6" spans="1:63" ht="54" customHeight="1">
      <c r="A6" s="1379" t="s">
        <v>0</v>
      </c>
      <c r="B6" s="1379" t="s">
        <v>1071</v>
      </c>
      <c r="C6" s="1380" t="s">
        <v>1</v>
      </c>
      <c r="D6" s="1380" t="s">
        <v>1221</v>
      </c>
      <c r="E6" s="1380" t="s">
        <v>1222</v>
      </c>
      <c r="F6" s="1380" t="s">
        <v>1223</v>
      </c>
      <c r="G6" s="1380" t="s">
        <v>1224</v>
      </c>
      <c r="H6" s="1381" t="s">
        <v>29</v>
      </c>
      <c r="I6" s="1380" t="s">
        <v>1077</v>
      </c>
      <c r="J6" s="1381" t="s">
        <v>1225</v>
      </c>
    </row>
    <row r="7" spans="1:63">
      <c r="A7" s="1276" t="s">
        <v>6</v>
      </c>
      <c r="B7" s="1382" t="s">
        <v>19</v>
      </c>
      <c r="C7" s="1276" t="s">
        <v>422</v>
      </c>
      <c r="D7" s="1254">
        <v>1</v>
      </c>
      <c r="E7" s="1276">
        <v>2</v>
      </c>
      <c r="F7" s="1276">
        <v>3</v>
      </c>
      <c r="G7" s="1276">
        <v>4</v>
      </c>
      <c r="H7" s="1276"/>
      <c r="I7" s="1276"/>
      <c r="J7" s="1276"/>
    </row>
    <row r="8" spans="1:63" ht="16.5" customHeight="1">
      <c r="A8" s="1383" t="s">
        <v>6</v>
      </c>
      <c r="B8" s="1384" t="s">
        <v>1081</v>
      </c>
      <c r="C8" s="1385"/>
      <c r="D8" s="1386"/>
      <c r="E8" s="1386"/>
      <c r="F8" s="1254"/>
      <c r="G8" s="1254"/>
      <c r="H8" s="1387"/>
      <c r="I8" s="1254"/>
      <c r="J8" s="1254"/>
    </row>
    <row r="9" spans="1:63" ht="33" customHeight="1">
      <c r="A9" s="1383">
        <v>1</v>
      </c>
      <c r="B9" s="1388" t="s">
        <v>1226</v>
      </c>
      <c r="C9" s="1389" t="s">
        <v>1083</v>
      </c>
      <c r="D9" s="1390">
        <v>2</v>
      </c>
      <c r="E9" s="1391">
        <v>197</v>
      </c>
      <c r="F9" s="1392">
        <v>225000</v>
      </c>
      <c r="G9" s="1393" t="s">
        <v>1227</v>
      </c>
      <c r="H9" s="1394">
        <v>124110000</v>
      </c>
      <c r="I9" s="1390" t="s">
        <v>1228</v>
      </c>
      <c r="J9" s="1395"/>
    </row>
    <row r="10" spans="1:63" ht="16">
      <c r="A10" s="1379" t="s">
        <v>19</v>
      </c>
      <c r="B10" s="1396" t="s">
        <v>1229</v>
      </c>
      <c r="C10" s="1390"/>
      <c r="D10" s="1390"/>
      <c r="E10" s="1390"/>
      <c r="F10" s="1390"/>
      <c r="G10" s="1397"/>
      <c r="H10" s="1398">
        <v>99288000</v>
      </c>
      <c r="I10" s="1399"/>
      <c r="J10" s="1400"/>
      <c r="K10" s="2"/>
    </row>
    <row r="11" spans="1:63" s="1406" customFormat="1" ht="14.25" customHeight="1">
      <c r="A11" s="1401" t="s">
        <v>7</v>
      </c>
      <c r="B11" s="1402" t="s">
        <v>1230</v>
      </c>
      <c r="C11" s="1390"/>
      <c r="D11" s="1390"/>
      <c r="E11" s="1390"/>
      <c r="F11" s="1390"/>
      <c r="G11" s="1390"/>
      <c r="H11" s="1403"/>
      <c r="I11" s="1390"/>
      <c r="J11" s="1404"/>
      <c r="K11" s="1405"/>
    </row>
    <row r="12" spans="1:63" s="1406" customFormat="1" ht="18" customHeight="1">
      <c r="A12" s="1407">
        <v>1</v>
      </c>
      <c r="B12" s="1408" t="s">
        <v>1231</v>
      </c>
      <c r="C12" s="1390" t="s">
        <v>1232</v>
      </c>
      <c r="D12" s="1390"/>
      <c r="E12" s="1390"/>
      <c r="F12" s="1390"/>
      <c r="G12" s="1390"/>
      <c r="H12" s="1409">
        <v>24360000</v>
      </c>
      <c r="I12" s="1410"/>
      <c r="J12" s="1411"/>
    </row>
    <row r="13" spans="1:63" s="1406" customFormat="1" ht="26.75" customHeight="1">
      <c r="A13" s="1407">
        <v>1.1000000000000001</v>
      </c>
      <c r="B13" s="1412" t="s">
        <v>1233</v>
      </c>
      <c r="C13" s="1413"/>
      <c r="D13" s="1390"/>
      <c r="E13" s="1390"/>
      <c r="F13" s="1390"/>
      <c r="G13" s="1390"/>
      <c r="H13" s="1414"/>
      <c r="I13" s="1415" t="s">
        <v>1234</v>
      </c>
      <c r="J13" s="1416" t="s">
        <v>1235</v>
      </c>
      <c r="K13" s="1405"/>
    </row>
    <row r="14" spans="1:63" s="1406" customFormat="1" ht="15.75" customHeight="1">
      <c r="A14" s="1417"/>
      <c r="B14" s="1415" t="s">
        <v>1236</v>
      </c>
      <c r="C14" s="1413" t="s">
        <v>1237</v>
      </c>
      <c r="D14" s="1418">
        <v>2</v>
      </c>
      <c r="E14" s="1390">
        <v>25</v>
      </c>
      <c r="F14" s="1392">
        <v>90000</v>
      </c>
      <c r="G14" s="1390"/>
      <c r="H14" s="1392">
        <v>2700000</v>
      </c>
      <c r="I14" s="1390"/>
      <c r="J14" s="1400" t="s">
        <v>1238</v>
      </c>
      <c r="K14" s="1405"/>
    </row>
    <row r="15" spans="1:63" s="1427" customFormat="1" ht="15.5" customHeight="1">
      <c r="A15" s="1419"/>
      <c r="B15" s="1420" t="s">
        <v>1239</v>
      </c>
      <c r="C15" s="1413" t="s">
        <v>1237</v>
      </c>
      <c r="D15" s="1421">
        <v>2</v>
      </c>
      <c r="E15" s="1422">
        <v>25</v>
      </c>
      <c r="F15" s="1423">
        <v>90000</v>
      </c>
      <c r="G15" s="1230"/>
      <c r="H15" s="1423">
        <v>2700000</v>
      </c>
      <c r="I15" s="1424"/>
      <c r="J15" s="1425"/>
      <c r="K15" s="1426"/>
    </row>
    <row r="16" spans="1:63" s="1406" customFormat="1" ht="34">
      <c r="A16" s="1428">
        <v>1.2</v>
      </c>
      <c r="B16" s="1412" t="s">
        <v>1240</v>
      </c>
      <c r="C16" s="1413"/>
      <c r="D16" s="1418"/>
      <c r="E16" s="1390"/>
      <c r="F16" s="1392"/>
      <c r="G16" s="1390"/>
      <c r="H16" s="1392"/>
      <c r="I16" s="1395" t="s">
        <v>1241</v>
      </c>
      <c r="J16" s="1429"/>
    </row>
    <row r="17" spans="1:18" s="1427" customFormat="1" ht="17">
      <c r="A17" s="1430"/>
      <c r="B17" s="1415" t="s">
        <v>1242</v>
      </c>
      <c r="C17" s="1413" t="s">
        <v>1237</v>
      </c>
      <c r="D17" s="1418">
        <v>2</v>
      </c>
      <c r="E17" s="1422">
        <v>25</v>
      </c>
      <c r="F17" s="1423">
        <v>80000</v>
      </c>
      <c r="G17" s="1230"/>
      <c r="H17" s="1423">
        <v>2400000</v>
      </c>
      <c r="I17" s="1431"/>
      <c r="J17" s="1424"/>
    </row>
    <row r="18" spans="1:18" s="1406" customFormat="1" ht="17">
      <c r="A18" s="1432"/>
      <c r="B18" s="1420" t="s">
        <v>1243</v>
      </c>
      <c r="C18" s="1433" t="s">
        <v>1237</v>
      </c>
      <c r="D18" s="1390">
        <v>2</v>
      </c>
      <c r="E18" s="1390">
        <v>25</v>
      </c>
      <c r="F18" s="1392">
        <v>80000</v>
      </c>
      <c r="G18" s="1390"/>
      <c r="H18" s="1392">
        <v>2400000</v>
      </c>
      <c r="I18" s="1434" t="s">
        <v>1244</v>
      </c>
      <c r="J18" s="1395"/>
    </row>
    <row r="19" spans="1:18" s="1406" customFormat="1" ht="17">
      <c r="A19" s="1435">
        <v>1.3</v>
      </c>
      <c r="B19" s="1412" t="s">
        <v>1245</v>
      </c>
      <c r="C19" s="1433"/>
      <c r="D19" s="1390"/>
      <c r="E19" s="1390"/>
      <c r="F19" s="1392"/>
      <c r="G19" s="1390"/>
      <c r="H19" s="1392"/>
      <c r="I19" s="1434" t="s">
        <v>1246</v>
      </c>
      <c r="J19" s="1429"/>
    </row>
    <row r="20" spans="1:18" s="1406" customFormat="1" ht="17">
      <c r="A20" s="1432"/>
      <c r="B20" s="1390" t="s">
        <v>1247</v>
      </c>
      <c r="C20" s="1413" t="s">
        <v>1237</v>
      </c>
      <c r="D20" s="1390">
        <v>2</v>
      </c>
      <c r="E20" s="1390">
        <v>25</v>
      </c>
      <c r="F20" s="1392">
        <v>80000</v>
      </c>
      <c r="G20" s="1390"/>
      <c r="H20" s="1392">
        <v>2400000</v>
      </c>
      <c r="I20" s="1411"/>
      <c r="J20" s="1429"/>
    </row>
    <row r="21" spans="1:18" s="1427" customFormat="1" ht="16">
      <c r="A21" s="1435">
        <v>1.4</v>
      </c>
      <c r="B21" s="1230" t="s">
        <v>1248</v>
      </c>
      <c r="C21" s="1436"/>
      <c r="D21" s="1230"/>
      <c r="E21" s="1230"/>
      <c r="F21" s="1403"/>
      <c r="G21" s="1230"/>
      <c r="H21" s="1403"/>
      <c r="I21" s="1437"/>
      <c r="J21" s="1424"/>
    </row>
    <row r="22" spans="1:18" s="1406" customFormat="1" ht="16">
      <c r="A22" s="1438"/>
      <c r="B22" s="1390" t="s">
        <v>1249</v>
      </c>
      <c r="C22" s="1433" t="s">
        <v>1237</v>
      </c>
      <c r="D22" s="1390">
        <v>2</v>
      </c>
      <c r="E22" s="1390">
        <v>25</v>
      </c>
      <c r="F22" s="1392">
        <v>90000</v>
      </c>
      <c r="G22" s="1390"/>
      <c r="H22" s="1392">
        <v>2700000</v>
      </c>
      <c r="I22" s="1391"/>
      <c r="J22" s="1391"/>
      <c r="L22" s="1439"/>
    </row>
    <row r="23" spans="1:18" s="1427" customFormat="1" ht="16">
      <c r="A23" s="1440">
        <v>1.5</v>
      </c>
      <c r="B23" s="1230" t="s">
        <v>1250</v>
      </c>
      <c r="C23" s="1436"/>
      <c r="D23" s="1230"/>
      <c r="E23" s="1230"/>
      <c r="F23" s="1403"/>
      <c r="G23" s="1230"/>
      <c r="H23" s="1403"/>
      <c r="I23" s="1437"/>
      <c r="J23" s="1424"/>
    </row>
    <row r="24" spans="1:18" s="1406" customFormat="1" ht="16">
      <c r="A24" s="1441"/>
      <c r="B24" s="1390" t="s">
        <v>1251</v>
      </c>
      <c r="C24" s="1433" t="s">
        <v>1237</v>
      </c>
      <c r="D24" s="1390">
        <v>2</v>
      </c>
      <c r="E24" s="1390">
        <v>25</v>
      </c>
      <c r="F24" s="1392">
        <v>80000</v>
      </c>
      <c r="G24" s="1390"/>
      <c r="H24" s="1423">
        <v>2400000</v>
      </c>
      <c r="I24" s="1391"/>
      <c r="J24" s="1429"/>
    </row>
    <row r="25" spans="1:18" s="1406" customFormat="1" ht="16">
      <c r="A25" s="1441">
        <v>1.6</v>
      </c>
      <c r="B25" s="1230" t="s">
        <v>592</v>
      </c>
      <c r="C25" s="1433"/>
      <c r="D25" s="1390"/>
      <c r="E25" s="1390"/>
      <c r="F25" s="1392"/>
      <c r="G25" s="1390"/>
      <c r="H25" s="1392"/>
      <c r="I25" s="1391"/>
      <c r="J25" s="1429"/>
    </row>
    <row r="26" spans="1:18" s="1406" customFormat="1" ht="16">
      <c r="A26" s="1441"/>
      <c r="B26" s="1390" t="s">
        <v>1252</v>
      </c>
      <c r="C26" s="1433" t="s">
        <v>1237</v>
      </c>
      <c r="D26" s="1390">
        <v>2</v>
      </c>
      <c r="E26" s="1390">
        <v>22</v>
      </c>
      <c r="F26" s="1392">
        <v>66000</v>
      </c>
      <c r="G26" s="1390"/>
      <c r="H26" s="1423">
        <v>2400000</v>
      </c>
      <c r="I26" s="1391"/>
      <c r="J26" s="1429"/>
    </row>
    <row r="27" spans="1:18" s="1406" customFormat="1" ht="16">
      <c r="A27" s="1435"/>
      <c r="B27" s="1230"/>
      <c r="C27" s="1433"/>
      <c r="D27" s="1390"/>
      <c r="E27" s="1390"/>
      <c r="F27" s="1392"/>
      <c r="G27" s="1390"/>
      <c r="H27" s="1392"/>
      <c r="I27" s="1411"/>
      <c r="J27" s="1429"/>
    </row>
    <row r="28" spans="1:18" s="1406" customFormat="1" ht="16">
      <c r="A28" s="1438"/>
      <c r="B28" s="1390"/>
      <c r="C28" s="1433"/>
      <c r="D28" s="1390"/>
      <c r="E28" s="1390"/>
      <c r="F28" s="1392"/>
      <c r="G28" s="1390"/>
      <c r="H28" s="1392"/>
      <c r="I28" s="1391"/>
      <c r="J28" s="1391"/>
      <c r="L28" s="1439"/>
    </row>
    <row r="29" spans="1:18" s="1406" customFormat="1" ht="16">
      <c r="A29" s="1440"/>
      <c r="B29" s="1230"/>
      <c r="C29" s="1433"/>
      <c r="D29" s="1390"/>
      <c r="E29" s="1390"/>
      <c r="F29" s="1392"/>
      <c r="G29" s="1390"/>
      <c r="H29" s="1392"/>
      <c r="I29" s="1391"/>
      <c r="J29" s="1429"/>
    </row>
    <row r="30" spans="1:18" s="1406" customFormat="1" ht="16">
      <c r="B30" s="1442"/>
      <c r="C30" s="1422"/>
      <c r="D30" s="1422"/>
      <c r="E30" s="1422"/>
      <c r="F30" s="1423"/>
      <c r="G30" s="1422"/>
      <c r="H30" s="1443"/>
      <c r="I30" s="1422"/>
      <c r="J30" s="1395"/>
    </row>
    <row r="31" spans="1:18" s="1406" customFormat="1" ht="16">
      <c r="A31" s="1444" t="s">
        <v>8</v>
      </c>
      <c r="B31" s="1445" t="s">
        <v>1253</v>
      </c>
      <c r="C31" s="1422" t="s">
        <v>1254</v>
      </c>
      <c r="D31" s="1422">
        <v>2</v>
      </c>
      <c r="E31" s="1422">
        <v>197</v>
      </c>
      <c r="F31" s="1423">
        <v>6000</v>
      </c>
      <c r="G31" s="1422"/>
      <c r="H31" s="1394">
        <v>1182000</v>
      </c>
      <c r="I31" s="1422" t="s">
        <v>1170</v>
      </c>
      <c r="J31" s="1395"/>
      <c r="R31" s="1390" t="s">
        <v>1255</v>
      </c>
    </row>
    <row r="32" spans="1:18" s="1406" customFormat="1" ht="16">
      <c r="A32" s="1436" t="s">
        <v>25</v>
      </c>
      <c r="B32" s="1230" t="s">
        <v>1256</v>
      </c>
      <c r="C32" s="1422"/>
      <c r="D32" s="1422"/>
      <c r="E32" s="1422"/>
      <c r="F32" s="1422"/>
      <c r="G32" s="1422"/>
      <c r="H32" s="1394">
        <v>38100000</v>
      </c>
      <c r="I32" s="1422"/>
      <c r="J32" s="1395"/>
    </row>
    <row r="33" spans="1:10" s="1406" customFormat="1" ht="16">
      <c r="A33" s="1446">
        <v>1.1000000000000001</v>
      </c>
      <c r="B33" s="1447" t="s">
        <v>1257</v>
      </c>
      <c r="C33" s="1448"/>
      <c r="D33" s="1448"/>
      <c r="E33" s="1448"/>
      <c r="F33" s="1410"/>
      <c r="G33" s="1448"/>
      <c r="H33" s="1449">
        <v>4800000</v>
      </c>
      <c r="I33" s="1390" t="s">
        <v>1258</v>
      </c>
      <c r="J33" s="1395"/>
    </row>
    <row r="34" spans="1:10" s="1406" customFormat="1" ht="16">
      <c r="A34" s="1450"/>
      <c r="B34" s="1391" t="s">
        <v>1255</v>
      </c>
      <c r="C34" s="1391" t="s">
        <v>1259</v>
      </c>
      <c r="D34" s="1391"/>
      <c r="E34" s="1391">
        <v>1</v>
      </c>
      <c r="F34" s="1451">
        <v>450000</v>
      </c>
      <c r="G34" s="1391"/>
      <c r="H34" s="1423">
        <f t="shared" ref="H34:H40" si="0">E34*F34</f>
        <v>450000</v>
      </c>
      <c r="I34" s="1429"/>
      <c r="J34" s="1395"/>
    </row>
    <row r="35" spans="1:10" s="1406" customFormat="1" ht="16">
      <c r="A35" s="1432"/>
      <c r="B35" s="1390" t="s">
        <v>1260</v>
      </c>
      <c r="C35" s="1390" t="s">
        <v>1261</v>
      </c>
      <c r="D35" s="1390"/>
      <c r="E35" s="1390">
        <v>4</v>
      </c>
      <c r="F35" s="1392">
        <v>50000</v>
      </c>
      <c r="G35" s="1390"/>
      <c r="H35" s="1423">
        <f t="shared" si="0"/>
        <v>200000</v>
      </c>
      <c r="I35" s="1395"/>
      <c r="J35" s="1391"/>
    </row>
    <row r="36" spans="1:10" s="1406" customFormat="1" ht="17" customHeight="1">
      <c r="A36" s="1452"/>
      <c r="B36" s="1390" t="s">
        <v>1262</v>
      </c>
      <c r="C36" s="1390" t="s">
        <v>1083</v>
      </c>
      <c r="D36" s="1390"/>
      <c r="E36" s="1390">
        <v>25</v>
      </c>
      <c r="F36" s="1392">
        <v>30000</v>
      </c>
      <c r="G36" s="1390"/>
      <c r="H36" s="1423">
        <v>750000</v>
      </c>
      <c r="I36" s="1429"/>
      <c r="J36" s="1390"/>
    </row>
    <row r="37" spans="1:10" s="1406" customFormat="1" ht="16">
      <c r="A37" s="1432"/>
      <c r="B37" s="1390" t="s">
        <v>1263</v>
      </c>
      <c r="C37" s="1390" t="s">
        <v>1237</v>
      </c>
      <c r="D37" s="1390"/>
      <c r="E37" s="1390">
        <v>28</v>
      </c>
      <c r="F37" s="1392">
        <v>50000</v>
      </c>
      <c r="G37" s="1390"/>
      <c r="H37" s="1423">
        <v>1400000</v>
      </c>
      <c r="I37" s="1434"/>
      <c r="J37" s="1429"/>
    </row>
    <row r="38" spans="1:10" s="1406" customFormat="1" ht="16">
      <c r="A38" s="1453"/>
      <c r="B38" s="1390" t="s">
        <v>1264</v>
      </c>
      <c r="C38" s="1390" t="s">
        <v>1265</v>
      </c>
      <c r="D38" s="1390"/>
      <c r="E38" s="1390">
        <v>25</v>
      </c>
      <c r="F38" s="1392">
        <v>40000</v>
      </c>
      <c r="G38" s="1390"/>
      <c r="H38" s="1423">
        <v>1000000</v>
      </c>
      <c r="I38" s="1434"/>
      <c r="J38" s="1395"/>
    </row>
    <row r="39" spans="1:10" s="1406" customFormat="1" ht="16">
      <c r="A39" s="1450"/>
      <c r="B39" s="1390" t="s">
        <v>1266</v>
      </c>
      <c r="C39" s="1390" t="s">
        <v>1083</v>
      </c>
      <c r="D39" s="1390"/>
      <c r="E39" s="1390">
        <v>25</v>
      </c>
      <c r="F39" s="1392">
        <v>30000</v>
      </c>
      <c r="G39" s="1390"/>
      <c r="H39" s="1423">
        <f t="shared" si="0"/>
        <v>750000</v>
      </c>
      <c r="I39" s="1434"/>
      <c r="J39" s="1395"/>
    </row>
    <row r="40" spans="1:10" s="1406" customFormat="1" ht="16">
      <c r="A40" s="1432"/>
      <c r="B40" s="1390" t="s">
        <v>1267</v>
      </c>
      <c r="C40" s="1390" t="s">
        <v>1268</v>
      </c>
      <c r="D40" s="1390"/>
      <c r="E40" s="1390">
        <v>5</v>
      </c>
      <c r="F40" s="1392">
        <v>50000</v>
      </c>
      <c r="G40" s="1390"/>
      <c r="H40" s="1423">
        <f t="shared" si="0"/>
        <v>250000</v>
      </c>
      <c r="I40" s="1411"/>
      <c r="J40" s="1395"/>
    </row>
    <row r="41" spans="1:10" s="1406" customFormat="1" ht="16">
      <c r="A41" s="1438">
        <v>1.2</v>
      </c>
      <c r="B41" s="1447" t="s">
        <v>1269</v>
      </c>
      <c r="C41" s="1448"/>
      <c r="D41" s="1410"/>
      <c r="E41" s="1410"/>
      <c r="F41" s="1410"/>
      <c r="G41" s="1448"/>
      <c r="H41" s="1449">
        <f>SUM(H34:H40)</f>
        <v>4800000</v>
      </c>
      <c r="I41" s="1390" t="s">
        <v>1258</v>
      </c>
      <c r="J41" s="1395"/>
    </row>
    <row r="42" spans="1:10" s="1406" customFormat="1" ht="16">
      <c r="A42" s="1454"/>
      <c r="B42" s="1391" t="s">
        <v>1255</v>
      </c>
      <c r="C42" s="1391" t="s">
        <v>1259</v>
      </c>
      <c r="D42" s="1411"/>
      <c r="E42" s="1391">
        <v>1</v>
      </c>
      <c r="F42" s="1451">
        <v>450000</v>
      </c>
      <c r="G42" s="1391"/>
      <c r="H42" s="1423">
        <f>E42*F42</f>
        <v>450000</v>
      </c>
      <c r="I42" s="1395"/>
      <c r="J42" s="1395"/>
    </row>
    <row r="43" spans="1:10" s="1406" customFormat="1" ht="16">
      <c r="A43" s="1453"/>
      <c r="B43" s="1390" t="s">
        <v>1260</v>
      </c>
      <c r="C43" s="1390" t="s">
        <v>1261</v>
      </c>
      <c r="D43" s="1390"/>
      <c r="E43" s="1390">
        <v>4</v>
      </c>
      <c r="F43" s="1392">
        <v>50000</v>
      </c>
      <c r="G43" s="1390"/>
      <c r="H43" s="1423">
        <f>E43*F43</f>
        <v>200000</v>
      </c>
      <c r="I43" s="1429"/>
      <c r="J43" s="1411"/>
    </row>
    <row r="44" spans="1:10" s="1406" customFormat="1" ht="14.75" customHeight="1">
      <c r="A44" s="1450"/>
      <c r="B44" s="1390" t="s">
        <v>1262</v>
      </c>
      <c r="C44" s="1390" t="s">
        <v>1083</v>
      </c>
      <c r="D44" s="1390"/>
      <c r="E44" s="1390">
        <v>25</v>
      </c>
      <c r="F44" s="1392">
        <v>30000</v>
      </c>
      <c r="G44" s="1390"/>
      <c r="H44" s="1423">
        <v>750000</v>
      </c>
      <c r="I44" s="1434"/>
      <c r="J44" s="1390"/>
    </row>
    <row r="45" spans="1:10" s="1406" customFormat="1" ht="16">
      <c r="A45" s="1453"/>
      <c r="B45" s="1390" t="s">
        <v>1263</v>
      </c>
      <c r="C45" s="1390" t="s">
        <v>1237</v>
      </c>
      <c r="D45" s="1390"/>
      <c r="E45" s="1390">
        <v>28</v>
      </c>
      <c r="F45" s="1392">
        <v>50000</v>
      </c>
      <c r="G45" s="1390"/>
      <c r="H45" s="1423">
        <v>1400000</v>
      </c>
      <c r="I45" s="1434"/>
      <c r="J45" s="1410"/>
    </row>
    <row r="46" spans="1:10" s="1406" customFormat="1" ht="16">
      <c r="A46" s="1450"/>
      <c r="B46" s="1390" t="s">
        <v>1264</v>
      </c>
      <c r="C46" s="1390" t="s">
        <v>1265</v>
      </c>
      <c r="D46" s="1390"/>
      <c r="E46" s="1390">
        <v>25</v>
      </c>
      <c r="F46" s="1392">
        <v>40000</v>
      </c>
      <c r="G46" s="1390"/>
      <c r="H46" s="1423">
        <v>1000000</v>
      </c>
      <c r="I46" s="1395"/>
      <c r="J46" s="1395"/>
    </row>
    <row r="47" spans="1:10" s="1406" customFormat="1" ht="16">
      <c r="A47" s="1432"/>
      <c r="B47" s="1390" t="s">
        <v>1266</v>
      </c>
      <c r="C47" s="1390" t="s">
        <v>1083</v>
      </c>
      <c r="D47" s="1390"/>
      <c r="E47" s="1390">
        <v>25</v>
      </c>
      <c r="F47" s="1392">
        <v>30000</v>
      </c>
      <c r="G47" s="1390"/>
      <c r="H47" s="1423">
        <f>E47*F47</f>
        <v>750000</v>
      </c>
      <c r="I47" s="1429"/>
      <c r="J47" s="1429"/>
    </row>
    <row r="48" spans="1:10" s="1406" customFormat="1" ht="16">
      <c r="A48" s="1432"/>
      <c r="B48" s="1390" t="s">
        <v>1267</v>
      </c>
      <c r="C48" s="1390" t="s">
        <v>1268</v>
      </c>
      <c r="D48" s="1390"/>
      <c r="E48" s="1390">
        <v>5</v>
      </c>
      <c r="F48" s="1392">
        <v>50000</v>
      </c>
      <c r="G48" s="1390"/>
      <c r="H48" s="1423">
        <f>E48*F48</f>
        <v>250000</v>
      </c>
      <c r="I48" s="1411"/>
      <c r="J48" s="1395"/>
    </row>
    <row r="49" spans="1:10" s="1406" customFormat="1" ht="16">
      <c r="A49" s="1438">
        <v>1.3</v>
      </c>
      <c r="B49" s="1402" t="s">
        <v>1270</v>
      </c>
      <c r="C49" s="1390"/>
      <c r="D49" s="1390"/>
      <c r="E49" s="1410"/>
      <c r="F49" s="1410"/>
      <c r="G49" s="1448"/>
      <c r="H49" s="1449">
        <f>SUM(H42:H48)</f>
        <v>4800000</v>
      </c>
      <c r="I49" s="1390" t="s">
        <v>1258</v>
      </c>
      <c r="J49" s="1395"/>
    </row>
    <row r="50" spans="1:10" s="1406" customFormat="1" ht="16">
      <c r="A50" s="1407"/>
      <c r="B50" s="1390" t="s">
        <v>1255</v>
      </c>
      <c r="C50" s="1390" t="s">
        <v>1259</v>
      </c>
      <c r="D50" s="1390"/>
      <c r="E50" s="1391">
        <v>1</v>
      </c>
      <c r="F50" s="1451">
        <v>450000</v>
      </c>
      <c r="G50" s="1391"/>
      <c r="H50" s="1423">
        <f>E50*F50</f>
        <v>450000</v>
      </c>
      <c r="I50" s="1410"/>
      <c r="J50" s="1395"/>
    </row>
    <row r="51" spans="1:10" s="1406" customFormat="1" ht="16">
      <c r="A51" s="1455"/>
      <c r="B51" s="1390" t="s">
        <v>1260</v>
      </c>
      <c r="C51" s="1390" t="s">
        <v>1261</v>
      </c>
      <c r="D51" s="1390"/>
      <c r="E51" s="1390">
        <v>4</v>
      </c>
      <c r="F51" s="1392">
        <v>50000</v>
      </c>
      <c r="G51" s="1390"/>
      <c r="H51" s="1423">
        <f>E51*F51</f>
        <v>200000</v>
      </c>
      <c r="I51" s="1434"/>
      <c r="J51" s="1391"/>
    </row>
    <row r="52" spans="1:10" s="1406" customFormat="1" ht="11.75" customHeight="1">
      <c r="A52" s="1432"/>
      <c r="B52" s="1390" t="s">
        <v>1262</v>
      </c>
      <c r="C52" s="1390" t="s">
        <v>1083</v>
      </c>
      <c r="D52" s="1390"/>
      <c r="E52" s="1390">
        <v>25</v>
      </c>
      <c r="F52" s="1392">
        <v>30000</v>
      </c>
      <c r="G52" s="1390"/>
      <c r="H52" s="1423">
        <v>750000</v>
      </c>
      <c r="I52" s="1395"/>
      <c r="J52" s="1390"/>
    </row>
    <row r="53" spans="1:10" s="1406" customFormat="1" ht="16">
      <c r="A53" s="1432"/>
      <c r="B53" s="1390" t="s">
        <v>1263</v>
      </c>
      <c r="C53" s="1390" t="s">
        <v>1237</v>
      </c>
      <c r="D53" s="1390"/>
      <c r="E53" s="1390">
        <v>28</v>
      </c>
      <c r="F53" s="1392">
        <v>50000</v>
      </c>
      <c r="G53" s="1390"/>
      <c r="H53" s="1423">
        <v>1400000</v>
      </c>
      <c r="I53" s="1395"/>
      <c r="J53" s="1395"/>
    </row>
    <row r="54" spans="1:10" s="1406" customFormat="1" ht="16">
      <c r="A54" s="1432"/>
      <c r="B54" s="1390" t="s">
        <v>1264</v>
      </c>
      <c r="C54" s="1390" t="s">
        <v>1265</v>
      </c>
      <c r="D54" s="1390"/>
      <c r="E54" s="1390">
        <v>25</v>
      </c>
      <c r="F54" s="1392">
        <v>40000</v>
      </c>
      <c r="G54" s="1390"/>
      <c r="H54" s="1423">
        <v>1000000</v>
      </c>
      <c r="I54" s="1395"/>
      <c r="J54" s="1395"/>
    </row>
    <row r="55" spans="1:10" s="1406" customFormat="1" ht="16">
      <c r="A55" s="1453"/>
      <c r="B55" s="1390" t="s">
        <v>1266</v>
      </c>
      <c r="C55" s="1390" t="s">
        <v>1083</v>
      </c>
      <c r="D55" s="1390"/>
      <c r="E55" s="1390">
        <v>25</v>
      </c>
      <c r="F55" s="1392">
        <v>30000</v>
      </c>
      <c r="G55" s="1390"/>
      <c r="H55" s="1423">
        <f>E55*F55</f>
        <v>750000</v>
      </c>
      <c r="I55" s="1395"/>
      <c r="J55" s="1395"/>
    </row>
    <row r="56" spans="1:10" s="1406" customFormat="1" ht="16">
      <c r="A56" s="1450"/>
      <c r="B56" s="1390" t="s">
        <v>1267</v>
      </c>
      <c r="C56" s="1390" t="s">
        <v>1268</v>
      </c>
      <c r="D56" s="1390"/>
      <c r="E56" s="1390">
        <v>5</v>
      </c>
      <c r="F56" s="1392">
        <v>50000</v>
      </c>
      <c r="G56" s="1390"/>
      <c r="H56" s="1423">
        <f>E56*F56</f>
        <v>250000</v>
      </c>
      <c r="I56" s="1391"/>
      <c r="J56" s="1395"/>
    </row>
    <row r="57" spans="1:10" s="1406" customFormat="1" ht="16">
      <c r="A57" s="1438">
        <v>1.4</v>
      </c>
      <c r="B57" s="1447" t="s">
        <v>1271</v>
      </c>
      <c r="C57" s="1410"/>
      <c r="D57" s="1410"/>
      <c r="E57" s="1410"/>
      <c r="F57" s="1410"/>
      <c r="G57" s="1448"/>
      <c r="H57" s="1449">
        <f>SUM(H50:H56)</f>
        <v>4800000</v>
      </c>
      <c r="I57" s="1390" t="s">
        <v>1258</v>
      </c>
      <c r="J57" s="1429"/>
    </row>
    <row r="58" spans="1:10" s="1406" customFormat="1" ht="16">
      <c r="A58" s="1407"/>
      <c r="B58" s="1391" t="s">
        <v>1255</v>
      </c>
      <c r="C58" s="1411" t="s">
        <v>1259</v>
      </c>
      <c r="D58" s="1411"/>
      <c r="E58" s="1391">
        <v>1</v>
      </c>
      <c r="F58" s="1451">
        <v>450000</v>
      </c>
      <c r="G58" s="1391"/>
      <c r="H58" s="1423">
        <f>E58*F58</f>
        <v>450000</v>
      </c>
      <c r="I58" s="1456"/>
      <c r="J58" s="1395"/>
    </row>
    <row r="59" spans="1:10" s="1406" customFormat="1" ht="16">
      <c r="A59" s="1454"/>
      <c r="B59" s="1390" t="s">
        <v>1260</v>
      </c>
      <c r="C59" s="1390" t="s">
        <v>1261</v>
      </c>
      <c r="D59" s="1390"/>
      <c r="E59" s="1390">
        <v>4</v>
      </c>
      <c r="F59" s="1392">
        <v>50000</v>
      </c>
      <c r="G59" s="1390"/>
      <c r="H59" s="1423">
        <f>E59*F59</f>
        <v>200000</v>
      </c>
      <c r="I59" s="1395"/>
      <c r="J59" s="1395"/>
    </row>
    <row r="60" spans="1:10" s="1406" customFormat="1" ht="16">
      <c r="A60" s="1450"/>
      <c r="B60" s="1390" t="s">
        <v>1262</v>
      </c>
      <c r="C60" s="1390" t="s">
        <v>1083</v>
      </c>
      <c r="D60" s="1390"/>
      <c r="E60" s="1390">
        <v>25</v>
      </c>
      <c r="F60" s="1392">
        <v>30000</v>
      </c>
      <c r="G60" s="1390"/>
      <c r="H60" s="1423">
        <v>750000</v>
      </c>
      <c r="I60" s="1429"/>
      <c r="J60" s="1390"/>
    </row>
    <row r="61" spans="1:10" s="1406" customFormat="1" ht="16">
      <c r="A61" s="1432"/>
      <c r="B61" s="1390" t="s">
        <v>1263</v>
      </c>
      <c r="C61" s="1390" t="s">
        <v>1237</v>
      </c>
      <c r="D61" s="1390"/>
      <c r="E61" s="1390">
        <v>28</v>
      </c>
      <c r="F61" s="1392">
        <v>50000</v>
      </c>
      <c r="G61" s="1390"/>
      <c r="H61" s="1423">
        <v>1400000</v>
      </c>
      <c r="I61" s="1434"/>
      <c r="J61" s="1434"/>
    </row>
    <row r="62" spans="1:10" s="1406" customFormat="1" ht="16">
      <c r="A62" s="1432"/>
      <c r="B62" s="1390" t="s">
        <v>1264</v>
      </c>
      <c r="C62" s="1390" t="s">
        <v>1265</v>
      </c>
      <c r="D62" s="1390"/>
      <c r="E62" s="1390">
        <v>25</v>
      </c>
      <c r="F62" s="1392">
        <v>40000</v>
      </c>
      <c r="G62" s="1390"/>
      <c r="H62" s="1423">
        <v>1000000</v>
      </c>
      <c r="I62" s="1434"/>
      <c r="J62" s="1434"/>
    </row>
    <row r="63" spans="1:10" s="1406" customFormat="1" ht="16">
      <c r="A63" s="1453"/>
      <c r="B63" s="1390" t="s">
        <v>1266</v>
      </c>
      <c r="C63" s="1390" t="s">
        <v>1083</v>
      </c>
      <c r="D63" s="1390"/>
      <c r="E63" s="1390">
        <v>25</v>
      </c>
      <c r="F63" s="1392">
        <v>30000</v>
      </c>
      <c r="G63" s="1390"/>
      <c r="H63" s="1423">
        <f>E63*F63</f>
        <v>750000</v>
      </c>
      <c r="I63" s="1434"/>
      <c r="J63" s="1434"/>
    </row>
    <row r="64" spans="1:10" s="1406" customFormat="1" ht="16">
      <c r="A64" s="1450"/>
      <c r="B64" s="1390" t="s">
        <v>1267</v>
      </c>
      <c r="C64" s="1390" t="s">
        <v>1268</v>
      </c>
      <c r="D64" s="1390"/>
      <c r="E64" s="1390">
        <v>5</v>
      </c>
      <c r="F64" s="1392">
        <v>50000</v>
      </c>
      <c r="G64" s="1390"/>
      <c r="H64" s="1423">
        <f>E64*F64</f>
        <v>250000</v>
      </c>
      <c r="I64" s="1434"/>
      <c r="J64" s="1434"/>
    </row>
    <row r="65" spans="1:10" s="1406" customFormat="1" ht="16">
      <c r="A65" s="1450">
        <v>1.5</v>
      </c>
      <c r="B65" s="1447" t="s">
        <v>1272</v>
      </c>
      <c r="C65" s="1410"/>
      <c r="D65" s="1410"/>
      <c r="E65" s="1410"/>
      <c r="F65" s="1410"/>
      <c r="G65" s="1448"/>
      <c r="H65" s="1449">
        <f>SUM(H58:H64)</f>
        <v>4800000</v>
      </c>
      <c r="I65" s="1390" t="s">
        <v>1258</v>
      </c>
      <c r="J65" s="1434"/>
    </row>
    <row r="66" spans="1:10" s="1406" customFormat="1" ht="16">
      <c r="A66" s="1450"/>
      <c r="B66" s="1391" t="s">
        <v>1255</v>
      </c>
      <c r="C66" s="1411" t="s">
        <v>1259</v>
      </c>
      <c r="D66" s="1411"/>
      <c r="E66" s="1391">
        <v>1</v>
      </c>
      <c r="F66" s="1451">
        <v>450000</v>
      </c>
      <c r="G66" s="1391"/>
      <c r="H66" s="1423">
        <f>E66*F66</f>
        <v>450000</v>
      </c>
      <c r="I66" s="1434"/>
      <c r="J66" s="1434"/>
    </row>
    <row r="67" spans="1:10" s="1406" customFormat="1" ht="16">
      <c r="A67" s="1450"/>
      <c r="B67" s="1390" t="s">
        <v>1260</v>
      </c>
      <c r="C67" s="1390" t="s">
        <v>1261</v>
      </c>
      <c r="D67" s="1390"/>
      <c r="E67" s="1390">
        <v>4</v>
      </c>
      <c r="F67" s="1392">
        <v>50000</v>
      </c>
      <c r="G67" s="1390"/>
      <c r="H67" s="1423">
        <f>E67*F67</f>
        <v>200000</v>
      </c>
      <c r="I67" s="1434"/>
      <c r="J67" s="1434"/>
    </row>
    <row r="68" spans="1:10" s="1406" customFormat="1" ht="16">
      <c r="A68" s="1450"/>
      <c r="B68" s="1390" t="s">
        <v>1262</v>
      </c>
      <c r="C68" s="1390" t="s">
        <v>1083</v>
      </c>
      <c r="D68" s="1390"/>
      <c r="E68" s="1390">
        <v>25</v>
      </c>
      <c r="F68" s="1392">
        <v>30000</v>
      </c>
      <c r="G68" s="1390"/>
      <c r="H68" s="1423">
        <v>750000</v>
      </c>
      <c r="I68" s="1434"/>
      <c r="J68" s="1390"/>
    </row>
    <row r="69" spans="1:10" s="1406" customFormat="1" ht="16.5" customHeight="1">
      <c r="A69" s="1450"/>
      <c r="B69" s="1390" t="s">
        <v>1263</v>
      </c>
      <c r="C69" s="1390" t="s">
        <v>1237</v>
      </c>
      <c r="D69" s="1390"/>
      <c r="E69" s="1390">
        <v>28</v>
      </c>
      <c r="F69" s="1392">
        <v>50000</v>
      </c>
      <c r="G69" s="1390"/>
      <c r="H69" s="1423">
        <v>1400000</v>
      </c>
      <c r="I69" s="1434"/>
      <c r="J69" s="1434"/>
    </row>
    <row r="70" spans="1:10" s="1406" customFormat="1" ht="16">
      <c r="A70" s="1450"/>
      <c r="B70" s="1390" t="s">
        <v>1264</v>
      </c>
      <c r="C70" s="1390" t="s">
        <v>1265</v>
      </c>
      <c r="D70" s="1390"/>
      <c r="E70" s="1390">
        <v>25</v>
      </c>
      <c r="F70" s="1392">
        <v>40000</v>
      </c>
      <c r="G70" s="1390"/>
      <c r="H70" s="1423">
        <v>1000000</v>
      </c>
      <c r="I70" s="1434"/>
      <c r="J70" s="1434"/>
    </row>
    <row r="71" spans="1:10" s="1406" customFormat="1" ht="16">
      <c r="A71" s="1450"/>
      <c r="B71" s="1390" t="s">
        <v>1266</v>
      </c>
      <c r="C71" s="1390" t="s">
        <v>1083</v>
      </c>
      <c r="D71" s="1390"/>
      <c r="E71" s="1390">
        <v>25</v>
      </c>
      <c r="F71" s="1392">
        <v>30000</v>
      </c>
      <c r="G71" s="1390"/>
      <c r="H71" s="1423">
        <f>E71*F71</f>
        <v>750000</v>
      </c>
      <c r="I71" s="1434"/>
      <c r="J71" s="1434"/>
    </row>
    <row r="72" spans="1:10" s="1406" customFormat="1" ht="15" customHeight="1">
      <c r="A72" s="1450"/>
      <c r="B72" s="1390" t="s">
        <v>1267</v>
      </c>
      <c r="C72" s="1390" t="s">
        <v>1268</v>
      </c>
      <c r="D72" s="1390"/>
      <c r="E72" s="1390">
        <v>5</v>
      </c>
      <c r="F72" s="1392">
        <v>50000</v>
      </c>
      <c r="G72" s="1390"/>
      <c r="H72" s="1423">
        <f>E72*F72</f>
        <v>250000</v>
      </c>
      <c r="I72" s="1434"/>
      <c r="J72" s="1434"/>
    </row>
    <row r="73" spans="1:10" s="1406" customFormat="1" ht="16">
      <c r="A73" s="1450">
        <v>1.6</v>
      </c>
      <c r="B73" s="1447" t="s">
        <v>1273</v>
      </c>
      <c r="C73" s="1410"/>
      <c r="D73" s="1410"/>
      <c r="E73" s="1410"/>
      <c r="F73" s="1410"/>
      <c r="G73" s="1448"/>
      <c r="H73" s="1449">
        <f>SUM(H66:H72)</f>
        <v>4800000</v>
      </c>
      <c r="I73" s="1390" t="s">
        <v>1258</v>
      </c>
      <c r="J73" s="1434"/>
    </row>
    <row r="74" spans="1:10" s="1406" customFormat="1" ht="14.25" customHeight="1">
      <c r="A74" s="1450"/>
      <c r="B74" s="1391" t="s">
        <v>1255</v>
      </c>
      <c r="C74" s="1411" t="s">
        <v>1259</v>
      </c>
      <c r="D74" s="1411"/>
      <c r="E74" s="1391">
        <v>1</v>
      </c>
      <c r="F74" s="1451">
        <v>450000</v>
      </c>
      <c r="G74" s="1391"/>
      <c r="H74" s="1423">
        <f>E74*F74</f>
        <v>450000</v>
      </c>
      <c r="I74" s="1434"/>
      <c r="J74" s="1434"/>
    </row>
    <row r="75" spans="1:10" s="1406" customFormat="1" ht="13.25" customHeight="1">
      <c r="A75" s="1450"/>
      <c r="B75" s="1390" t="s">
        <v>1260</v>
      </c>
      <c r="C75" s="1390" t="s">
        <v>1261</v>
      </c>
      <c r="D75" s="1390"/>
      <c r="E75" s="1390">
        <v>4</v>
      </c>
      <c r="F75" s="1392">
        <v>50000</v>
      </c>
      <c r="G75" s="1390"/>
      <c r="H75" s="1423">
        <f>E75*F75</f>
        <v>200000</v>
      </c>
      <c r="I75" s="1434"/>
      <c r="J75" s="1434"/>
    </row>
    <row r="76" spans="1:10" s="1406" customFormat="1" ht="12.5" customHeight="1">
      <c r="A76" s="1450"/>
      <c r="B76" s="1390" t="s">
        <v>1262</v>
      </c>
      <c r="C76" s="1390" t="s">
        <v>1083</v>
      </c>
      <c r="D76" s="1390"/>
      <c r="E76" s="1390">
        <v>25</v>
      </c>
      <c r="F76" s="1392">
        <v>30000</v>
      </c>
      <c r="G76" s="1390"/>
      <c r="H76" s="1423">
        <v>750000</v>
      </c>
      <c r="I76" s="1434"/>
      <c r="J76" s="1429"/>
    </row>
    <row r="77" spans="1:10" s="1406" customFormat="1" ht="16">
      <c r="A77" s="1450"/>
      <c r="B77" s="1390" t="s">
        <v>1263</v>
      </c>
      <c r="C77" s="1390" t="s">
        <v>1237</v>
      </c>
      <c r="D77" s="1390"/>
      <c r="E77" s="1390">
        <v>28</v>
      </c>
      <c r="F77" s="1392">
        <v>50000</v>
      </c>
      <c r="G77" s="1390"/>
      <c r="H77" s="1423">
        <v>1400000</v>
      </c>
      <c r="I77" s="1434"/>
      <c r="J77" s="1429"/>
    </row>
    <row r="78" spans="1:10" s="1406" customFormat="1" ht="16">
      <c r="A78" s="1450"/>
      <c r="B78" s="1390" t="s">
        <v>1264</v>
      </c>
      <c r="C78" s="1390" t="s">
        <v>1265</v>
      </c>
      <c r="D78" s="1390"/>
      <c r="E78" s="1390">
        <v>25</v>
      </c>
      <c r="F78" s="1392">
        <v>40000</v>
      </c>
      <c r="G78" s="1390"/>
      <c r="H78" s="1423">
        <v>1000000</v>
      </c>
      <c r="I78" s="1434"/>
      <c r="J78" s="1429"/>
    </row>
    <row r="79" spans="1:10" s="1406" customFormat="1" ht="16">
      <c r="A79" s="1450"/>
      <c r="B79" s="1390" t="s">
        <v>1266</v>
      </c>
      <c r="C79" s="1390" t="s">
        <v>1083</v>
      </c>
      <c r="D79" s="1390"/>
      <c r="E79" s="1390">
        <v>25</v>
      </c>
      <c r="F79" s="1392">
        <v>30000</v>
      </c>
      <c r="G79" s="1390"/>
      <c r="H79" s="1423">
        <f>E79*F79</f>
        <v>750000</v>
      </c>
      <c r="I79" s="1434"/>
      <c r="J79" s="1429"/>
    </row>
    <row r="80" spans="1:10" s="1406" customFormat="1" ht="16">
      <c r="A80" s="1450"/>
      <c r="B80" s="1390" t="s">
        <v>1267</v>
      </c>
      <c r="C80" s="1390" t="s">
        <v>1268</v>
      </c>
      <c r="D80" s="1390"/>
      <c r="E80" s="1390">
        <v>5</v>
      </c>
      <c r="F80" s="1392">
        <v>50000</v>
      </c>
      <c r="G80" s="1390"/>
      <c r="H80" s="1423">
        <f>E80*F80</f>
        <v>250000</v>
      </c>
      <c r="I80" s="1434"/>
      <c r="J80" s="1429"/>
    </row>
    <row r="81" spans="1:10" s="1406" customFormat="1" ht="16">
      <c r="A81" s="1450">
        <v>1.7</v>
      </c>
      <c r="B81" s="1230" t="s">
        <v>1274</v>
      </c>
      <c r="C81" s="1390"/>
      <c r="D81" s="1390"/>
      <c r="E81" s="1410"/>
      <c r="F81" s="1410"/>
      <c r="G81" s="1448"/>
      <c r="H81" s="1449">
        <f>SUM(H74:H80)</f>
        <v>4800000</v>
      </c>
      <c r="I81" s="1429" t="s">
        <v>1258</v>
      </c>
      <c r="J81" s="1429"/>
    </row>
    <row r="82" spans="1:10" s="1406" customFormat="1" ht="16">
      <c r="A82" s="1450"/>
      <c r="B82" s="1390" t="s">
        <v>1255</v>
      </c>
      <c r="C82" s="1390" t="s">
        <v>1259</v>
      </c>
      <c r="D82" s="1390"/>
      <c r="E82" s="1391">
        <v>1</v>
      </c>
      <c r="F82" s="1451">
        <v>450000</v>
      </c>
      <c r="G82" s="1391"/>
      <c r="H82" s="1423">
        <f>E82*F82</f>
        <v>450000</v>
      </c>
      <c r="I82" s="1429"/>
      <c r="J82" s="1429"/>
    </row>
    <row r="83" spans="1:10" s="1406" customFormat="1" ht="14.25" customHeight="1">
      <c r="A83" s="1450"/>
      <c r="B83" s="1390" t="s">
        <v>1260</v>
      </c>
      <c r="C83" s="1390" t="s">
        <v>1261</v>
      </c>
      <c r="D83" s="1390"/>
      <c r="E83" s="1390">
        <v>4</v>
      </c>
      <c r="F83" s="1392">
        <v>50000</v>
      </c>
      <c r="G83" s="1390"/>
      <c r="H83" s="1423">
        <f>E83*F83</f>
        <v>200000</v>
      </c>
      <c r="I83" s="1429"/>
      <c r="J83" s="1429"/>
    </row>
    <row r="84" spans="1:10" s="1406" customFormat="1" ht="16">
      <c r="A84" s="1450"/>
      <c r="B84" s="1390" t="s">
        <v>1262</v>
      </c>
      <c r="C84" s="1390" t="s">
        <v>1083</v>
      </c>
      <c r="D84" s="1390"/>
      <c r="E84" s="1390">
        <v>22</v>
      </c>
      <c r="F84" s="1392">
        <v>30000</v>
      </c>
      <c r="G84" s="1390"/>
      <c r="H84" s="1423">
        <v>660000</v>
      </c>
      <c r="I84" s="1429"/>
      <c r="J84" s="1390"/>
    </row>
    <row r="85" spans="1:10" s="1406" customFormat="1" ht="14" customHeight="1">
      <c r="A85" s="1450"/>
      <c r="B85" s="1390" t="s">
        <v>1263</v>
      </c>
      <c r="C85" s="1390" t="s">
        <v>1237</v>
      </c>
      <c r="D85" s="1390"/>
      <c r="E85" s="1390">
        <v>28</v>
      </c>
      <c r="F85" s="1392">
        <v>50000</v>
      </c>
      <c r="G85" s="1390"/>
      <c r="H85" s="1423">
        <v>1400000</v>
      </c>
      <c r="I85" s="1429"/>
      <c r="J85" s="1434"/>
    </row>
    <row r="86" spans="1:10" s="1406" customFormat="1" ht="13.25" customHeight="1">
      <c r="A86" s="1450"/>
      <c r="B86" s="1390" t="s">
        <v>1264</v>
      </c>
      <c r="C86" s="1390" t="s">
        <v>1265</v>
      </c>
      <c r="D86" s="1390"/>
      <c r="E86" s="1390">
        <v>22</v>
      </c>
      <c r="F86" s="1392">
        <v>40000</v>
      </c>
      <c r="G86" s="1390"/>
      <c r="H86" s="1423">
        <v>880000</v>
      </c>
      <c r="I86" s="1429"/>
      <c r="J86" s="1434"/>
    </row>
    <row r="87" spans="1:10" s="1406" customFormat="1" ht="14.75" customHeight="1">
      <c r="A87" s="1450"/>
      <c r="B87" s="1390" t="s">
        <v>1266</v>
      </c>
      <c r="C87" s="1390" t="s">
        <v>1083</v>
      </c>
      <c r="D87" s="1390"/>
      <c r="E87" s="1390">
        <v>22</v>
      </c>
      <c r="F87" s="1392">
        <v>30000</v>
      </c>
      <c r="G87" s="1390"/>
      <c r="H87" s="1423">
        <f>E87*F87</f>
        <v>660000</v>
      </c>
      <c r="I87" s="1429"/>
      <c r="J87" s="1434"/>
    </row>
    <row r="88" spans="1:10" s="1406" customFormat="1" ht="11.25" customHeight="1">
      <c r="A88" s="1450"/>
      <c r="B88" s="1390" t="s">
        <v>1267</v>
      </c>
      <c r="C88" s="1390" t="s">
        <v>1268</v>
      </c>
      <c r="D88" s="1390"/>
      <c r="E88" s="1390">
        <v>5</v>
      </c>
      <c r="F88" s="1392">
        <v>50000</v>
      </c>
      <c r="G88" s="1390"/>
      <c r="H88" s="1423">
        <f>E88*F88</f>
        <v>250000</v>
      </c>
      <c r="I88" s="1429"/>
      <c r="J88" s="1434"/>
    </row>
    <row r="89" spans="1:10" s="1406" customFormat="1" ht="12.75" customHeight="1">
      <c r="A89" s="1450">
        <v>1.8</v>
      </c>
      <c r="B89" s="1447" t="s">
        <v>1275</v>
      </c>
      <c r="C89" s="1410"/>
      <c r="D89" s="1410"/>
      <c r="E89" s="1410"/>
      <c r="F89" s="1410"/>
      <c r="G89" s="1448"/>
      <c r="H89" s="1449">
        <f>SUM(H82:H88)</f>
        <v>4500000</v>
      </c>
      <c r="I89" s="1390" t="s">
        <v>1258</v>
      </c>
      <c r="J89" s="1434"/>
    </row>
    <row r="90" spans="1:10" s="1406" customFormat="1" ht="14" customHeight="1">
      <c r="A90" s="1450"/>
      <c r="B90" s="1391" t="s">
        <v>1255</v>
      </c>
      <c r="C90" s="1411" t="s">
        <v>1259</v>
      </c>
      <c r="D90" s="1411"/>
      <c r="E90" s="1391">
        <v>1</v>
      </c>
      <c r="F90" s="1451">
        <v>450000</v>
      </c>
      <c r="G90" s="1391"/>
      <c r="H90" s="1423">
        <f>E90*F90</f>
        <v>450000</v>
      </c>
      <c r="I90" s="1434"/>
      <c r="J90" s="1434"/>
    </row>
    <row r="91" spans="1:10" ht="14.25" customHeight="1">
      <c r="A91" s="1450"/>
      <c r="B91" s="1390" t="s">
        <v>1260</v>
      </c>
      <c r="C91" s="1390" t="s">
        <v>1261</v>
      </c>
      <c r="D91" s="1390"/>
      <c r="E91" s="1390">
        <v>4</v>
      </c>
      <c r="F91" s="1392">
        <v>50000</v>
      </c>
      <c r="G91" s="1390"/>
      <c r="H91" s="1423">
        <f>E91*F91</f>
        <v>200000</v>
      </c>
      <c r="I91" s="1434"/>
      <c r="J91" s="1434"/>
    </row>
    <row r="92" spans="1:10" ht="14.25" customHeight="1">
      <c r="A92" s="1450"/>
      <c r="B92" s="1390" t="s">
        <v>1262</v>
      </c>
      <c r="C92" s="1390" t="s">
        <v>1083</v>
      </c>
      <c r="D92" s="1390"/>
      <c r="E92" s="1390">
        <v>25</v>
      </c>
      <c r="F92" s="1392">
        <v>30000</v>
      </c>
      <c r="G92" s="1390"/>
      <c r="H92" s="1423">
        <v>750000</v>
      </c>
      <c r="I92" s="1434"/>
      <c r="J92" s="1429"/>
    </row>
    <row r="93" spans="1:10" ht="14.25" customHeight="1">
      <c r="A93" s="1450"/>
      <c r="B93" s="1390" t="s">
        <v>1263</v>
      </c>
      <c r="C93" s="1390" t="s">
        <v>1237</v>
      </c>
      <c r="D93" s="1390"/>
      <c r="E93" s="1390">
        <v>28</v>
      </c>
      <c r="F93" s="1392">
        <v>50000</v>
      </c>
      <c r="G93" s="1390"/>
      <c r="H93" s="1423">
        <v>1400000</v>
      </c>
      <c r="I93" s="1434"/>
      <c r="J93" s="1429"/>
    </row>
    <row r="94" spans="1:10" ht="14.25" customHeight="1">
      <c r="A94" s="1450"/>
      <c r="B94" s="1390" t="s">
        <v>1264</v>
      </c>
      <c r="C94" s="1390" t="s">
        <v>1265</v>
      </c>
      <c r="D94" s="1390"/>
      <c r="E94" s="1390">
        <v>25</v>
      </c>
      <c r="F94" s="1392">
        <v>40000</v>
      </c>
      <c r="G94" s="1390"/>
      <c r="H94" s="1423">
        <v>1000000</v>
      </c>
      <c r="I94" s="1434"/>
      <c r="J94" s="1429"/>
    </row>
    <row r="95" spans="1:10" ht="14.25" customHeight="1">
      <c r="A95" s="1450"/>
      <c r="B95" s="1390" t="s">
        <v>1266</v>
      </c>
      <c r="C95" s="1390" t="s">
        <v>1083</v>
      </c>
      <c r="D95" s="1390"/>
      <c r="E95" s="1390">
        <v>25</v>
      </c>
      <c r="F95" s="1392">
        <v>30000</v>
      </c>
      <c r="G95" s="1390"/>
      <c r="H95" s="1423">
        <f>E95*F95</f>
        <v>750000</v>
      </c>
      <c r="I95" s="1434"/>
      <c r="J95" s="1429"/>
    </row>
    <row r="96" spans="1:10" ht="14.25" customHeight="1">
      <c r="A96" s="1450"/>
      <c r="B96" s="1390" t="s">
        <v>1267</v>
      </c>
      <c r="C96" s="1390" t="s">
        <v>1268</v>
      </c>
      <c r="D96" s="1390"/>
      <c r="E96" s="1390">
        <v>5</v>
      </c>
      <c r="F96" s="1392">
        <v>50000</v>
      </c>
      <c r="G96" s="1390"/>
      <c r="H96" s="1423">
        <f>E96*F96</f>
        <v>250000</v>
      </c>
      <c r="I96" s="1434"/>
      <c r="J96" s="1429"/>
    </row>
    <row r="97" spans="1:11" s="1406" customFormat="1" ht="12.75" customHeight="1">
      <c r="A97" s="1450"/>
      <c r="B97" s="1447"/>
      <c r="C97" s="1410"/>
      <c r="D97" s="1410"/>
      <c r="E97" s="1410"/>
      <c r="F97" s="1410"/>
      <c r="G97" s="1448"/>
      <c r="H97" s="1449"/>
      <c r="I97" s="1390"/>
      <c r="J97" s="1434"/>
    </row>
    <row r="98" spans="1:11" s="1406" customFormat="1" ht="14" customHeight="1">
      <c r="A98" s="1450"/>
      <c r="B98" s="1457" t="s">
        <v>497</v>
      </c>
      <c r="C98" s="1411"/>
      <c r="D98" s="1411"/>
      <c r="E98" s="1391"/>
      <c r="F98" s="1451"/>
      <c r="G98" s="1411"/>
      <c r="H98" s="1458">
        <v>63642000</v>
      </c>
      <c r="I98" s="1410"/>
      <c r="J98" s="1434"/>
    </row>
    <row r="99" spans="1:11" ht="14.25" customHeight="1">
      <c r="A99" s="1450"/>
      <c r="B99" s="1459" t="s">
        <v>1121</v>
      </c>
      <c r="C99" s="1390"/>
      <c r="D99" s="1390"/>
      <c r="E99" s="1390"/>
      <c r="F99" s="1392"/>
      <c r="G99" s="1390"/>
      <c r="H99" s="1458">
        <v>35646000</v>
      </c>
      <c r="I99" s="1434"/>
      <c r="J99" s="1434"/>
    </row>
    <row r="100" spans="1:11" ht="14.25" customHeight="1">
      <c r="A100" s="1450"/>
      <c r="B100" s="1457"/>
      <c r="C100" s="1390"/>
      <c r="D100" s="1390"/>
      <c r="E100" s="1390"/>
      <c r="F100" s="1392"/>
      <c r="G100" s="1390"/>
      <c r="H100" s="1423"/>
      <c r="I100" s="1434"/>
      <c r="J100" s="1429"/>
    </row>
    <row r="101" spans="1:11" ht="14.25" customHeight="1">
      <c r="A101" s="1450"/>
      <c r="B101" s="1390"/>
      <c r="C101" s="1390"/>
      <c r="D101" s="1390"/>
      <c r="E101" s="1390"/>
      <c r="F101" s="1392"/>
      <c r="G101" s="1390"/>
      <c r="H101" s="1423"/>
      <c r="I101" s="1434"/>
      <c r="J101" s="1429"/>
    </row>
    <row r="102" spans="1:11" ht="14.25" customHeight="1">
      <c r="A102" s="1450"/>
      <c r="B102" s="1390"/>
      <c r="C102" s="1390"/>
      <c r="D102" s="1390"/>
      <c r="E102" s="1390"/>
      <c r="F102" s="1392"/>
      <c r="G102" s="1390"/>
      <c r="H102" s="1423"/>
      <c r="I102" s="1434"/>
      <c r="J102" s="1429"/>
    </row>
    <row r="103" spans="1:11" ht="14.25" customHeight="1">
      <c r="A103" s="1450"/>
      <c r="B103" s="1390"/>
      <c r="C103" s="1390"/>
      <c r="D103" s="1390"/>
      <c r="E103" s="1390"/>
      <c r="F103" s="1392"/>
      <c r="G103" s="1390"/>
      <c r="H103" s="1423"/>
      <c r="I103" s="1434"/>
      <c r="J103" s="1429"/>
    </row>
    <row r="104" spans="1:11" ht="14.25" customHeight="1">
      <c r="A104" s="1450"/>
      <c r="B104" s="1390"/>
      <c r="C104" s="1390"/>
      <c r="D104" s="1390"/>
      <c r="E104" s="1390"/>
      <c r="F104" s="1392"/>
      <c r="G104" s="1390"/>
      <c r="H104" s="1423"/>
      <c r="I104" s="1434"/>
      <c r="J104" s="1429"/>
    </row>
    <row r="105" spans="1:11" s="1406" customFormat="1" ht="12.75" customHeight="1">
      <c r="A105" s="1460"/>
      <c r="B105" s="1447"/>
      <c r="C105" s="1410"/>
      <c r="D105" s="1410"/>
      <c r="E105" s="1448"/>
      <c r="F105" s="1410"/>
      <c r="G105" s="1410"/>
      <c r="H105" s="1449"/>
      <c r="I105" s="1390"/>
      <c r="J105" s="1434"/>
    </row>
    <row r="106" spans="1:11" s="1406" customFormat="1" ht="14" customHeight="1">
      <c r="A106" s="1460"/>
      <c r="B106" s="1391"/>
      <c r="C106" s="1411"/>
      <c r="D106" s="1411"/>
      <c r="E106" s="1391"/>
      <c r="F106" s="1451"/>
      <c r="G106" s="1411"/>
      <c r="H106" s="1423"/>
      <c r="I106" s="1434"/>
      <c r="J106" s="1434"/>
    </row>
    <row r="107" spans="1:11" ht="14.25" customHeight="1">
      <c r="A107" s="1460"/>
      <c r="B107" s="1390"/>
      <c r="C107" s="1390"/>
      <c r="D107" s="1390"/>
      <c r="E107" s="1390"/>
      <c r="F107" s="1392"/>
      <c r="G107" s="1390"/>
      <c r="H107" s="1423"/>
      <c r="I107" s="1434"/>
      <c r="J107" s="1434"/>
    </row>
    <row r="108" spans="1:11" ht="14.25" customHeight="1">
      <c r="A108" s="1460"/>
      <c r="B108" s="1390"/>
      <c r="C108" s="1390"/>
      <c r="D108" s="1390"/>
      <c r="E108" s="1390"/>
      <c r="F108" s="1392"/>
      <c r="G108" s="1390"/>
      <c r="H108" s="1423"/>
      <c r="I108" s="1434"/>
      <c r="J108" s="1429"/>
    </row>
    <row r="109" spans="1:11" ht="14.25" customHeight="1">
      <c r="A109" s="1460"/>
      <c r="B109" s="1390"/>
      <c r="C109" s="1390"/>
      <c r="D109" s="1390"/>
      <c r="E109" s="1390"/>
      <c r="F109" s="1392"/>
      <c r="G109" s="1390"/>
      <c r="H109" s="1423"/>
      <c r="I109" s="1712"/>
      <c r="J109" s="1712"/>
      <c r="K109" s="1712"/>
    </row>
    <row r="110" spans="1:11" ht="14.25" customHeight="1">
      <c r="A110" s="1460"/>
      <c r="B110" s="1390"/>
      <c r="C110" s="1390"/>
      <c r="D110" s="1390"/>
      <c r="E110" s="1390"/>
      <c r="F110" s="1392"/>
      <c r="G110" s="1390"/>
      <c r="H110" s="1423"/>
      <c r="I110" s="1442"/>
      <c r="J110" s="1442"/>
    </row>
    <row r="111" spans="1:11" ht="14.25" customHeight="1">
      <c r="A111" s="1460"/>
      <c r="B111" s="1390"/>
      <c r="C111" s="1390"/>
      <c r="D111" s="1390"/>
      <c r="E111" s="1390"/>
      <c r="F111" s="1392"/>
      <c r="G111" s="1390"/>
      <c r="H111" s="1423"/>
      <c r="J111" s="933"/>
    </row>
    <row r="112" spans="1:11" ht="14.25" customHeight="1">
      <c r="A112" s="1460"/>
      <c r="B112" s="1390"/>
      <c r="C112" s="1390"/>
      <c r="D112" s="1390"/>
      <c r="E112" s="1390"/>
      <c r="F112" s="1392"/>
      <c r="G112" s="1390"/>
      <c r="H112" s="1423"/>
    </row>
    <row r="113" spans="1:11" s="1406" customFormat="1" ht="12.75" customHeight="1">
      <c r="A113" s="1460"/>
      <c r="B113" s="1457"/>
      <c r="C113" s="1390"/>
      <c r="D113" s="1390"/>
      <c r="E113" s="1390"/>
      <c r="F113" s="1392"/>
      <c r="G113" s="1390"/>
      <c r="H113" s="1403"/>
      <c r="I113" s="1442"/>
      <c r="J113" s="1442"/>
    </row>
    <row r="114" spans="1:11" s="1406" customFormat="1" ht="14" customHeight="1">
      <c r="A114" s="1460"/>
      <c r="B114" s="1459"/>
      <c r="C114" s="1410"/>
      <c r="D114" s="1410"/>
      <c r="E114" s="1410"/>
      <c r="F114" s="1461"/>
      <c r="G114" s="1410"/>
      <c r="H114" s="1449"/>
      <c r="I114" s="1442"/>
      <c r="J114" s="1442"/>
    </row>
    <row r="115" spans="1:11" ht="14.25" customHeight="1">
      <c r="A115" s="1460"/>
      <c r="B115" s="1457"/>
      <c r="C115" s="1390"/>
      <c r="D115" s="1390"/>
      <c r="E115" s="1390"/>
      <c r="F115" s="1392"/>
      <c r="G115" s="1390"/>
      <c r="H115" s="1403"/>
      <c r="I115" s="1442"/>
      <c r="J115" s="1442"/>
    </row>
    <row r="116" spans="1:11" ht="14.25" customHeight="1">
      <c r="A116" s="1460"/>
      <c r="I116" s="1442"/>
      <c r="J116" s="1442"/>
    </row>
    <row r="117" spans="1:11" ht="14.25" customHeight="1">
      <c r="A117" s="1460"/>
      <c r="I117" s="1442"/>
      <c r="J117" s="1442"/>
    </row>
    <row r="118" spans="1:11" ht="14.25" customHeight="1">
      <c r="A118" s="1460"/>
      <c r="B118" s="1442"/>
      <c r="C118" s="1442"/>
      <c r="D118" s="1442"/>
      <c r="E118" s="1442"/>
      <c r="F118" s="1462"/>
      <c r="G118" s="1442"/>
      <c r="H118" s="1463"/>
      <c r="I118" s="1442"/>
      <c r="J118" s="1442"/>
    </row>
    <row r="119" spans="1:11" ht="14.25" customHeight="1">
      <c r="A119" s="1460"/>
      <c r="B119" s="1442"/>
      <c r="C119" s="1442"/>
      <c r="D119" s="1442"/>
      <c r="E119" s="1442"/>
      <c r="F119" s="1462"/>
      <c r="G119" s="1442"/>
      <c r="H119" s="1463"/>
      <c r="I119" s="1712" t="s">
        <v>1276</v>
      </c>
      <c r="J119" s="1712"/>
      <c r="K119" s="1712"/>
    </row>
    <row r="120" spans="1:11" ht="14.25" customHeight="1">
      <c r="A120" s="1460"/>
      <c r="B120" s="1442"/>
      <c r="C120" s="1442"/>
      <c r="D120" s="1442"/>
      <c r="E120" s="1442"/>
      <c r="F120" s="1462"/>
      <c r="G120" s="1442"/>
      <c r="H120" s="1463"/>
      <c r="I120" s="1442"/>
      <c r="J120" s="1442"/>
    </row>
    <row r="121" spans="1:11" ht="18" customHeight="1">
      <c r="A121" s="1464"/>
      <c r="B121" s="933" t="s">
        <v>1277</v>
      </c>
      <c r="C121" s="1465" t="s">
        <v>1278</v>
      </c>
      <c r="D121" s="1442"/>
      <c r="E121" s="1442"/>
      <c r="F121" s="1466" t="s">
        <v>1279</v>
      </c>
      <c r="G121" s="1442"/>
      <c r="H121" s="1466" t="s">
        <v>1280</v>
      </c>
      <c r="I121" s="1442"/>
      <c r="J121" s="933" t="s">
        <v>1281</v>
      </c>
    </row>
    <row r="122" spans="1:11" ht="17.25" customHeight="1">
      <c r="A122" s="1464"/>
      <c r="B122" s="1406"/>
      <c r="C122" s="1442"/>
      <c r="D122" s="1442"/>
      <c r="E122" s="1442"/>
      <c r="F122" s="1462"/>
      <c r="G122" s="1442"/>
      <c r="H122" s="1467"/>
      <c r="I122" s="1442"/>
      <c r="J122" s="1442"/>
    </row>
    <row r="123" spans="1:11" ht="18" customHeight="1">
      <c r="A123" s="1464"/>
      <c r="B123" s="1406"/>
      <c r="C123" s="1442"/>
      <c r="D123" s="1442"/>
      <c r="E123" s="1442"/>
      <c r="F123" s="1462"/>
      <c r="G123" s="1442"/>
      <c r="H123" s="1467"/>
      <c r="I123" s="1442"/>
      <c r="J123" s="1442"/>
    </row>
    <row r="124" spans="1:11" s="1711" customFormat="1" ht="18" customHeight="1">
      <c r="A124" s="1711" t="s">
        <v>1282</v>
      </c>
    </row>
    <row r="125" spans="1:11" ht="16">
      <c r="B125" s="1442"/>
      <c r="C125" s="1442"/>
      <c r="D125" s="1442"/>
      <c r="E125" s="1442"/>
      <c r="F125" s="1442"/>
      <c r="G125" s="1442"/>
      <c r="H125" s="1442" t="s">
        <v>1283</v>
      </c>
      <c r="I125" s="1712"/>
      <c r="J125" s="1712"/>
      <c r="K125" s="1712"/>
    </row>
    <row r="126" spans="1:11" s="1713" customFormat="1">
      <c r="A126" s="1713" t="s">
        <v>1284</v>
      </c>
    </row>
    <row r="127" spans="1:11" ht="16">
      <c r="A127" s="1466" t="s">
        <v>1285</v>
      </c>
    </row>
    <row r="129" spans="1:2" ht="16">
      <c r="B129" s="1466"/>
    </row>
    <row r="130" spans="1:2">
      <c r="B130" s="39"/>
    </row>
    <row r="131" spans="1:2" s="1713" customFormat="1">
      <c r="A131" s="1713" t="s">
        <v>1286</v>
      </c>
    </row>
  </sheetData>
  <mergeCells count="10">
    <mergeCell ref="A124:XFD124"/>
    <mergeCell ref="I125:K125"/>
    <mergeCell ref="A126:XFD126"/>
    <mergeCell ref="A131:XFD131"/>
    <mergeCell ref="A1:B1"/>
    <mergeCell ref="A2:B2"/>
    <mergeCell ref="A3:J3"/>
    <mergeCell ref="A4:J4"/>
    <mergeCell ref="I109:K109"/>
    <mergeCell ref="I119:K119"/>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B65B-C1A5-1544-A17B-7416EB77DF97}">
  <dimension ref="A1:BK125"/>
  <sheetViews>
    <sheetView topLeftCell="A80" workbookViewId="0">
      <selection activeCell="I24" sqref="I24"/>
    </sheetView>
  </sheetViews>
  <sheetFormatPr baseColWidth="10" defaultColWidth="8.83203125" defaultRowHeight="13"/>
  <cols>
    <col min="1" max="1" width="4.6640625" customWidth="1"/>
    <col min="2" max="2" width="25" customWidth="1"/>
    <col min="3" max="3" width="8.33203125" customWidth="1"/>
    <col min="4" max="4" width="9.6640625" customWidth="1"/>
    <col min="5" max="5" width="6.33203125" customWidth="1"/>
    <col min="6" max="6" width="9.1640625" customWidth="1"/>
    <col min="7" max="7" width="6.6640625" customWidth="1"/>
    <col min="8" max="8" width="15" customWidth="1"/>
    <col min="9" max="9" width="25.1640625" customWidth="1"/>
    <col min="10" max="10" width="18.16406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1287</v>
      </c>
      <c r="B4" s="1714"/>
      <c r="C4" s="1714"/>
      <c r="D4" s="1714"/>
      <c r="E4" s="1714"/>
      <c r="F4" s="1714"/>
      <c r="G4" s="1714"/>
      <c r="H4" s="1714"/>
      <c r="I4" s="1714"/>
      <c r="J4" s="1714"/>
    </row>
    <row r="6" spans="1:63" ht="33" customHeight="1">
      <c r="A6" s="1379" t="s">
        <v>0</v>
      </c>
      <c r="B6" s="1379" t="s">
        <v>1071</v>
      </c>
      <c r="C6" s="1380" t="s">
        <v>1</v>
      </c>
      <c r="D6" s="1380" t="s">
        <v>1288</v>
      </c>
      <c r="E6" s="1380" t="s">
        <v>373</v>
      </c>
      <c r="F6" s="1380" t="s">
        <v>1223</v>
      </c>
      <c r="G6" s="1380" t="s">
        <v>1224</v>
      </c>
      <c r="H6" s="1381" t="s">
        <v>29</v>
      </c>
      <c r="I6" s="1381" t="s">
        <v>1077</v>
      </c>
      <c r="J6" s="1381" t="s">
        <v>1225</v>
      </c>
    </row>
    <row r="7" spans="1:63">
      <c r="A7" s="1276" t="s">
        <v>6</v>
      </c>
      <c r="B7" s="1382" t="s">
        <v>19</v>
      </c>
      <c r="C7" s="1276" t="s">
        <v>422</v>
      </c>
      <c r="D7" s="1276">
        <v>1</v>
      </c>
      <c r="E7" s="1276">
        <v>2</v>
      </c>
      <c r="F7" s="1276">
        <v>3</v>
      </c>
      <c r="G7" s="1276">
        <v>4</v>
      </c>
      <c r="H7" s="1276"/>
      <c r="I7" s="1276"/>
      <c r="J7" s="1276"/>
    </row>
    <row r="8" spans="1:63" ht="16.5" customHeight="1">
      <c r="A8" s="1383" t="s">
        <v>6</v>
      </c>
      <c r="B8" s="1384" t="s">
        <v>1081</v>
      </c>
      <c r="C8" s="1385"/>
      <c r="D8" s="1386"/>
      <c r="E8" s="1386"/>
      <c r="F8" s="1254"/>
      <c r="G8" s="1254"/>
      <c r="H8" s="1222"/>
      <c r="I8" s="1254"/>
      <c r="J8" s="1254"/>
    </row>
    <row r="9" spans="1:63" ht="33.75" customHeight="1">
      <c r="A9" s="1383">
        <v>1</v>
      </c>
      <c r="B9" s="1388" t="s">
        <v>1289</v>
      </c>
      <c r="C9" s="1433" t="s">
        <v>1083</v>
      </c>
      <c r="D9" s="1410">
        <v>2</v>
      </c>
      <c r="E9" s="1390">
        <v>168</v>
      </c>
      <c r="F9" s="1392">
        <v>225000</v>
      </c>
      <c r="G9" s="1393" t="s">
        <v>1227</v>
      </c>
      <c r="H9" s="1403">
        <v>105840000</v>
      </c>
      <c r="I9" s="1390" t="s">
        <v>1228</v>
      </c>
      <c r="J9" s="1410"/>
      <c r="K9" s="1468"/>
    </row>
    <row r="10" spans="1:63" ht="16">
      <c r="A10" s="1379" t="s">
        <v>19</v>
      </c>
      <c r="B10" s="1396" t="s">
        <v>1229</v>
      </c>
      <c r="C10" s="1390"/>
      <c r="D10" s="1390"/>
      <c r="E10" s="1390"/>
      <c r="F10" s="1390"/>
      <c r="G10" s="1397"/>
      <c r="H10" s="1398">
        <f>H9 *0.8</f>
        <v>84672000</v>
      </c>
      <c r="I10" s="1399"/>
      <c r="J10" s="1400"/>
      <c r="K10" s="2"/>
    </row>
    <row r="11" spans="1:63" s="1406" customFormat="1" ht="16">
      <c r="A11" s="1401" t="s">
        <v>7</v>
      </c>
      <c r="B11" s="1402" t="s">
        <v>1230</v>
      </c>
      <c r="C11" s="1390"/>
      <c r="D11" s="1390"/>
      <c r="E11" s="1390"/>
      <c r="F11" s="1390"/>
      <c r="G11" s="1390"/>
      <c r="H11" s="1403">
        <v>22200000</v>
      </c>
      <c r="I11" s="1390"/>
      <c r="J11" s="1400"/>
      <c r="K11" s="1405"/>
    </row>
    <row r="12" spans="1:63" s="1406" customFormat="1" ht="18" customHeight="1">
      <c r="A12" s="1407">
        <v>1</v>
      </c>
      <c r="B12" s="1408" t="s">
        <v>1290</v>
      </c>
      <c r="C12" s="1390"/>
      <c r="D12" s="1390"/>
      <c r="E12" s="1390"/>
      <c r="F12" s="1390"/>
      <c r="G12" s="1390"/>
      <c r="H12" s="1414"/>
      <c r="I12" s="1410"/>
      <c r="J12" s="1411"/>
    </row>
    <row r="13" spans="1:63" s="1406" customFormat="1" ht="32.25" customHeight="1">
      <c r="A13" s="1407">
        <v>1.1000000000000001</v>
      </c>
      <c r="B13" s="1415" t="s">
        <v>1291</v>
      </c>
      <c r="C13" s="1413"/>
      <c r="D13" s="1390"/>
      <c r="E13" s="1390"/>
      <c r="F13" s="1390"/>
      <c r="G13" s="1390"/>
      <c r="H13" s="1469">
        <v>2700000</v>
      </c>
      <c r="I13" s="1470" t="s">
        <v>1292</v>
      </c>
      <c r="J13" s="1416"/>
      <c r="K13" s="1405"/>
    </row>
    <row r="14" spans="1:63" s="1406" customFormat="1" ht="22.5" customHeight="1">
      <c r="A14" s="1417"/>
      <c r="B14" s="1415" t="s">
        <v>1293</v>
      </c>
      <c r="C14" s="1413" t="s">
        <v>1237</v>
      </c>
      <c r="D14" s="1471">
        <v>2</v>
      </c>
      <c r="E14" s="1390">
        <v>15</v>
      </c>
      <c r="F14" s="1392">
        <v>90000</v>
      </c>
      <c r="G14" s="1390"/>
      <c r="H14" s="1392">
        <v>2700000</v>
      </c>
      <c r="I14" s="1429" t="s">
        <v>1294</v>
      </c>
      <c r="J14" s="1400"/>
      <c r="K14" s="1405"/>
    </row>
    <row r="15" spans="1:63" s="1406" customFormat="1" ht="22.5" customHeight="1">
      <c r="A15" s="1472">
        <v>1.2</v>
      </c>
      <c r="B15" s="1415" t="s">
        <v>1295</v>
      </c>
      <c r="C15" s="1413" t="s">
        <v>1237</v>
      </c>
      <c r="D15" s="1471">
        <v>2</v>
      </c>
      <c r="E15" s="1390">
        <v>15</v>
      </c>
      <c r="F15" s="1392">
        <v>90000</v>
      </c>
      <c r="G15" s="1390"/>
      <c r="H15" s="1403">
        <v>2700000</v>
      </c>
      <c r="I15" s="1429"/>
      <c r="J15" s="1473"/>
      <c r="K15" s="1405"/>
    </row>
    <row r="16" spans="1:63" s="1406" customFormat="1" ht="22.5" customHeight="1">
      <c r="A16" s="1472"/>
      <c r="B16" s="1415" t="s">
        <v>1296</v>
      </c>
      <c r="C16" s="1413" t="s">
        <v>1237</v>
      </c>
      <c r="D16" s="1471">
        <v>2</v>
      </c>
      <c r="E16" s="1390">
        <v>15</v>
      </c>
      <c r="F16" s="1392">
        <v>90000</v>
      </c>
      <c r="G16" s="1390"/>
      <c r="H16" s="1392">
        <v>2700000</v>
      </c>
      <c r="I16" s="1429" t="s">
        <v>1244</v>
      </c>
      <c r="J16" s="1473"/>
      <c r="K16" s="1405"/>
    </row>
    <row r="17" spans="1:12" s="1406" customFormat="1" ht="22.5" customHeight="1">
      <c r="A17" s="1472"/>
      <c r="B17" s="1415" t="s">
        <v>1297</v>
      </c>
      <c r="C17" s="1413" t="s">
        <v>1237</v>
      </c>
      <c r="D17" s="1471">
        <v>2</v>
      </c>
      <c r="E17" s="1390">
        <v>15</v>
      </c>
      <c r="F17" s="1392">
        <v>90000</v>
      </c>
      <c r="G17" s="1390"/>
      <c r="H17" s="1392">
        <v>2700000</v>
      </c>
      <c r="I17" s="1429"/>
      <c r="J17" s="1473"/>
      <c r="K17" s="1405"/>
    </row>
    <row r="18" spans="1:12" s="1406" customFormat="1" ht="22.5" customHeight="1">
      <c r="A18" s="1472">
        <v>1.3</v>
      </c>
      <c r="B18" s="1415" t="s">
        <v>1298</v>
      </c>
      <c r="C18" s="1413" t="s">
        <v>1237</v>
      </c>
      <c r="D18" s="1471">
        <v>2</v>
      </c>
      <c r="E18" s="1390">
        <v>15</v>
      </c>
      <c r="F18" s="1392">
        <v>80000</v>
      </c>
      <c r="G18" s="1390"/>
      <c r="H18" s="1403">
        <v>2400000</v>
      </c>
      <c r="I18" s="1429"/>
      <c r="J18" s="1473"/>
      <c r="K18" s="1405"/>
    </row>
    <row r="19" spans="1:12" s="1406" customFormat="1" ht="22.5" customHeight="1">
      <c r="A19" s="1428"/>
      <c r="B19" s="1415" t="s">
        <v>1299</v>
      </c>
      <c r="C19" s="1413" t="s">
        <v>1237</v>
      </c>
      <c r="D19" s="1471">
        <v>2</v>
      </c>
      <c r="E19" s="1390">
        <v>15</v>
      </c>
      <c r="F19" s="1392">
        <v>80000</v>
      </c>
      <c r="G19" s="1390"/>
      <c r="H19" s="1423">
        <v>2400000</v>
      </c>
      <c r="I19" s="1395" t="s">
        <v>1241</v>
      </c>
      <c r="J19" s="1429"/>
    </row>
    <row r="20" spans="1:12" s="1406" customFormat="1" ht="45" customHeight="1">
      <c r="A20" s="1378">
        <v>1.4</v>
      </c>
      <c r="B20" s="1474" t="s">
        <v>1300</v>
      </c>
      <c r="C20" s="1413" t="s">
        <v>1237</v>
      </c>
      <c r="D20" s="1471">
        <v>2</v>
      </c>
      <c r="E20" s="1390">
        <v>15</v>
      </c>
      <c r="F20" s="1392">
        <v>80000</v>
      </c>
      <c r="G20" s="1390"/>
      <c r="H20" s="1403">
        <v>2400000</v>
      </c>
      <c r="I20" s="1475"/>
      <c r="J20" s="1476"/>
      <c r="K20" s="1405"/>
      <c r="L20" s="1405"/>
    </row>
    <row r="21" spans="1:12" s="1406" customFormat="1" ht="23.25" customHeight="1">
      <c r="A21" s="1378"/>
      <c r="B21" s="1475" t="s">
        <v>1301</v>
      </c>
      <c r="C21" s="1477" t="s">
        <v>1237</v>
      </c>
      <c r="D21" s="1478">
        <v>2</v>
      </c>
      <c r="E21" s="1478">
        <v>15</v>
      </c>
      <c r="F21" s="1479">
        <v>80000</v>
      </c>
      <c r="G21" s="1478"/>
      <c r="H21" s="1423">
        <v>2400000</v>
      </c>
      <c r="I21" s="1480"/>
      <c r="J21" s="1481"/>
    </row>
    <row r="22" spans="1:12" s="1406" customFormat="1" ht="23.25" customHeight="1">
      <c r="A22" s="1378">
        <v>1.5</v>
      </c>
      <c r="B22" s="1475" t="s">
        <v>1302</v>
      </c>
      <c r="C22" s="1413" t="s">
        <v>1237</v>
      </c>
      <c r="D22" s="1471">
        <v>2</v>
      </c>
      <c r="E22" s="1390">
        <v>15</v>
      </c>
      <c r="F22" s="1392">
        <v>80000</v>
      </c>
      <c r="G22" s="1390"/>
      <c r="H22" s="1403">
        <v>2400000</v>
      </c>
      <c r="I22" s="1480"/>
      <c r="J22" s="1481"/>
    </row>
    <row r="23" spans="1:12" s="1406" customFormat="1" ht="18" customHeight="1">
      <c r="A23" s="1378"/>
      <c r="B23" s="1475" t="s">
        <v>1303</v>
      </c>
      <c r="C23" s="1477" t="s">
        <v>1237</v>
      </c>
      <c r="D23" s="1478">
        <v>2</v>
      </c>
      <c r="E23" s="1478">
        <v>15</v>
      </c>
      <c r="F23" s="1479">
        <v>80000</v>
      </c>
      <c r="G23" s="1478"/>
      <c r="H23" s="1423">
        <v>2400000</v>
      </c>
      <c r="I23" s="1480"/>
      <c r="J23" s="1481"/>
    </row>
    <row r="24" spans="1:12" s="1406" customFormat="1" ht="18" customHeight="1">
      <c r="A24" s="1378">
        <v>1.6</v>
      </c>
      <c r="B24" s="1475" t="s">
        <v>1304</v>
      </c>
      <c r="C24" s="1413" t="s">
        <v>1237</v>
      </c>
      <c r="D24" s="1471">
        <v>2</v>
      </c>
      <c r="E24" s="1390">
        <v>15</v>
      </c>
      <c r="F24" s="1392">
        <v>80000</v>
      </c>
      <c r="G24" s="1390"/>
      <c r="H24" s="1403">
        <v>2400000</v>
      </c>
      <c r="I24" s="1480"/>
      <c r="J24" s="1481"/>
    </row>
    <row r="25" spans="1:12" s="1406" customFormat="1" ht="21" customHeight="1">
      <c r="A25" s="1378"/>
      <c r="B25" s="1475" t="s">
        <v>1305</v>
      </c>
      <c r="C25" s="1477" t="s">
        <v>1237</v>
      </c>
      <c r="D25" s="1478">
        <v>2</v>
      </c>
      <c r="E25" s="1478">
        <v>15</v>
      </c>
      <c r="F25" s="1479">
        <v>80000</v>
      </c>
      <c r="G25" s="1478"/>
      <c r="H25" s="1423">
        <v>2400000</v>
      </c>
      <c r="I25" s="1480"/>
      <c r="J25" s="1481"/>
    </row>
    <row r="26" spans="1:12" s="1406" customFormat="1" ht="30" customHeight="1">
      <c r="A26" s="1406">
        <v>1.7</v>
      </c>
      <c r="B26" s="1415" t="s">
        <v>1306</v>
      </c>
      <c r="C26" s="1413" t="s">
        <v>1237</v>
      </c>
      <c r="D26" s="1471">
        <v>2</v>
      </c>
      <c r="E26" s="1390">
        <v>15</v>
      </c>
      <c r="F26" s="1392">
        <v>80000</v>
      </c>
      <c r="G26" s="1390"/>
      <c r="H26" s="1403">
        <v>2400000</v>
      </c>
      <c r="I26" s="1482" t="s">
        <v>1307</v>
      </c>
      <c r="J26" s="1395"/>
    </row>
    <row r="27" spans="1:12" s="1406" customFormat="1" ht="16">
      <c r="A27" s="1407"/>
      <c r="B27" s="1390" t="s">
        <v>1308</v>
      </c>
      <c r="C27" s="1433" t="s">
        <v>1237</v>
      </c>
      <c r="D27" s="1390">
        <v>2</v>
      </c>
      <c r="E27" s="1390">
        <v>15</v>
      </c>
      <c r="F27" s="1392">
        <v>80000</v>
      </c>
      <c r="G27" s="1390"/>
      <c r="H27" s="1423">
        <v>2400000</v>
      </c>
      <c r="I27" s="1483" t="s">
        <v>1241</v>
      </c>
      <c r="J27" s="1429"/>
    </row>
    <row r="28" spans="1:12" s="1406" customFormat="1" ht="17">
      <c r="A28" s="1455">
        <v>1.8</v>
      </c>
      <c r="B28" s="1390" t="s">
        <v>1309</v>
      </c>
      <c r="C28" s="1413" t="s">
        <v>1237</v>
      </c>
      <c r="D28" s="1471">
        <v>2</v>
      </c>
      <c r="E28" s="1390">
        <v>15</v>
      </c>
      <c r="F28" s="1392">
        <v>80000</v>
      </c>
      <c r="G28" s="1390"/>
      <c r="H28" s="1403">
        <v>2400000</v>
      </c>
      <c r="I28" s="1483"/>
      <c r="J28" s="1429"/>
    </row>
    <row r="29" spans="1:12" s="1406" customFormat="1" ht="16">
      <c r="A29" s="1454"/>
      <c r="B29" s="1390" t="s">
        <v>1252</v>
      </c>
      <c r="C29" s="1433" t="s">
        <v>1237</v>
      </c>
      <c r="D29" s="1390">
        <v>2</v>
      </c>
      <c r="E29" s="1390">
        <v>15</v>
      </c>
      <c r="F29" s="1392">
        <v>80000</v>
      </c>
      <c r="G29" s="1390"/>
      <c r="H29" s="1423">
        <v>2400000</v>
      </c>
      <c r="I29" s="1483" t="s">
        <v>1244</v>
      </c>
      <c r="J29" s="1434"/>
    </row>
    <row r="30" spans="1:12" s="1406" customFormat="1" ht="16">
      <c r="A30" s="1450"/>
      <c r="B30" s="1237"/>
      <c r="C30" s="1484"/>
      <c r="D30" s="1410"/>
      <c r="E30" s="1410"/>
      <c r="F30" s="1461"/>
      <c r="G30" s="1410"/>
      <c r="H30" s="1449"/>
      <c r="I30" s="1483"/>
      <c r="J30" s="1434"/>
    </row>
    <row r="31" spans="1:12" s="1406" customFormat="1" ht="16">
      <c r="A31" s="1441"/>
      <c r="B31" s="1410"/>
      <c r="C31" s="1484"/>
      <c r="D31" s="1410"/>
      <c r="E31" s="1410"/>
      <c r="F31" s="1461"/>
      <c r="G31" s="1410"/>
      <c r="H31" s="1461"/>
      <c r="I31" s="1485"/>
      <c r="J31" s="1395"/>
    </row>
    <row r="32" spans="1:12" s="1406" customFormat="1" ht="16">
      <c r="A32" s="1455"/>
      <c r="B32" s="1390"/>
      <c r="C32" s="1433"/>
      <c r="D32" s="1390"/>
      <c r="E32" s="1390"/>
      <c r="F32" s="1392"/>
      <c r="G32" s="1390"/>
      <c r="H32" s="1392"/>
      <c r="I32" s="1391"/>
      <c r="J32" s="1391"/>
    </row>
    <row r="33" spans="1:12" s="1406" customFormat="1" ht="36.75" customHeight="1">
      <c r="A33" s="1486" t="s">
        <v>8</v>
      </c>
      <c r="B33" s="1487" t="s">
        <v>1253</v>
      </c>
      <c r="C33" s="1402"/>
      <c r="D33" s="1402"/>
      <c r="E33" s="1402"/>
      <c r="F33" s="1402"/>
      <c r="G33" s="1402"/>
      <c r="H33" s="1403">
        <v>1002000</v>
      </c>
      <c r="I33" s="1390"/>
      <c r="J33" s="1416"/>
      <c r="K33" s="1405"/>
      <c r="L33" s="1405"/>
    </row>
    <row r="34" spans="1:12" s="1406" customFormat="1" ht="16">
      <c r="A34" s="1407">
        <v>1</v>
      </c>
      <c r="B34" s="1390" t="s">
        <v>1310</v>
      </c>
      <c r="C34" s="1390" t="s">
        <v>1254</v>
      </c>
      <c r="D34" s="1390">
        <v>2</v>
      </c>
      <c r="E34" s="1390">
        <v>167</v>
      </c>
      <c r="F34" s="1392">
        <v>6000</v>
      </c>
      <c r="G34" s="1390"/>
      <c r="H34" s="1392">
        <v>1002000</v>
      </c>
      <c r="I34" s="1390" t="s">
        <v>1170</v>
      </c>
      <c r="J34" s="1395"/>
    </row>
    <row r="35" spans="1:12" s="1406" customFormat="1" ht="16">
      <c r="A35" s="1401" t="s">
        <v>25</v>
      </c>
      <c r="B35" s="1402" t="s">
        <v>1311</v>
      </c>
      <c r="C35" s="1390"/>
      <c r="D35" s="1390"/>
      <c r="E35" s="1390"/>
      <c r="F35" s="1390"/>
      <c r="G35" s="1390"/>
      <c r="H35" s="1403">
        <v>29400000</v>
      </c>
      <c r="I35" s="1390"/>
      <c r="J35" s="1391"/>
    </row>
    <row r="36" spans="1:12" s="1406" customFormat="1" ht="16">
      <c r="A36" s="1488"/>
      <c r="B36" s="1230" t="s">
        <v>1312</v>
      </c>
      <c r="C36" s="1390"/>
      <c r="D36" s="1390"/>
      <c r="E36" s="1390"/>
      <c r="F36" s="1392"/>
      <c r="G36" s="1390"/>
      <c r="H36" s="1392"/>
      <c r="I36" s="1390"/>
      <c r="J36" s="1390"/>
    </row>
    <row r="37" spans="1:12" s="1406" customFormat="1" ht="16">
      <c r="A37" s="1488">
        <v>1</v>
      </c>
      <c r="B37" s="1447" t="s">
        <v>1257</v>
      </c>
      <c r="C37" s="1410"/>
      <c r="D37" s="1410"/>
      <c r="E37" s="1448"/>
      <c r="F37" s="1410"/>
      <c r="G37" s="1410"/>
      <c r="H37" s="1489">
        <v>3200000</v>
      </c>
      <c r="I37" s="1390"/>
      <c r="J37" s="1390"/>
    </row>
    <row r="38" spans="1:12" s="1406" customFormat="1" ht="16">
      <c r="A38" s="1488"/>
      <c r="B38" s="1391" t="s">
        <v>1255</v>
      </c>
      <c r="C38" s="1411" t="s">
        <v>1259</v>
      </c>
      <c r="D38" s="1411"/>
      <c r="E38" s="1391">
        <v>1</v>
      </c>
      <c r="F38" s="1451">
        <v>450000</v>
      </c>
      <c r="G38" s="1411"/>
      <c r="H38" s="1490">
        <v>450000</v>
      </c>
      <c r="I38" s="1390"/>
      <c r="J38" s="1390"/>
    </row>
    <row r="39" spans="1:12" s="1406" customFormat="1" ht="16">
      <c r="A39" s="1488"/>
      <c r="B39" s="1390" t="s">
        <v>1260</v>
      </c>
      <c r="C39" s="1390" t="s">
        <v>1261</v>
      </c>
      <c r="D39" s="1390"/>
      <c r="E39" s="1390">
        <v>4</v>
      </c>
      <c r="F39" s="1392">
        <v>50000</v>
      </c>
      <c r="G39" s="1390"/>
      <c r="H39" s="1392">
        <v>200000</v>
      </c>
      <c r="I39" s="1390"/>
      <c r="J39" s="1390"/>
    </row>
    <row r="40" spans="1:12" s="1406" customFormat="1" ht="16">
      <c r="A40" s="1488"/>
      <c r="B40" s="1390" t="s">
        <v>1262</v>
      </c>
      <c r="C40" s="1390" t="s">
        <v>1083</v>
      </c>
      <c r="D40" s="1390"/>
      <c r="E40" s="1390">
        <v>18</v>
      </c>
      <c r="F40" s="1392">
        <v>30000</v>
      </c>
      <c r="G40" s="1390"/>
      <c r="H40" s="1392">
        <v>540000</v>
      </c>
      <c r="I40" s="1390"/>
      <c r="J40" s="1390"/>
    </row>
    <row r="41" spans="1:12" s="1406" customFormat="1" ht="16">
      <c r="A41" s="1488"/>
      <c r="B41" s="1390" t="s">
        <v>1263</v>
      </c>
      <c r="C41" s="1390" t="s">
        <v>1237</v>
      </c>
      <c r="D41" s="1390"/>
      <c r="E41" s="1390">
        <v>10</v>
      </c>
      <c r="F41" s="1392">
        <v>50000</v>
      </c>
      <c r="G41" s="1390"/>
      <c r="H41" s="1392">
        <v>500000</v>
      </c>
      <c r="I41" s="1390"/>
      <c r="J41" s="1390"/>
    </row>
    <row r="42" spans="1:12" s="1406" customFormat="1" ht="16">
      <c r="A42" s="1488"/>
      <c r="B42" s="1390" t="s">
        <v>1264</v>
      </c>
      <c r="C42" s="1390" t="s">
        <v>1265</v>
      </c>
      <c r="D42" s="1390"/>
      <c r="E42" s="1390">
        <v>18</v>
      </c>
      <c r="F42" s="1392">
        <v>40000</v>
      </c>
      <c r="G42" s="1390"/>
      <c r="H42" s="1392">
        <v>720000</v>
      </c>
      <c r="I42" s="1390"/>
      <c r="J42" s="1390"/>
    </row>
    <row r="43" spans="1:12" s="1406" customFormat="1" ht="16">
      <c r="A43" s="1488"/>
      <c r="B43" s="1390" t="s">
        <v>1266</v>
      </c>
      <c r="C43" s="1390" t="s">
        <v>1083</v>
      </c>
      <c r="D43" s="1390"/>
      <c r="E43" s="1390">
        <v>18</v>
      </c>
      <c r="F43" s="1392">
        <v>30000</v>
      </c>
      <c r="G43" s="1390"/>
      <c r="H43" s="1392">
        <v>540000</v>
      </c>
      <c r="I43" s="1390"/>
      <c r="J43" s="1390"/>
    </row>
    <row r="44" spans="1:12" s="1406" customFormat="1" ht="16">
      <c r="A44" s="1488"/>
      <c r="B44" s="1390" t="s">
        <v>1267</v>
      </c>
      <c r="C44" s="1390" t="s">
        <v>1268</v>
      </c>
      <c r="D44" s="1390"/>
      <c r="E44" s="1390">
        <v>5</v>
      </c>
      <c r="F44" s="1392">
        <v>50000</v>
      </c>
      <c r="G44" s="1390"/>
      <c r="H44" s="1392">
        <v>250000</v>
      </c>
      <c r="I44" s="1390"/>
      <c r="J44" s="1390"/>
    </row>
    <row r="45" spans="1:12" s="1406" customFormat="1" ht="16">
      <c r="A45" s="1488">
        <v>2</v>
      </c>
      <c r="B45" s="1447" t="s">
        <v>1313</v>
      </c>
      <c r="C45" s="1410"/>
      <c r="D45" s="1410"/>
      <c r="E45" s="1448"/>
      <c r="F45" s="1410"/>
      <c r="G45" s="1410"/>
      <c r="H45" s="1489">
        <v>3300000</v>
      </c>
      <c r="I45" s="1390"/>
      <c r="J45" s="1390"/>
    </row>
    <row r="46" spans="1:12" s="1406" customFormat="1" ht="16">
      <c r="A46" s="1488"/>
      <c r="B46" s="1391" t="s">
        <v>1255</v>
      </c>
      <c r="C46" s="1411" t="s">
        <v>1259</v>
      </c>
      <c r="D46" s="1411"/>
      <c r="E46" s="1391">
        <v>1</v>
      </c>
      <c r="F46" s="1451">
        <v>450000</v>
      </c>
      <c r="G46" s="1411"/>
      <c r="H46" s="1490">
        <v>450000</v>
      </c>
      <c r="I46" s="1390"/>
      <c r="J46" s="1390"/>
    </row>
    <row r="47" spans="1:12" s="1406" customFormat="1" ht="16">
      <c r="A47" s="1488"/>
      <c r="B47" s="1390" t="s">
        <v>1260</v>
      </c>
      <c r="C47" s="1390" t="s">
        <v>1261</v>
      </c>
      <c r="D47" s="1390"/>
      <c r="E47" s="1390">
        <v>4</v>
      </c>
      <c r="F47" s="1392">
        <v>50000</v>
      </c>
      <c r="G47" s="1390"/>
      <c r="H47" s="1392">
        <v>200000</v>
      </c>
      <c r="I47" s="1390"/>
      <c r="J47" s="1390"/>
    </row>
    <row r="48" spans="1:12" s="1406" customFormat="1" ht="16">
      <c r="A48" s="1488"/>
      <c r="B48" s="1390" t="s">
        <v>1262</v>
      </c>
      <c r="C48" s="1390" t="s">
        <v>1083</v>
      </c>
      <c r="D48" s="1390"/>
      <c r="E48" s="1390">
        <v>19</v>
      </c>
      <c r="F48" s="1392">
        <v>30000</v>
      </c>
      <c r="G48" s="1390"/>
      <c r="H48" s="1392">
        <v>570000</v>
      </c>
      <c r="I48" s="1390"/>
      <c r="J48" s="1390"/>
    </row>
    <row r="49" spans="1:10" s="1406" customFormat="1" ht="16">
      <c r="A49" s="1488"/>
      <c r="B49" s="1390" t="s">
        <v>1263</v>
      </c>
      <c r="C49" s="1390" t="s">
        <v>1237</v>
      </c>
      <c r="D49" s="1390"/>
      <c r="E49" s="1390">
        <v>10</v>
      </c>
      <c r="F49" s="1392">
        <v>50000</v>
      </c>
      <c r="G49" s="1390"/>
      <c r="H49" s="1392">
        <v>500000</v>
      </c>
      <c r="I49" s="1390"/>
      <c r="J49" s="1390"/>
    </row>
    <row r="50" spans="1:10" s="1406" customFormat="1" ht="16">
      <c r="A50" s="1488"/>
      <c r="B50" s="1390" t="s">
        <v>1264</v>
      </c>
      <c r="C50" s="1390" t="s">
        <v>1265</v>
      </c>
      <c r="D50" s="1390"/>
      <c r="E50" s="1390">
        <v>19</v>
      </c>
      <c r="F50" s="1392">
        <v>40000</v>
      </c>
      <c r="G50" s="1390"/>
      <c r="H50" s="1392">
        <v>760000</v>
      </c>
      <c r="I50" s="1390"/>
      <c r="J50" s="1390"/>
    </row>
    <row r="51" spans="1:10" s="1406" customFormat="1" ht="16">
      <c r="A51" s="1488"/>
      <c r="B51" s="1390" t="s">
        <v>1266</v>
      </c>
      <c r="C51" s="1390" t="s">
        <v>1083</v>
      </c>
      <c r="D51" s="1390"/>
      <c r="E51" s="1390">
        <v>19</v>
      </c>
      <c r="F51" s="1392">
        <v>30000</v>
      </c>
      <c r="G51" s="1390"/>
      <c r="H51" s="1392">
        <v>570000</v>
      </c>
      <c r="I51" s="1390"/>
      <c r="J51" s="1390"/>
    </row>
    <row r="52" spans="1:10" s="1406" customFormat="1" ht="16">
      <c r="A52" s="1488"/>
      <c r="B52" s="1390" t="s">
        <v>1267</v>
      </c>
      <c r="C52" s="1390" t="s">
        <v>1268</v>
      </c>
      <c r="D52" s="1390"/>
      <c r="E52" s="1390">
        <v>5</v>
      </c>
      <c r="F52" s="1392">
        <v>50000</v>
      </c>
      <c r="G52" s="1390"/>
      <c r="H52" s="1392">
        <v>250000</v>
      </c>
      <c r="I52" s="1390"/>
      <c r="J52" s="1390"/>
    </row>
    <row r="53" spans="1:10" s="1406" customFormat="1" ht="16">
      <c r="A53" s="1488">
        <v>3</v>
      </c>
      <c r="B53" s="1447" t="s">
        <v>1270</v>
      </c>
      <c r="C53" s="1410"/>
      <c r="D53" s="1410"/>
      <c r="E53" s="1448"/>
      <c r="F53" s="1410"/>
      <c r="G53" s="1410"/>
      <c r="H53" s="1489">
        <f>SUM(H46:H52)</f>
        <v>3300000</v>
      </c>
      <c r="I53" s="1390"/>
      <c r="J53" s="1390"/>
    </row>
    <row r="54" spans="1:10" s="1406" customFormat="1" ht="16">
      <c r="A54" s="1488"/>
      <c r="B54" s="1391" t="s">
        <v>1255</v>
      </c>
      <c r="C54" s="1411" t="s">
        <v>1259</v>
      </c>
      <c r="D54" s="1411"/>
      <c r="E54" s="1391">
        <v>1</v>
      </c>
      <c r="F54" s="1451">
        <v>450000</v>
      </c>
      <c r="G54" s="1411"/>
      <c r="H54" s="1490">
        <v>450000</v>
      </c>
      <c r="I54" s="1390"/>
      <c r="J54" s="1390"/>
    </row>
    <row r="55" spans="1:10" s="1406" customFormat="1" ht="16">
      <c r="A55" s="1488"/>
      <c r="B55" s="1390" t="s">
        <v>1260</v>
      </c>
      <c r="C55" s="1390" t="s">
        <v>1261</v>
      </c>
      <c r="D55" s="1390"/>
      <c r="E55" s="1390">
        <v>4</v>
      </c>
      <c r="F55" s="1392">
        <v>50000</v>
      </c>
      <c r="G55" s="1390"/>
      <c r="H55" s="1392">
        <v>200000</v>
      </c>
      <c r="I55" s="1390"/>
      <c r="J55" s="1390"/>
    </row>
    <row r="56" spans="1:10" s="1406" customFormat="1" ht="16">
      <c r="A56" s="1488"/>
      <c r="B56" s="1390" t="s">
        <v>1262</v>
      </c>
      <c r="C56" s="1390" t="s">
        <v>1083</v>
      </c>
      <c r="D56" s="1390"/>
      <c r="E56" s="1390">
        <v>19</v>
      </c>
      <c r="F56" s="1392">
        <v>30000</v>
      </c>
      <c r="G56" s="1390"/>
      <c r="H56" s="1392">
        <v>570000</v>
      </c>
      <c r="I56" s="1390"/>
      <c r="J56" s="1390"/>
    </row>
    <row r="57" spans="1:10" s="1406" customFormat="1" ht="16">
      <c r="A57" s="1488"/>
      <c r="B57" s="1390" t="s">
        <v>1263</v>
      </c>
      <c r="C57" s="1390" t="s">
        <v>1237</v>
      </c>
      <c r="D57" s="1390"/>
      <c r="E57" s="1390">
        <v>10</v>
      </c>
      <c r="F57" s="1392">
        <v>50000</v>
      </c>
      <c r="G57" s="1390"/>
      <c r="H57" s="1392">
        <v>500000</v>
      </c>
      <c r="I57" s="1390"/>
      <c r="J57" s="1390"/>
    </row>
    <row r="58" spans="1:10" s="1406" customFormat="1" ht="16">
      <c r="A58" s="1488"/>
      <c r="B58" s="1390" t="s">
        <v>1264</v>
      </c>
      <c r="C58" s="1390" t="s">
        <v>1265</v>
      </c>
      <c r="D58" s="1390"/>
      <c r="E58" s="1390">
        <v>19</v>
      </c>
      <c r="F58" s="1392">
        <v>40000</v>
      </c>
      <c r="G58" s="1390"/>
      <c r="H58" s="1392">
        <v>760000</v>
      </c>
      <c r="I58" s="1390"/>
      <c r="J58" s="1390"/>
    </row>
    <row r="59" spans="1:10" s="1406" customFormat="1" ht="16">
      <c r="A59" s="1488"/>
      <c r="B59" s="1390" t="s">
        <v>1266</v>
      </c>
      <c r="C59" s="1390" t="s">
        <v>1083</v>
      </c>
      <c r="D59" s="1390"/>
      <c r="E59" s="1390">
        <v>19</v>
      </c>
      <c r="F59" s="1392">
        <v>30000</v>
      </c>
      <c r="G59" s="1390"/>
      <c r="H59" s="1392">
        <v>570000</v>
      </c>
      <c r="I59" s="1390"/>
      <c r="J59" s="1390"/>
    </row>
    <row r="60" spans="1:10" s="1406" customFormat="1" ht="16">
      <c r="A60" s="1488"/>
      <c r="B60" s="1390" t="s">
        <v>1267</v>
      </c>
      <c r="C60" s="1390" t="s">
        <v>1268</v>
      </c>
      <c r="D60" s="1390"/>
      <c r="E60" s="1390">
        <v>5</v>
      </c>
      <c r="F60" s="1392">
        <v>50000</v>
      </c>
      <c r="G60" s="1390"/>
      <c r="H60" s="1392">
        <v>250000</v>
      </c>
      <c r="I60" s="1390"/>
      <c r="J60" s="1390"/>
    </row>
    <row r="61" spans="1:10" s="1406" customFormat="1" ht="16">
      <c r="A61" s="1488">
        <v>4</v>
      </c>
      <c r="B61" s="1447" t="s">
        <v>1271</v>
      </c>
      <c r="C61" s="1410"/>
      <c r="D61" s="1410"/>
      <c r="E61" s="1448"/>
      <c r="F61" s="1410"/>
      <c r="G61" s="1410"/>
      <c r="H61" s="1489">
        <f>SUM(H54:H60)</f>
        <v>3300000</v>
      </c>
      <c r="I61" s="1390"/>
      <c r="J61" s="1390"/>
    </row>
    <row r="62" spans="1:10" s="1406" customFormat="1" ht="16">
      <c r="A62" s="1488"/>
      <c r="B62" s="1391" t="s">
        <v>1255</v>
      </c>
      <c r="C62" s="1411" t="s">
        <v>1259</v>
      </c>
      <c r="D62" s="1411"/>
      <c r="E62" s="1391">
        <v>1</v>
      </c>
      <c r="F62" s="1451">
        <v>450000</v>
      </c>
      <c r="G62" s="1411"/>
      <c r="H62" s="1490">
        <v>450000</v>
      </c>
      <c r="I62" s="1390"/>
      <c r="J62" s="1390"/>
    </row>
    <row r="63" spans="1:10" s="1406" customFormat="1" ht="16">
      <c r="A63" s="1488"/>
      <c r="B63" s="1390" t="s">
        <v>1260</v>
      </c>
      <c r="C63" s="1390" t="s">
        <v>1261</v>
      </c>
      <c r="D63" s="1390"/>
      <c r="E63" s="1390">
        <v>4</v>
      </c>
      <c r="F63" s="1392">
        <v>50000</v>
      </c>
      <c r="G63" s="1390"/>
      <c r="H63" s="1392">
        <v>200000</v>
      </c>
      <c r="I63" s="1390"/>
      <c r="J63" s="1390"/>
    </row>
    <row r="64" spans="1:10" s="1406" customFormat="1" ht="16">
      <c r="A64" s="1488"/>
      <c r="B64" s="1390" t="s">
        <v>1262</v>
      </c>
      <c r="C64" s="1390" t="s">
        <v>1083</v>
      </c>
      <c r="D64" s="1390"/>
      <c r="E64" s="1390">
        <v>19</v>
      </c>
      <c r="F64" s="1392">
        <v>30000</v>
      </c>
      <c r="G64" s="1390"/>
      <c r="H64" s="1392">
        <v>570000</v>
      </c>
      <c r="I64" s="1390"/>
      <c r="J64" s="1390"/>
    </row>
    <row r="65" spans="1:10" s="1406" customFormat="1" ht="16">
      <c r="A65" s="1488"/>
      <c r="B65" s="1390" t="s">
        <v>1263</v>
      </c>
      <c r="C65" s="1390" t="s">
        <v>1237</v>
      </c>
      <c r="D65" s="1390"/>
      <c r="E65" s="1390">
        <v>10</v>
      </c>
      <c r="F65" s="1392">
        <v>50000</v>
      </c>
      <c r="G65" s="1390"/>
      <c r="H65" s="1392">
        <v>500000</v>
      </c>
      <c r="I65" s="1390"/>
      <c r="J65" s="1390"/>
    </row>
    <row r="66" spans="1:10" s="1406" customFormat="1" ht="16">
      <c r="A66" s="1488"/>
      <c r="B66" s="1390" t="s">
        <v>1264</v>
      </c>
      <c r="C66" s="1390" t="s">
        <v>1265</v>
      </c>
      <c r="D66" s="1390"/>
      <c r="E66" s="1390">
        <v>19</v>
      </c>
      <c r="F66" s="1392">
        <v>40000</v>
      </c>
      <c r="G66" s="1390"/>
      <c r="H66" s="1392">
        <v>760000</v>
      </c>
      <c r="I66" s="1390"/>
      <c r="J66" s="1390"/>
    </row>
    <row r="67" spans="1:10" s="1406" customFormat="1" ht="16">
      <c r="A67" s="1488"/>
      <c r="B67" s="1390" t="s">
        <v>1266</v>
      </c>
      <c r="C67" s="1390" t="s">
        <v>1083</v>
      </c>
      <c r="D67" s="1390"/>
      <c r="E67" s="1390">
        <v>19</v>
      </c>
      <c r="F67" s="1392">
        <v>30000</v>
      </c>
      <c r="G67" s="1390"/>
      <c r="H67" s="1392">
        <v>570000</v>
      </c>
      <c r="I67" s="1390"/>
      <c r="J67" s="1390"/>
    </row>
    <row r="68" spans="1:10" s="1406" customFormat="1" ht="16">
      <c r="A68" s="1488"/>
      <c r="B68" s="1390" t="s">
        <v>1267</v>
      </c>
      <c r="C68" s="1390" t="s">
        <v>1268</v>
      </c>
      <c r="D68" s="1390"/>
      <c r="E68" s="1390">
        <v>5</v>
      </c>
      <c r="F68" s="1392">
        <v>50000</v>
      </c>
      <c r="G68" s="1390"/>
      <c r="H68" s="1392">
        <v>250000</v>
      </c>
      <c r="I68" s="1390"/>
      <c r="J68" s="1390"/>
    </row>
    <row r="69" spans="1:10" s="1406" customFormat="1" ht="16">
      <c r="A69" s="1488">
        <v>5</v>
      </c>
      <c r="B69" s="1447" t="s">
        <v>1272</v>
      </c>
      <c r="C69" s="1410"/>
      <c r="D69" s="1410"/>
      <c r="E69" s="1448"/>
      <c r="F69" s="1410"/>
      <c r="G69" s="1410"/>
      <c r="H69" s="1489">
        <f>SUM(H62:H68)</f>
        <v>3300000</v>
      </c>
      <c r="I69" s="1390"/>
      <c r="J69" s="1390"/>
    </row>
    <row r="70" spans="1:10" s="1406" customFormat="1" ht="16">
      <c r="A70" s="1488"/>
      <c r="B70" s="1391" t="s">
        <v>1255</v>
      </c>
      <c r="C70" s="1411" t="s">
        <v>1259</v>
      </c>
      <c r="D70" s="1411"/>
      <c r="E70" s="1391">
        <v>1</v>
      </c>
      <c r="F70" s="1451">
        <v>450000</v>
      </c>
      <c r="G70" s="1411"/>
      <c r="H70" s="1490">
        <v>450000</v>
      </c>
      <c r="I70" s="1390"/>
      <c r="J70" s="1390"/>
    </row>
    <row r="71" spans="1:10" s="1406" customFormat="1" ht="16">
      <c r="A71" s="1488"/>
      <c r="B71" s="1390" t="s">
        <v>1260</v>
      </c>
      <c r="C71" s="1390" t="s">
        <v>1261</v>
      </c>
      <c r="D71" s="1390"/>
      <c r="E71" s="1390">
        <v>4</v>
      </c>
      <c r="F71" s="1392">
        <v>50000</v>
      </c>
      <c r="G71" s="1390"/>
      <c r="H71" s="1392">
        <v>200000</v>
      </c>
      <c r="I71" s="1390"/>
      <c r="J71" s="1390"/>
    </row>
    <row r="72" spans="1:10" s="1406" customFormat="1" ht="16">
      <c r="A72" s="1488"/>
      <c r="B72" s="1390" t="s">
        <v>1262</v>
      </c>
      <c r="C72" s="1390" t="s">
        <v>1083</v>
      </c>
      <c r="D72" s="1390"/>
      <c r="E72" s="1390">
        <v>19</v>
      </c>
      <c r="F72" s="1392">
        <v>30000</v>
      </c>
      <c r="G72" s="1390"/>
      <c r="H72" s="1392">
        <v>570000</v>
      </c>
      <c r="I72" s="1390"/>
      <c r="J72" s="1390"/>
    </row>
    <row r="73" spans="1:10" s="1406" customFormat="1" ht="16">
      <c r="A73" s="1488"/>
      <c r="B73" s="1390" t="s">
        <v>1263</v>
      </c>
      <c r="C73" s="1390" t="s">
        <v>1237</v>
      </c>
      <c r="D73" s="1390"/>
      <c r="E73" s="1390">
        <v>10</v>
      </c>
      <c r="F73" s="1392">
        <v>50000</v>
      </c>
      <c r="G73" s="1390"/>
      <c r="H73" s="1392">
        <v>500000</v>
      </c>
      <c r="I73" s="1390"/>
      <c r="J73" s="1390"/>
    </row>
    <row r="74" spans="1:10" s="1406" customFormat="1" ht="16">
      <c r="A74" s="1488"/>
      <c r="B74" s="1390" t="s">
        <v>1264</v>
      </c>
      <c r="C74" s="1390" t="s">
        <v>1265</v>
      </c>
      <c r="D74" s="1390"/>
      <c r="E74" s="1390">
        <v>19</v>
      </c>
      <c r="F74" s="1392">
        <v>40000</v>
      </c>
      <c r="G74" s="1390"/>
      <c r="H74" s="1392">
        <v>760000</v>
      </c>
      <c r="I74" s="1390"/>
      <c r="J74" s="1390"/>
    </row>
    <row r="75" spans="1:10" s="1406" customFormat="1" ht="16">
      <c r="A75" s="1488"/>
      <c r="B75" s="1390" t="s">
        <v>1266</v>
      </c>
      <c r="C75" s="1390" t="s">
        <v>1083</v>
      </c>
      <c r="D75" s="1390"/>
      <c r="E75" s="1390">
        <v>19</v>
      </c>
      <c r="F75" s="1392">
        <v>30000</v>
      </c>
      <c r="G75" s="1390"/>
      <c r="H75" s="1392">
        <v>570000</v>
      </c>
      <c r="I75" s="1390"/>
      <c r="J75" s="1390"/>
    </row>
    <row r="76" spans="1:10" s="1406" customFormat="1" ht="16">
      <c r="A76" s="1488"/>
      <c r="B76" s="1390" t="s">
        <v>1267</v>
      </c>
      <c r="C76" s="1390" t="s">
        <v>1268</v>
      </c>
      <c r="D76" s="1390"/>
      <c r="E76" s="1390">
        <v>5</v>
      </c>
      <c r="F76" s="1392">
        <v>50000</v>
      </c>
      <c r="G76" s="1390"/>
      <c r="H76" s="1392">
        <v>250000</v>
      </c>
      <c r="I76" s="1390"/>
      <c r="J76" s="1390"/>
    </row>
    <row r="77" spans="1:10" s="1406" customFormat="1" ht="16">
      <c r="A77" s="1488">
        <v>6</v>
      </c>
      <c r="B77" s="1447" t="s">
        <v>1273</v>
      </c>
      <c r="C77" s="1410"/>
      <c r="D77" s="1410"/>
      <c r="E77" s="1448"/>
      <c r="F77" s="1410"/>
      <c r="G77" s="1410"/>
      <c r="H77" s="1489">
        <f>SUM(H70:H76)</f>
        <v>3300000</v>
      </c>
      <c r="I77" s="1390"/>
      <c r="J77" s="1390"/>
    </row>
    <row r="78" spans="1:10" s="1406" customFormat="1" ht="16">
      <c r="A78" s="1488"/>
      <c r="B78" s="1391" t="s">
        <v>1255</v>
      </c>
      <c r="C78" s="1411" t="s">
        <v>1259</v>
      </c>
      <c r="D78" s="1411"/>
      <c r="E78" s="1391">
        <v>1</v>
      </c>
      <c r="F78" s="1451">
        <v>450000</v>
      </c>
      <c r="G78" s="1411"/>
      <c r="H78" s="1490">
        <v>450000</v>
      </c>
      <c r="I78" s="1390"/>
      <c r="J78" s="1390"/>
    </row>
    <row r="79" spans="1:10" s="1406" customFormat="1" ht="16">
      <c r="A79" s="1488"/>
      <c r="B79" s="1390" t="s">
        <v>1260</v>
      </c>
      <c r="C79" s="1390" t="s">
        <v>1261</v>
      </c>
      <c r="D79" s="1390"/>
      <c r="E79" s="1390">
        <v>4</v>
      </c>
      <c r="F79" s="1392">
        <v>50000</v>
      </c>
      <c r="G79" s="1390"/>
      <c r="H79" s="1392">
        <v>200000</v>
      </c>
      <c r="I79" s="1390"/>
      <c r="J79" s="1390"/>
    </row>
    <row r="80" spans="1:10" s="1406" customFormat="1" ht="16">
      <c r="A80" s="1488"/>
      <c r="B80" s="1390" t="s">
        <v>1262</v>
      </c>
      <c r="C80" s="1390" t="s">
        <v>1083</v>
      </c>
      <c r="D80" s="1390"/>
      <c r="E80" s="1390">
        <v>19</v>
      </c>
      <c r="F80" s="1392">
        <v>30000</v>
      </c>
      <c r="G80" s="1390"/>
      <c r="H80" s="1392">
        <v>570000</v>
      </c>
      <c r="I80" s="1390"/>
      <c r="J80" s="1390"/>
    </row>
    <row r="81" spans="1:10" s="1406" customFormat="1" ht="16">
      <c r="A81" s="1488"/>
      <c r="B81" s="1390" t="s">
        <v>1263</v>
      </c>
      <c r="C81" s="1390" t="s">
        <v>1237</v>
      </c>
      <c r="D81" s="1390"/>
      <c r="E81" s="1390">
        <v>10</v>
      </c>
      <c r="F81" s="1392">
        <v>50000</v>
      </c>
      <c r="G81" s="1390"/>
      <c r="H81" s="1392">
        <v>500000</v>
      </c>
      <c r="I81" s="1390"/>
      <c r="J81" s="1390"/>
    </row>
    <row r="82" spans="1:10" s="1406" customFormat="1" ht="16">
      <c r="A82" s="1488"/>
      <c r="B82" s="1390" t="s">
        <v>1264</v>
      </c>
      <c r="C82" s="1390" t="s">
        <v>1265</v>
      </c>
      <c r="D82" s="1390"/>
      <c r="E82" s="1390">
        <v>19</v>
      </c>
      <c r="F82" s="1392">
        <v>40000</v>
      </c>
      <c r="G82" s="1390"/>
      <c r="H82" s="1392">
        <v>760000</v>
      </c>
      <c r="I82" s="1390"/>
      <c r="J82" s="1390"/>
    </row>
    <row r="83" spans="1:10" s="1406" customFormat="1" ht="16">
      <c r="A83" s="1488"/>
      <c r="B83" s="1390" t="s">
        <v>1266</v>
      </c>
      <c r="C83" s="1390" t="s">
        <v>1083</v>
      </c>
      <c r="D83" s="1390"/>
      <c r="E83" s="1390">
        <v>19</v>
      </c>
      <c r="F83" s="1392">
        <v>30000</v>
      </c>
      <c r="G83" s="1390"/>
      <c r="H83" s="1392">
        <v>570000</v>
      </c>
      <c r="I83" s="1390"/>
      <c r="J83" s="1390"/>
    </row>
    <row r="84" spans="1:10" s="1406" customFormat="1" ht="16">
      <c r="A84" s="1488"/>
      <c r="B84" s="1390" t="s">
        <v>1267</v>
      </c>
      <c r="C84" s="1390" t="s">
        <v>1268</v>
      </c>
      <c r="D84" s="1390"/>
      <c r="E84" s="1390">
        <v>5</v>
      </c>
      <c r="F84" s="1392">
        <v>50000</v>
      </c>
      <c r="G84" s="1390"/>
      <c r="H84" s="1392">
        <v>250000</v>
      </c>
      <c r="I84" s="1390"/>
      <c r="J84" s="1390"/>
    </row>
    <row r="85" spans="1:10" s="1406" customFormat="1" ht="16">
      <c r="A85" s="1488">
        <v>7</v>
      </c>
      <c r="B85" s="1237" t="s">
        <v>1314</v>
      </c>
      <c r="C85" s="1410"/>
      <c r="D85" s="1410"/>
      <c r="E85" s="1448"/>
      <c r="F85" s="1410"/>
      <c r="G85" s="1410"/>
      <c r="H85" s="1489">
        <f>SUM(H78:H84)</f>
        <v>3300000</v>
      </c>
      <c r="I85" s="1390"/>
      <c r="J85" s="1390"/>
    </row>
    <row r="86" spans="1:10" s="1406" customFormat="1" ht="16">
      <c r="A86" s="1488"/>
      <c r="B86" s="1410" t="s">
        <v>1255</v>
      </c>
      <c r="C86" s="1410" t="s">
        <v>1259</v>
      </c>
      <c r="D86" s="1410"/>
      <c r="E86" s="1391">
        <v>1</v>
      </c>
      <c r="F86" s="1451">
        <v>450000</v>
      </c>
      <c r="G86" s="1411"/>
      <c r="H86" s="1490">
        <v>450000</v>
      </c>
      <c r="I86" s="1390"/>
      <c r="J86" s="1390"/>
    </row>
    <row r="87" spans="1:10" s="1406" customFormat="1" ht="16">
      <c r="A87" s="1488"/>
      <c r="B87" s="1410" t="s">
        <v>1260</v>
      </c>
      <c r="C87" s="1410" t="s">
        <v>1261</v>
      </c>
      <c r="D87" s="1410"/>
      <c r="E87" s="1390">
        <v>4</v>
      </c>
      <c r="F87" s="1392">
        <v>50000</v>
      </c>
      <c r="G87" s="1390"/>
      <c r="H87" s="1392">
        <v>200000</v>
      </c>
      <c r="I87" s="1390"/>
      <c r="J87" s="1390"/>
    </row>
    <row r="88" spans="1:10" s="1406" customFormat="1" ht="16">
      <c r="A88" s="1488"/>
      <c r="B88" s="1410" t="s">
        <v>1262</v>
      </c>
      <c r="C88" s="1410" t="s">
        <v>1083</v>
      </c>
      <c r="D88" s="1410"/>
      <c r="E88" s="1390">
        <v>19</v>
      </c>
      <c r="F88" s="1392">
        <v>30000</v>
      </c>
      <c r="G88" s="1390"/>
      <c r="H88" s="1392">
        <v>570000</v>
      </c>
      <c r="I88" s="1390"/>
      <c r="J88" s="1390"/>
    </row>
    <row r="89" spans="1:10" s="1406" customFormat="1" ht="16">
      <c r="A89" s="1488"/>
      <c r="B89" s="1410" t="s">
        <v>1263</v>
      </c>
      <c r="C89" s="1410" t="s">
        <v>1237</v>
      </c>
      <c r="D89" s="1410"/>
      <c r="E89" s="1390">
        <v>10</v>
      </c>
      <c r="F89" s="1392">
        <v>50000</v>
      </c>
      <c r="G89" s="1390"/>
      <c r="H89" s="1392">
        <v>500000</v>
      </c>
      <c r="I89" s="1390"/>
      <c r="J89" s="1390"/>
    </row>
    <row r="90" spans="1:10" s="1406" customFormat="1" ht="16">
      <c r="A90" s="1488"/>
      <c r="B90" s="1410" t="s">
        <v>1264</v>
      </c>
      <c r="C90" s="1410" t="s">
        <v>1265</v>
      </c>
      <c r="D90" s="1410"/>
      <c r="E90" s="1390">
        <v>19</v>
      </c>
      <c r="F90" s="1392">
        <v>40000</v>
      </c>
      <c r="G90" s="1390"/>
      <c r="H90" s="1392">
        <v>760000</v>
      </c>
      <c r="I90" s="1390"/>
      <c r="J90" s="1390"/>
    </row>
    <row r="91" spans="1:10" s="1406" customFormat="1" ht="16">
      <c r="A91" s="1488"/>
      <c r="B91" s="1410" t="s">
        <v>1266</v>
      </c>
      <c r="C91" s="1410" t="s">
        <v>1083</v>
      </c>
      <c r="D91" s="1410"/>
      <c r="E91" s="1390">
        <v>19</v>
      </c>
      <c r="F91" s="1392">
        <v>30000</v>
      </c>
      <c r="G91" s="1390"/>
      <c r="H91" s="1392">
        <v>570000</v>
      </c>
      <c r="I91" s="1390"/>
      <c r="J91" s="1390"/>
    </row>
    <row r="92" spans="1:10" s="1406" customFormat="1" ht="16">
      <c r="A92" s="1488"/>
      <c r="B92" s="1410" t="s">
        <v>1267</v>
      </c>
      <c r="C92" s="1410" t="s">
        <v>1268</v>
      </c>
      <c r="D92" s="1410"/>
      <c r="E92" s="1390">
        <v>5</v>
      </c>
      <c r="F92" s="1392">
        <v>50000</v>
      </c>
      <c r="G92" s="1390"/>
      <c r="H92" s="1392">
        <v>250000</v>
      </c>
      <c r="I92" s="1390"/>
      <c r="J92" s="1390"/>
    </row>
    <row r="93" spans="1:10" s="1406" customFormat="1" ht="16">
      <c r="A93" s="1488">
        <v>8</v>
      </c>
      <c r="B93" s="1237" t="s">
        <v>1315</v>
      </c>
      <c r="C93" s="1410"/>
      <c r="D93" s="1410"/>
      <c r="E93" s="1448"/>
      <c r="F93" s="1410"/>
      <c r="G93" s="1410"/>
      <c r="H93" s="1489">
        <f>SUM(H86:H92)</f>
        <v>3300000</v>
      </c>
      <c r="I93" s="1390"/>
      <c r="J93" s="1390"/>
    </row>
    <row r="94" spans="1:10" s="1406" customFormat="1" ht="16">
      <c r="A94" s="1488"/>
      <c r="B94" s="1410" t="s">
        <v>1255</v>
      </c>
      <c r="C94" s="1410" t="s">
        <v>1259</v>
      </c>
      <c r="D94" s="1410"/>
      <c r="E94" s="1391">
        <v>1</v>
      </c>
      <c r="F94" s="1451">
        <v>450000</v>
      </c>
      <c r="G94" s="1411"/>
      <c r="H94" s="1490">
        <v>450000</v>
      </c>
      <c r="I94" s="1390"/>
      <c r="J94" s="1390"/>
    </row>
    <row r="95" spans="1:10" s="1406" customFormat="1" ht="16">
      <c r="A95" s="1488"/>
      <c r="B95" s="1410" t="s">
        <v>1260</v>
      </c>
      <c r="C95" s="1410" t="s">
        <v>1261</v>
      </c>
      <c r="D95" s="1410"/>
      <c r="E95" s="1390">
        <v>4</v>
      </c>
      <c r="F95" s="1392">
        <v>50000</v>
      </c>
      <c r="G95" s="1390"/>
      <c r="H95" s="1392">
        <v>200000</v>
      </c>
      <c r="I95" s="1390"/>
      <c r="J95" s="1390"/>
    </row>
    <row r="96" spans="1:10" s="1406" customFormat="1" ht="16">
      <c r="A96" s="1488"/>
      <c r="B96" s="1410" t="s">
        <v>1262</v>
      </c>
      <c r="C96" s="1410" t="s">
        <v>1083</v>
      </c>
      <c r="D96" s="1410"/>
      <c r="E96" s="1390">
        <v>19</v>
      </c>
      <c r="F96" s="1392">
        <v>30000</v>
      </c>
      <c r="G96" s="1390"/>
      <c r="H96" s="1392">
        <v>570000</v>
      </c>
      <c r="I96" s="1390"/>
      <c r="J96" s="1390"/>
    </row>
    <row r="97" spans="1:10" s="1406" customFormat="1" ht="16">
      <c r="A97" s="1488"/>
      <c r="B97" s="1410" t="s">
        <v>1316</v>
      </c>
      <c r="C97" s="1410" t="s">
        <v>1237</v>
      </c>
      <c r="D97" s="1410"/>
      <c r="E97" s="1390">
        <v>10</v>
      </c>
      <c r="F97" s="1392">
        <v>50000</v>
      </c>
      <c r="G97" s="1390"/>
      <c r="H97" s="1392">
        <v>500000</v>
      </c>
      <c r="I97" s="1390"/>
      <c r="J97" s="1390"/>
    </row>
    <row r="98" spans="1:10" s="1406" customFormat="1" ht="16">
      <c r="A98" s="1488"/>
      <c r="B98" s="1410" t="s">
        <v>1264</v>
      </c>
      <c r="C98" s="1410" t="s">
        <v>1265</v>
      </c>
      <c r="D98" s="1410"/>
      <c r="E98" s="1390">
        <v>19</v>
      </c>
      <c r="F98" s="1392">
        <v>40000</v>
      </c>
      <c r="G98" s="1390"/>
      <c r="H98" s="1392">
        <v>760000</v>
      </c>
      <c r="I98" s="1390"/>
      <c r="J98" s="1390"/>
    </row>
    <row r="99" spans="1:10" s="1406" customFormat="1" ht="16">
      <c r="A99" s="1488"/>
      <c r="B99" s="1410" t="s">
        <v>1266</v>
      </c>
      <c r="C99" s="1410" t="s">
        <v>1083</v>
      </c>
      <c r="D99" s="1410"/>
      <c r="E99" s="1390">
        <v>19</v>
      </c>
      <c r="F99" s="1392">
        <v>30000</v>
      </c>
      <c r="G99" s="1390"/>
      <c r="H99" s="1392">
        <v>570000</v>
      </c>
      <c r="I99" s="1390"/>
      <c r="J99" s="1390"/>
    </row>
    <row r="100" spans="1:10" s="1406" customFormat="1" ht="16">
      <c r="A100" s="1488"/>
      <c r="B100" s="1410" t="s">
        <v>1267</v>
      </c>
      <c r="C100" s="1410" t="s">
        <v>1268</v>
      </c>
      <c r="D100" s="1410"/>
      <c r="E100" s="1390">
        <v>5</v>
      </c>
      <c r="F100" s="1392">
        <v>50000</v>
      </c>
      <c r="G100" s="1390"/>
      <c r="H100" s="1392">
        <v>250000</v>
      </c>
      <c r="I100" s="1390"/>
      <c r="J100" s="1390"/>
    </row>
    <row r="101" spans="1:10" s="1406" customFormat="1" ht="16">
      <c r="A101" s="1488">
        <v>9</v>
      </c>
      <c r="B101" s="1237" t="s">
        <v>1317</v>
      </c>
      <c r="C101" s="1410"/>
      <c r="D101" s="1410"/>
      <c r="E101" s="1448"/>
      <c r="F101" s="1410"/>
      <c r="G101" s="1410"/>
      <c r="H101" s="1489">
        <v>3100000</v>
      </c>
      <c r="I101" s="1390"/>
      <c r="J101" s="1390"/>
    </row>
    <row r="102" spans="1:10" s="1406" customFormat="1" ht="16">
      <c r="A102" s="1488"/>
      <c r="B102" s="1410" t="s">
        <v>1255</v>
      </c>
      <c r="C102" s="1410" t="s">
        <v>1259</v>
      </c>
      <c r="D102" s="1410"/>
      <c r="E102" s="1410">
        <v>1</v>
      </c>
      <c r="F102" s="1461">
        <v>450000</v>
      </c>
      <c r="G102" s="1410"/>
      <c r="H102" s="1461">
        <v>450000</v>
      </c>
      <c r="I102" s="1390"/>
      <c r="J102" s="1390"/>
    </row>
    <row r="103" spans="1:10" s="1406" customFormat="1" ht="16">
      <c r="A103" s="1488"/>
      <c r="B103" s="1410" t="s">
        <v>1260</v>
      </c>
      <c r="C103" s="1410" t="s">
        <v>1261</v>
      </c>
      <c r="D103" s="1410"/>
      <c r="E103" s="1410">
        <v>4</v>
      </c>
      <c r="F103" s="1461">
        <v>50000</v>
      </c>
      <c r="G103" s="1410"/>
      <c r="H103" s="1461">
        <v>200000</v>
      </c>
      <c r="I103" s="1390"/>
      <c r="J103" s="1390"/>
    </row>
    <row r="104" spans="1:10" s="1406" customFormat="1" ht="16">
      <c r="A104" s="1488"/>
      <c r="B104" s="1410" t="s">
        <v>1262</v>
      </c>
      <c r="C104" s="1410" t="s">
        <v>1083</v>
      </c>
      <c r="D104" s="1410"/>
      <c r="E104" s="1410">
        <v>17</v>
      </c>
      <c r="F104" s="1461">
        <v>30000</v>
      </c>
      <c r="G104" s="1410"/>
      <c r="H104" s="1461">
        <v>510000</v>
      </c>
      <c r="I104" s="1390"/>
      <c r="J104" s="1390"/>
    </row>
    <row r="105" spans="1:10" s="1406" customFormat="1" ht="16">
      <c r="A105" s="1488"/>
      <c r="B105" s="1410" t="s">
        <v>1316</v>
      </c>
      <c r="C105" s="1410" t="s">
        <v>1237</v>
      </c>
      <c r="D105" s="1410"/>
      <c r="E105" s="1410">
        <v>10</v>
      </c>
      <c r="F105" s="1461">
        <v>50000</v>
      </c>
      <c r="G105" s="1410"/>
      <c r="H105" s="1461">
        <v>500000</v>
      </c>
      <c r="I105" s="1390"/>
      <c r="J105" s="1390"/>
    </row>
    <row r="106" spans="1:10" s="1406" customFormat="1" ht="16">
      <c r="A106" s="1488"/>
      <c r="B106" s="1410" t="s">
        <v>1264</v>
      </c>
      <c r="C106" s="1410" t="s">
        <v>1265</v>
      </c>
      <c r="D106" s="1410"/>
      <c r="E106" s="1410">
        <v>17</v>
      </c>
      <c r="F106" s="1461">
        <v>40000</v>
      </c>
      <c r="G106" s="1410"/>
      <c r="H106" s="1461">
        <v>680000</v>
      </c>
      <c r="I106" s="1390"/>
      <c r="J106" s="1390"/>
    </row>
    <row r="107" spans="1:10" s="1406" customFormat="1" ht="16">
      <c r="A107" s="1488"/>
      <c r="B107" s="1410" t="s">
        <v>1266</v>
      </c>
      <c r="C107" s="1410" t="s">
        <v>1083</v>
      </c>
      <c r="D107" s="1410"/>
      <c r="E107" s="1410">
        <v>17</v>
      </c>
      <c r="F107" s="1461">
        <v>30000</v>
      </c>
      <c r="G107" s="1410"/>
      <c r="H107" s="1461">
        <v>510000</v>
      </c>
      <c r="I107" s="1390"/>
      <c r="J107" s="1390"/>
    </row>
    <row r="108" spans="1:10" s="1406" customFormat="1" ht="16">
      <c r="A108" s="1488"/>
      <c r="B108" s="1410" t="s">
        <v>1267</v>
      </c>
      <c r="C108" s="1410" t="s">
        <v>1268</v>
      </c>
      <c r="D108" s="1410"/>
      <c r="E108" s="1410">
        <v>5</v>
      </c>
      <c r="F108" s="1461">
        <v>50000</v>
      </c>
      <c r="G108" s="1410"/>
      <c r="H108" s="1461">
        <v>250000</v>
      </c>
      <c r="I108" s="1390"/>
      <c r="J108" s="1390"/>
    </row>
    <row r="109" spans="1:10" s="1406" customFormat="1" ht="16">
      <c r="A109" s="1488"/>
      <c r="B109" s="1447"/>
      <c r="C109" s="1410"/>
      <c r="D109" s="1410"/>
      <c r="E109" s="1448"/>
      <c r="F109" s="1410"/>
      <c r="G109" s="1410"/>
      <c r="H109" s="1489"/>
      <c r="I109" s="1390"/>
      <c r="J109" s="1390"/>
    </row>
    <row r="110" spans="1:10" s="1406" customFormat="1" ht="16">
      <c r="A110" s="1488"/>
      <c r="B110" s="1491" t="s">
        <v>497</v>
      </c>
      <c r="C110" s="1492"/>
      <c r="D110" s="1492"/>
      <c r="E110" s="1491"/>
      <c r="F110" s="1493"/>
      <c r="G110" s="1492"/>
      <c r="H110" s="1494">
        <v>52602000</v>
      </c>
      <c r="I110" s="1495"/>
      <c r="J110" s="1390"/>
    </row>
    <row r="111" spans="1:10" s="1406" customFormat="1" ht="16">
      <c r="A111" s="1488"/>
      <c r="B111" s="1495" t="s">
        <v>1121</v>
      </c>
      <c r="C111" s="1390"/>
      <c r="D111" s="1390"/>
      <c r="E111" s="1390"/>
      <c r="F111" s="1392"/>
      <c r="G111" s="1390"/>
      <c r="H111" s="1458">
        <v>32040000</v>
      </c>
      <c r="I111" s="1390"/>
      <c r="J111" s="1390"/>
    </row>
    <row r="112" spans="1:10" s="1406" customFormat="1" ht="16">
      <c r="A112" s="1488"/>
      <c r="B112" s="1390"/>
      <c r="C112" s="1390"/>
      <c r="D112" s="1390"/>
      <c r="E112" s="1390"/>
      <c r="F112" s="1392"/>
      <c r="G112" s="1390"/>
      <c r="H112" s="1392"/>
      <c r="I112" s="1390"/>
      <c r="J112" s="1390"/>
    </row>
    <row r="113" spans="1:10" s="1406" customFormat="1" ht="16">
      <c r="B113" s="1390"/>
      <c r="C113" s="1390"/>
      <c r="D113" s="1390"/>
      <c r="E113" s="1390"/>
      <c r="F113" s="1392"/>
      <c r="G113" s="1390"/>
      <c r="H113" s="1392"/>
      <c r="I113" s="1390"/>
      <c r="J113" s="1390"/>
    </row>
    <row r="114" spans="1:10" s="1406" customFormat="1" ht="16">
      <c r="B114" s="1390"/>
      <c r="C114" s="1390"/>
      <c r="D114" s="1390"/>
      <c r="E114" s="1390"/>
      <c r="F114" s="1392"/>
      <c r="G114" s="1390"/>
      <c r="H114" s="1392"/>
      <c r="I114" s="1390"/>
      <c r="J114" s="1390"/>
    </row>
    <row r="115" spans="1:10" s="1406" customFormat="1" ht="16">
      <c r="B115" s="1390"/>
      <c r="C115" s="1390"/>
      <c r="D115" s="1390"/>
      <c r="E115" s="1390"/>
      <c r="F115" s="1392"/>
      <c r="G115" s="1390"/>
      <c r="H115" s="1392"/>
      <c r="I115" s="1390"/>
      <c r="J115" s="1390"/>
    </row>
    <row r="116" spans="1:10" ht="16">
      <c r="A116" s="1406"/>
      <c r="B116" s="1390"/>
      <c r="C116" s="1390"/>
      <c r="D116" s="1390"/>
      <c r="E116" s="1390"/>
      <c r="F116" s="1392"/>
      <c r="G116" s="1390"/>
      <c r="H116" s="1392"/>
      <c r="I116" s="1390"/>
      <c r="J116" s="1390"/>
    </row>
    <row r="117" spans="1:10" ht="16">
      <c r="B117" s="1495"/>
      <c r="C117" s="1457"/>
      <c r="D117" s="1457"/>
      <c r="E117" s="1457"/>
      <c r="F117" s="1496"/>
      <c r="G117" s="1457"/>
      <c r="H117" s="1458"/>
      <c r="I117" s="1390"/>
      <c r="J117" s="1390"/>
    </row>
    <row r="118" spans="1:10" ht="16">
      <c r="B118" s="1495"/>
      <c r="C118" s="1457"/>
      <c r="D118" s="1457"/>
      <c r="E118" s="1457"/>
      <c r="F118" s="1496"/>
      <c r="G118" s="1457"/>
      <c r="H118" s="1458"/>
      <c r="I118" s="1390"/>
      <c r="J118" s="1390"/>
    </row>
    <row r="119" spans="1:10" ht="16">
      <c r="B119" s="1495"/>
      <c r="C119" s="1457"/>
      <c r="D119" s="1457"/>
      <c r="E119" s="1457"/>
      <c r="F119" s="1496"/>
      <c r="G119" s="1457"/>
      <c r="H119" s="1458"/>
      <c r="I119" s="1390"/>
      <c r="J119" s="1390"/>
    </row>
    <row r="120" spans="1:10" ht="16">
      <c r="B120" s="1390"/>
      <c r="C120" s="1390"/>
      <c r="D120" s="1390"/>
      <c r="E120" s="1390"/>
      <c r="F120" s="1392"/>
      <c r="G120" s="1390"/>
      <c r="H120" s="1392"/>
      <c r="I120" s="1390"/>
      <c r="J120" s="1390"/>
    </row>
    <row r="121" spans="1:10" ht="16">
      <c r="B121" s="1442"/>
      <c r="C121" s="1442"/>
      <c r="D121" s="1442"/>
      <c r="E121" s="1442"/>
      <c r="F121" s="1442"/>
      <c r="G121" s="1442"/>
      <c r="H121" s="1442"/>
      <c r="I121" s="1442" t="s">
        <v>1318</v>
      </c>
      <c r="J121" s="1442" t="s">
        <v>1319</v>
      </c>
    </row>
    <row r="122" spans="1:10" ht="16">
      <c r="B122" s="1497" t="s">
        <v>1281</v>
      </c>
      <c r="C122" s="1498" t="s">
        <v>1280</v>
      </c>
      <c r="D122" s="1499"/>
      <c r="E122" s="1499" t="s">
        <v>1279</v>
      </c>
      <c r="F122" s="1499"/>
      <c r="G122" s="1499" t="s">
        <v>1320</v>
      </c>
      <c r="H122" s="1499"/>
      <c r="I122" s="1499" t="s">
        <v>1321</v>
      </c>
      <c r="J122" s="1442"/>
    </row>
    <row r="123" spans="1:10" ht="16">
      <c r="B123" s="1406"/>
      <c r="C123" s="1406"/>
      <c r="D123" s="1406"/>
      <c r="E123" s="1406"/>
      <c r="F123" s="1406"/>
      <c r="G123" s="1406"/>
      <c r="H123" s="1406"/>
      <c r="I123" s="1406"/>
      <c r="J123" s="1406"/>
    </row>
    <row r="125" spans="1:10" ht="16">
      <c r="B125" s="1466"/>
    </row>
  </sheetData>
  <mergeCells count="4">
    <mergeCell ref="A1:B1"/>
    <mergeCell ref="A2:B2"/>
    <mergeCell ref="A3:J3"/>
    <mergeCell ref="A4:J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08789-4547-CD4B-AB8D-535870722568}">
  <dimension ref="A1"/>
  <sheetViews>
    <sheetView workbookViewId="0"/>
  </sheetViews>
  <sheetFormatPr baseColWidth="10" defaultRowHeight="1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35AF-B2DD-3844-BA89-D458C890C8B7}">
  <dimension ref="A1"/>
  <sheetViews>
    <sheetView workbookViewId="0"/>
  </sheetViews>
  <sheetFormatPr baseColWidth="10" defaultRowHeight="1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69"/>
      <c r="E1" s="69"/>
      <c r="F1" s="69"/>
      <c r="G1" s="69"/>
      <c r="H1" s="190"/>
      <c r="I1" s="1559"/>
      <c r="J1" s="1559"/>
      <c r="K1" s="1559"/>
      <c r="L1" s="1559"/>
      <c r="M1" s="1559"/>
      <c r="N1" s="1559"/>
      <c r="O1" s="64"/>
      <c r="P1" s="64"/>
      <c r="Q1" s="341" t="s">
        <v>30</v>
      </c>
    </row>
    <row r="2" spans="1:17">
      <c r="A2" s="1567" t="s">
        <v>530</v>
      </c>
      <c r="B2" s="1567"/>
      <c r="C2" s="1567"/>
      <c r="D2" s="259"/>
      <c r="E2" s="259"/>
      <c r="F2" s="69"/>
      <c r="G2" s="259"/>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267"/>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267">
        <v>40</v>
      </c>
      <c r="H12" s="267">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267">
        <v>20</v>
      </c>
      <c r="H13" s="267">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267">
        <v>80</v>
      </c>
      <c r="H14" s="267">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267">
        <v>70</v>
      </c>
      <c r="H15" s="267">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267">
        <v>70</v>
      </c>
      <c r="H16" s="267">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267">
        <v>70</v>
      </c>
      <c r="H17" s="267">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267">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267">
        <v>80</v>
      </c>
      <c r="H19" s="267">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267">
        <v>20</v>
      </c>
      <c r="H20" s="267">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267">
        <v>80</v>
      </c>
      <c r="H21" s="267">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267">
        <v>40</v>
      </c>
      <c r="H22" s="267">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267">
        <v>40</v>
      </c>
      <c r="H23" s="267">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267">
        <v>20</v>
      </c>
      <c r="H24" s="267">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267">
        <v>20</v>
      </c>
      <c r="H25" s="267">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267">
        <v>70</v>
      </c>
      <c r="H26" s="267">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267">
        <v>70</v>
      </c>
      <c r="H27" s="267">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267">
        <v>45</v>
      </c>
      <c r="H28" s="267">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267">
        <v>40</v>
      </c>
      <c r="H29" s="267">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267">
        <v>65</v>
      </c>
      <c r="H30" s="267">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267">
        <v>70</v>
      </c>
      <c r="H31" s="267">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267">
        <v>50</v>
      </c>
      <c r="H32" s="267">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267">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267">
        <v>80</v>
      </c>
      <c r="H34" s="267">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267">
        <v>70</v>
      </c>
      <c r="H35" s="267">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267">
        <v>21</v>
      </c>
      <c r="H36" s="267">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267">
        <v>70</v>
      </c>
      <c r="H37" s="267">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267">
        <v>20</v>
      </c>
      <c r="H38" s="267">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267">
        <v>50</v>
      </c>
      <c r="H39" s="267">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267">
        <v>70</v>
      </c>
      <c r="H40" s="267">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267">
        <v>50</v>
      </c>
      <c r="H41" s="267">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267">
        <v>50</v>
      </c>
      <c r="H42" s="267">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267">
        <v>50</v>
      </c>
      <c r="H43" s="267">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267">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267">
        <v>0</v>
      </c>
      <c r="H45" s="267">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267">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267"/>
      <c r="G47" s="267"/>
      <c r="H47" s="267"/>
      <c r="I47" s="270"/>
      <c r="J47" s="270"/>
      <c r="K47" s="270"/>
      <c r="L47" s="270"/>
      <c r="M47" s="270"/>
      <c r="N47" s="270"/>
      <c r="O47" s="270"/>
      <c r="P47" s="270"/>
      <c r="Q47" s="271"/>
    </row>
    <row r="48" spans="1:17" s="68" customFormat="1" ht="25" customHeight="1">
      <c r="A48" s="379" t="s">
        <v>656</v>
      </c>
      <c r="B48" s="418" t="s">
        <v>257</v>
      </c>
      <c r="C48" s="416">
        <v>2</v>
      </c>
      <c r="D48" s="382">
        <v>1</v>
      </c>
      <c r="E48" s="382">
        <v>2</v>
      </c>
      <c r="F48" s="267">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267"/>
      <c r="G49" s="267"/>
      <c r="H49" s="267"/>
      <c r="I49" s="267"/>
      <c r="J49" s="270"/>
      <c r="K49" s="270"/>
      <c r="L49" s="270"/>
      <c r="M49" s="270"/>
      <c r="N49" s="270"/>
      <c r="O49" s="270"/>
      <c r="P49" s="270"/>
      <c r="Q49" s="271"/>
    </row>
    <row r="50" spans="1:17" s="68" customFormat="1" ht="25" customHeight="1">
      <c r="A50" s="379" t="s">
        <v>659</v>
      </c>
      <c r="B50" s="420" t="s">
        <v>413</v>
      </c>
      <c r="C50" s="421">
        <v>1</v>
      </c>
      <c r="D50" s="421">
        <v>1.4</v>
      </c>
      <c r="E50" s="421">
        <v>2</v>
      </c>
      <c r="F50" s="267"/>
      <c r="G50" s="267"/>
      <c r="H50" s="267"/>
      <c r="I50" s="267"/>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267"/>
      <c r="G51" s="267"/>
      <c r="H51" s="267"/>
      <c r="I51" s="267"/>
      <c r="J51" s="270">
        <v>15</v>
      </c>
      <c r="K51" s="270"/>
      <c r="L51" s="270"/>
      <c r="M51" s="270"/>
      <c r="N51" s="270"/>
      <c r="O51" s="270"/>
      <c r="P51" s="270"/>
      <c r="Q51" s="1571"/>
    </row>
    <row r="52" spans="1:17" s="68" customFormat="1" ht="25" customHeight="1">
      <c r="A52" s="424" t="s">
        <v>232</v>
      </c>
      <c r="B52" s="379" t="s">
        <v>156</v>
      </c>
      <c r="C52" s="382">
        <v>4</v>
      </c>
      <c r="D52" s="382">
        <v>1.4</v>
      </c>
      <c r="E52" s="382">
        <v>4</v>
      </c>
      <c r="F52" s="267"/>
      <c r="G52" s="267"/>
      <c r="H52" s="267"/>
      <c r="I52" s="267"/>
      <c r="J52" s="270">
        <v>5</v>
      </c>
      <c r="K52" s="270"/>
      <c r="L52" s="270"/>
      <c r="M52" s="270"/>
      <c r="N52" s="270"/>
      <c r="O52" s="270"/>
      <c r="P52" s="270"/>
      <c r="Q52" s="1571"/>
    </row>
    <row r="53" spans="1:17" s="68" customFormat="1" ht="25" customHeight="1">
      <c r="A53" s="424" t="s">
        <v>233</v>
      </c>
      <c r="B53" s="379" t="s">
        <v>157</v>
      </c>
      <c r="C53" s="382"/>
      <c r="D53" s="382"/>
      <c r="E53" s="382"/>
      <c r="F53" s="267"/>
      <c r="G53" s="267"/>
      <c r="H53" s="267"/>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267"/>
      <c r="G54" s="267"/>
      <c r="H54" s="267"/>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267">
        <v>10</v>
      </c>
      <c r="H55" s="267">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267">
        <v>10</v>
      </c>
      <c r="H56" s="267">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267">
        <v>10</v>
      </c>
      <c r="H57" s="267">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267">
        <v>10</v>
      </c>
      <c r="H58" s="267">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267">
        <v>10</v>
      </c>
      <c r="H59" s="267">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267">
        <v>15</v>
      </c>
      <c r="H60" s="267">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267">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267">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267">
        <v>0</v>
      </c>
      <c r="G64" s="267">
        <v>0</v>
      </c>
      <c r="H64" s="267">
        <v>0</v>
      </c>
      <c r="I64" s="267">
        <v>0</v>
      </c>
      <c r="J64" s="270"/>
      <c r="K64" s="270"/>
      <c r="L64" s="270"/>
      <c r="M64" s="270"/>
      <c r="N64" s="270"/>
      <c r="O64" s="270"/>
      <c r="P64" s="270"/>
      <c r="Q64" s="271"/>
    </row>
    <row r="65" spans="1:17" s="68" customFormat="1" ht="25" customHeight="1">
      <c r="A65" s="379" t="s">
        <v>230</v>
      </c>
      <c r="B65" s="383" t="s">
        <v>273</v>
      </c>
      <c r="C65" s="382">
        <v>3</v>
      </c>
      <c r="D65" s="382">
        <v>1</v>
      </c>
      <c r="E65" s="382">
        <v>1</v>
      </c>
      <c r="F65" s="267"/>
      <c r="G65" s="267"/>
      <c r="H65" s="267"/>
      <c r="I65" s="270"/>
      <c r="J65" s="270"/>
      <c r="K65" s="270"/>
      <c r="L65" s="270"/>
      <c r="M65" s="270"/>
      <c r="N65" s="270"/>
      <c r="O65" s="270"/>
      <c r="P65" s="270"/>
      <c r="Q65" s="271"/>
    </row>
    <row r="66" spans="1:17" s="68" customFormat="1" ht="25" customHeight="1">
      <c r="A66" s="379" t="s">
        <v>231</v>
      </c>
      <c r="B66" s="380" t="s">
        <v>531</v>
      </c>
      <c r="C66" s="382">
        <v>3</v>
      </c>
      <c r="D66" s="382">
        <v>1</v>
      </c>
      <c r="E66" s="382">
        <v>1</v>
      </c>
      <c r="F66" s="267"/>
      <c r="G66" s="267"/>
      <c r="H66" s="267"/>
      <c r="I66" s="270"/>
      <c r="J66" s="270"/>
      <c r="K66" s="270"/>
      <c r="L66" s="270"/>
      <c r="M66" s="270"/>
      <c r="N66" s="270"/>
      <c r="O66" s="270"/>
      <c r="P66" s="270"/>
      <c r="Q66" s="271"/>
    </row>
    <row r="67" spans="1:17" s="68" customFormat="1" ht="25" customHeight="1">
      <c r="A67" s="392" t="s">
        <v>148</v>
      </c>
      <c r="B67" s="393" t="s">
        <v>470</v>
      </c>
      <c r="C67" s="386"/>
      <c r="D67" s="386"/>
      <c r="E67" s="386"/>
      <c r="F67" s="267"/>
      <c r="G67" s="267"/>
      <c r="H67" s="267"/>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267">
        <v>40</v>
      </c>
      <c r="H68" s="267">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267">
        <v>40</v>
      </c>
      <c r="H69" s="267">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267">
        <v>40</v>
      </c>
      <c r="H70" s="267">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267">
        <v>40</v>
      </c>
      <c r="H71" s="267">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267">
        <v>40</v>
      </c>
      <c r="H72" s="267">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267">
        <v>40</v>
      </c>
      <c r="H73" s="267">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267">
        <v>40</v>
      </c>
      <c r="H74" s="267">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267">
        <v>40</v>
      </c>
      <c r="H75" s="267">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267">
        <v>40</v>
      </c>
      <c r="H76" s="267">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267">
        <v>40</v>
      </c>
      <c r="H77" s="267">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267">
        <v>40</v>
      </c>
      <c r="H78" s="267">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267">
        <v>40</v>
      </c>
      <c r="H79" s="267">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267">
        <v>40</v>
      </c>
      <c r="H80" s="267">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267">
        <v>40</v>
      </c>
      <c r="H81" s="267">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267">
        <v>40</v>
      </c>
      <c r="H82" s="267">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267">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267">
        <v>0</v>
      </c>
      <c r="G84" s="267">
        <v>0</v>
      </c>
      <c r="H84" s="267">
        <v>0</v>
      </c>
      <c r="I84" s="267">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267"/>
      <c r="D92" s="267"/>
      <c r="E92" s="267"/>
      <c r="F92" s="267"/>
      <c r="G92" s="267"/>
      <c r="H92" s="267"/>
      <c r="I92" s="270"/>
      <c r="J92" s="270"/>
      <c r="K92" s="270"/>
      <c r="L92" s="270"/>
      <c r="M92" s="270"/>
      <c r="N92" s="270"/>
      <c r="O92" s="270"/>
      <c r="P92" s="270"/>
      <c r="Q92" s="271"/>
    </row>
    <row r="93" spans="1:17" s="68" customFormat="1" ht="25" customHeight="1">
      <c r="A93" s="285" t="s">
        <v>377</v>
      </c>
      <c r="B93" s="285" t="s">
        <v>378</v>
      </c>
      <c r="C93" s="267"/>
      <c r="D93" s="267"/>
      <c r="E93" s="267"/>
      <c r="F93" s="267"/>
      <c r="G93" s="267"/>
      <c r="H93" s="267"/>
      <c r="I93" s="270"/>
      <c r="J93" s="270"/>
      <c r="K93" s="270"/>
      <c r="L93" s="270"/>
      <c r="M93" s="270"/>
      <c r="N93" s="270"/>
      <c r="O93" s="270"/>
      <c r="P93" s="270"/>
      <c r="Q93" s="271"/>
    </row>
    <row r="94" spans="1:17" s="68" customFormat="1" ht="25" customHeight="1">
      <c r="A94" s="285">
        <v>1</v>
      </c>
      <c r="B94" s="285" t="s">
        <v>379</v>
      </c>
      <c r="C94" s="267"/>
      <c r="D94" s="267"/>
      <c r="E94" s="267"/>
      <c r="F94" s="267"/>
      <c r="G94" s="267"/>
      <c r="H94" s="267"/>
      <c r="I94" s="270"/>
      <c r="J94" s="270"/>
      <c r="K94" s="270"/>
      <c r="L94" s="270"/>
      <c r="M94" s="270"/>
      <c r="N94" s="270"/>
      <c r="O94" s="270"/>
      <c r="P94" s="270"/>
      <c r="Q94" s="271"/>
    </row>
    <row r="95" spans="1:17" s="68" customFormat="1" ht="25" customHeight="1">
      <c r="A95" s="286" t="s">
        <v>147</v>
      </c>
      <c r="B95" s="287" t="s">
        <v>161</v>
      </c>
      <c r="C95" s="267"/>
      <c r="D95" s="267"/>
      <c r="E95" s="267"/>
      <c r="F95" s="267"/>
      <c r="G95" s="267"/>
      <c r="H95" s="267"/>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267">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267">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267">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267">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267">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267">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267">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267">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267">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267">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267">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267">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267">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267">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267">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267">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267">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267">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267">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267">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267">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267">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267">
        <v>70</v>
      </c>
      <c r="H118" s="267">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267">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267">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267">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267"/>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267"/>
      <c r="I128" s="267"/>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267"/>
      <c r="I129" s="267"/>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267">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267">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267">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267">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267">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267">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267">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267">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267">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267">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267">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267">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267">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267">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267">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267">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267">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267">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267">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267">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267">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267">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267">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I164" si="20">SUM(D149:D163)</f>
        <v>15</v>
      </c>
      <c r="E164" s="299">
        <f t="shared" si="20"/>
        <v>203</v>
      </c>
      <c r="F164" s="292">
        <f t="shared" si="20"/>
        <v>14800.5</v>
      </c>
      <c r="G164" s="299">
        <f t="shared" si="20"/>
        <v>1060</v>
      </c>
      <c r="H164" s="299">
        <f t="shared" si="20"/>
        <v>48620</v>
      </c>
      <c r="I164" s="299">
        <f t="shared" si="20"/>
        <v>14800.5</v>
      </c>
      <c r="J164" s="299">
        <f>SUM(J149:J163)</f>
        <v>0</v>
      </c>
      <c r="K164" s="299">
        <f>SUM(K149:K163)</f>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267">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267">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267">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267">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267">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267">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267">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267">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267">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267">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267">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267">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267">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267">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267">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267">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267">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267">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267">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267">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267">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267">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267">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267">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267">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267">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267">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267">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267">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267">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267">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267">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267">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267">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267">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267">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267">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267">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267"/>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267">
        <v>40</v>
      </c>
      <c r="H247" s="267">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267">
        <v>20</v>
      </c>
      <c r="H248" s="267">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267">
        <v>80</v>
      </c>
      <c r="H249" s="267">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267">
        <v>80</v>
      </c>
      <c r="H250" s="267">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267">
        <v>80</v>
      </c>
      <c r="H251" s="267">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267">
        <v>80</v>
      </c>
      <c r="H252" s="267">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267">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267">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267">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267">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267">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267">
        <v>80</v>
      </c>
      <c r="H258" s="267">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267">
        <v>30</v>
      </c>
      <c r="H259" s="267">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267">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267">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267">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267">
        <v>80</v>
      </c>
      <c r="H263" s="267">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267">
        <v>40</v>
      </c>
      <c r="H264" s="267">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267">
        <v>40</v>
      </c>
      <c r="H265" s="267">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267">
        <v>80</v>
      </c>
      <c r="H266" s="267">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66">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267">
        <v>40</v>
      </c>
      <c r="H268" s="267">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267">
        <v>40</v>
      </c>
      <c r="H269" s="267">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267">
        <v>40</v>
      </c>
      <c r="H270" s="267">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267">
        <v>40</v>
      </c>
      <c r="H271" s="267">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267">
        <v>40</v>
      </c>
      <c r="H272" s="267">
        <f>C272*D272*E272*G272</f>
        <v>52</v>
      </c>
      <c r="I272" s="269">
        <f t="shared" si="36"/>
        <v>16.5</v>
      </c>
      <c r="J272" s="270"/>
      <c r="K272" s="303"/>
      <c r="L272" s="304"/>
      <c r="M272" s="305"/>
      <c r="N272" s="305"/>
      <c r="O272" s="305"/>
      <c r="P272" s="305"/>
      <c r="Q272" s="305"/>
    </row>
    <row r="273" spans="1:17" s="68" customFormat="1" ht="25" customHeight="1">
      <c r="A273" s="379"/>
      <c r="B273" s="437" t="s">
        <v>380</v>
      </c>
      <c r="C273" s="381">
        <f t="shared" ref="C273:I273" si="37">SUM(C247:C272)</f>
        <v>68</v>
      </c>
      <c r="D273" s="381">
        <f t="shared" si="37"/>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267"/>
      <c r="G274" s="267"/>
      <c r="H274" s="267"/>
      <c r="I274" s="270"/>
      <c r="J274" s="270"/>
      <c r="K274" s="303"/>
      <c r="L274" s="304"/>
      <c r="M274" s="305"/>
      <c r="N274" s="305"/>
      <c r="O274" s="305"/>
      <c r="P274" s="305"/>
      <c r="Q274" s="305"/>
    </row>
    <row r="275" spans="1:17" s="68" customFormat="1" ht="25" customHeight="1">
      <c r="A275" s="424" t="s">
        <v>232</v>
      </c>
      <c r="B275" s="379" t="s">
        <v>154</v>
      </c>
      <c r="C275" s="382"/>
      <c r="D275" s="382"/>
      <c r="E275" s="382"/>
      <c r="F275" s="267"/>
      <c r="G275" s="267"/>
      <c r="H275" s="267"/>
      <c r="I275" s="270"/>
      <c r="J275" s="270"/>
      <c r="K275" s="303"/>
      <c r="L275" s="304"/>
      <c r="M275" s="305"/>
      <c r="N275" s="305"/>
      <c r="O275" s="305"/>
      <c r="P275" s="305"/>
      <c r="Q275" s="305"/>
    </row>
    <row r="276" spans="1:17" s="68" customFormat="1" ht="25" customHeight="1">
      <c r="A276" s="424" t="s">
        <v>233</v>
      </c>
      <c r="B276" s="379" t="s">
        <v>153</v>
      </c>
      <c r="C276" s="382"/>
      <c r="D276" s="382"/>
      <c r="E276" s="382"/>
      <c r="F276" s="267"/>
      <c r="G276" s="267"/>
      <c r="H276" s="267"/>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267"/>
      <c r="G277" s="267"/>
      <c r="H277" s="267"/>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267"/>
      <c r="G278" s="267"/>
      <c r="H278" s="267"/>
      <c r="I278" s="270"/>
      <c r="J278" s="270"/>
      <c r="K278" s="303"/>
      <c r="L278" s="304"/>
      <c r="M278" s="305"/>
      <c r="N278" s="305"/>
      <c r="O278" s="305"/>
      <c r="P278" s="305"/>
      <c r="Q278" s="305"/>
    </row>
    <row r="279" spans="1:17" s="68" customFormat="1" ht="25" customHeight="1">
      <c r="A279" s="424" t="s">
        <v>236</v>
      </c>
      <c r="B279" s="379" t="s">
        <v>157</v>
      </c>
      <c r="C279" s="382"/>
      <c r="D279" s="382"/>
      <c r="E279" s="382"/>
      <c r="F279" s="267"/>
      <c r="G279" s="267"/>
      <c r="H279" s="267"/>
      <c r="I279" s="270"/>
      <c r="J279" s="270"/>
      <c r="K279" s="303"/>
      <c r="L279" s="304"/>
      <c r="M279" s="305"/>
      <c r="N279" s="305"/>
      <c r="O279" s="305"/>
      <c r="P279" s="305"/>
      <c r="Q279" s="305"/>
    </row>
    <row r="280" spans="1:17" s="68" customFormat="1" ht="25" customHeight="1">
      <c r="A280" s="427">
        <v>2</v>
      </c>
      <c r="B280" s="427" t="s">
        <v>164</v>
      </c>
      <c r="C280" s="382"/>
      <c r="D280" s="382"/>
      <c r="E280" s="382"/>
      <c r="F280" s="267"/>
      <c r="G280" s="267"/>
      <c r="H280" s="267"/>
      <c r="I280" s="270"/>
      <c r="J280" s="270"/>
      <c r="K280" s="303"/>
      <c r="L280" s="304"/>
      <c r="M280" s="305"/>
      <c r="N280" s="305"/>
      <c r="O280" s="305"/>
      <c r="P280" s="305"/>
      <c r="Q280" s="305"/>
    </row>
    <row r="281" spans="1:17" s="68" customFormat="1" ht="25" customHeight="1">
      <c r="A281" s="428" t="s">
        <v>147</v>
      </c>
      <c r="B281" s="429" t="s">
        <v>165</v>
      </c>
      <c r="C281" s="382"/>
      <c r="D281" s="382"/>
      <c r="E281" s="382"/>
      <c r="F281" s="267"/>
      <c r="G281" s="267"/>
      <c r="H281" s="267"/>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267">
        <v>30</v>
      </c>
      <c r="H282" s="267">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267">
        <v>30</v>
      </c>
      <c r="H283" s="267">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267">
        <v>30</v>
      </c>
      <c r="H284" s="267">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267">
        <v>30</v>
      </c>
      <c r="H285" s="267">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267">
        <v>30</v>
      </c>
      <c r="H286" s="267">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267">
        <v>30</v>
      </c>
      <c r="H287" s="267">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267">
        <v>30</v>
      </c>
      <c r="H288" s="267">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267">
        <v>30</v>
      </c>
      <c r="H289" s="267">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267">
        <v>30</v>
      </c>
      <c r="H290" s="267">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267">
        <v>30</v>
      </c>
      <c r="H291" s="267">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267">
        <v>30</v>
      </c>
      <c r="H292" s="267">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267">
        <v>30</v>
      </c>
      <c r="H293" s="267">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267">
        <v>30</v>
      </c>
      <c r="H294" s="267">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 t="shared" ref="C295:J295" si="41">SUM(C282:C294)</f>
        <v>39</v>
      </c>
      <c r="D295" s="426">
        <f t="shared" si="41"/>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267"/>
      <c r="G296" s="267"/>
      <c r="H296" s="267"/>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267">
        <v>5</v>
      </c>
      <c r="H297" s="267">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267">
        <v>5</v>
      </c>
      <c r="H298" s="267">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267">
        <v>5</v>
      </c>
      <c r="H299" s="267">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267">
        <v>5</v>
      </c>
      <c r="H300" s="267">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267">
        <v>5</v>
      </c>
      <c r="H301" s="267">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267">
        <v>5</v>
      </c>
      <c r="H302" s="267">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267">
        <v>5</v>
      </c>
      <c r="H303" s="267">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267">
        <v>5</v>
      </c>
      <c r="H304" s="267">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267">
        <v>5</v>
      </c>
      <c r="H305" s="267">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267">
        <v>5</v>
      </c>
      <c r="H306" s="267">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267">
        <v>129</v>
      </c>
      <c r="H307" s="267">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267"/>
      <c r="G309" s="267"/>
      <c r="H309" s="267"/>
      <c r="I309" s="270"/>
      <c r="J309" s="270"/>
      <c r="K309" s="324"/>
      <c r="L309" s="324"/>
      <c r="M309" s="330"/>
      <c r="N309" s="330"/>
      <c r="O309" s="330"/>
      <c r="P309" s="330"/>
      <c r="Q309" s="330"/>
    </row>
    <row r="310" spans="1:17" ht="25" customHeight="1">
      <c r="A310" s="438"/>
      <c r="B310" s="439" t="s">
        <v>673</v>
      </c>
      <c r="C310" s="382">
        <v>15</v>
      </c>
      <c r="D310" s="382">
        <v>1</v>
      </c>
      <c r="E310" s="382">
        <v>1</v>
      </c>
      <c r="F310" s="267"/>
      <c r="G310" s="267"/>
      <c r="H310" s="267"/>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267">
        <v>11</v>
      </c>
      <c r="H311" s="267">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267">
        <v>11</v>
      </c>
      <c r="H312" s="267">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267">
        <v>11</v>
      </c>
      <c r="H313" s="267">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267"/>
      <c r="G314" s="267"/>
      <c r="H314" s="267"/>
      <c r="I314" s="270"/>
      <c r="J314" s="270"/>
      <c r="K314" s="324"/>
      <c r="L314" s="324"/>
      <c r="M314" s="325"/>
      <c r="N314" s="325"/>
      <c r="O314" s="325"/>
      <c r="P314" s="325"/>
      <c r="Q314" s="325"/>
    </row>
    <row r="315" spans="1:17" ht="25" customHeight="1">
      <c r="A315" s="379" t="s">
        <v>227</v>
      </c>
      <c r="B315" s="380" t="s">
        <v>476</v>
      </c>
      <c r="C315" s="382">
        <v>3</v>
      </c>
      <c r="D315" s="382">
        <v>1</v>
      </c>
      <c r="E315" s="382">
        <v>1</v>
      </c>
      <c r="F315" s="267"/>
      <c r="G315" s="267"/>
      <c r="H315" s="267"/>
      <c r="I315" s="270"/>
      <c r="J315" s="270"/>
      <c r="K315" s="324"/>
      <c r="L315" s="324"/>
      <c r="M315" s="325"/>
      <c r="N315" s="325"/>
      <c r="O315" s="325"/>
      <c r="P315" s="325"/>
      <c r="Q315" s="325"/>
    </row>
    <row r="316" spans="1:17" ht="25" customHeight="1">
      <c r="A316" s="424" t="s">
        <v>477</v>
      </c>
      <c r="B316" s="379" t="s">
        <v>478</v>
      </c>
      <c r="C316" s="382">
        <v>3</v>
      </c>
      <c r="D316" s="382">
        <v>1</v>
      </c>
      <c r="E316" s="382">
        <v>1</v>
      </c>
      <c r="F316" s="267"/>
      <c r="G316" s="267"/>
      <c r="H316" s="267"/>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267"/>
      <c r="H317" s="267"/>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267"/>
      <c r="H318" s="267"/>
      <c r="I318" s="270"/>
      <c r="J318" s="270">
        <v>300</v>
      </c>
      <c r="K318" s="324"/>
      <c r="L318" s="324"/>
      <c r="M318" s="325"/>
      <c r="N318" s="325"/>
      <c r="O318" s="325"/>
      <c r="P318" s="325"/>
      <c r="Q318" s="325"/>
    </row>
    <row r="319" spans="1:17" ht="25" customHeight="1">
      <c r="A319" s="422"/>
      <c r="B319" s="423" t="s">
        <v>675</v>
      </c>
      <c r="C319" s="382"/>
      <c r="D319" s="382"/>
      <c r="E319" s="382"/>
      <c r="F319" s="267"/>
      <c r="G319" s="267"/>
      <c r="H319" s="267"/>
      <c r="I319" s="270"/>
      <c r="J319" s="270"/>
      <c r="K319" s="324"/>
      <c r="L319" s="324"/>
      <c r="M319" s="325"/>
      <c r="N319" s="325"/>
      <c r="O319" s="325"/>
      <c r="P319" s="325"/>
      <c r="Q319" s="325"/>
    </row>
    <row r="320" spans="1:17" ht="25" customHeight="1">
      <c r="A320" s="422"/>
      <c r="B320" s="423" t="s">
        <v>479</v>
      </c>
      <c r="C320" s="382"/>
      <c r="D320" s="382"/>
      <c r="E320" s="382"/>
      <c r="F320" s="267"/>
      <c r="G320" s="267"/>
      <c r="H320" s="267"/>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267"/>
      <c r="H321" s="267"/>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267"/>
      <c r="H322" s="267"/>
      <c r="I322" s="270"/>
      <c r="J322" s="270">
        <v>680</v>
      </c>
      <c r="K322" s="324"/>
      <c r="L322" s="324"/>
      <c r="M322" s="325"/>
      <c r="N322" s="325"/>
      <c r="O322" s="325"/>
      <c r="P322" s="325"/>
      <c r="Q322" s="325"/>
    </row>
    <row r="323" spans="1:17" ht="25" customHeight="1">
      <c r="A323" s="424"/>
      <c r="B323" s="379" t="s">
        <v>676</v>
      </c>
      <c r="C323" s="382"/>
      <c r="D323" s="382"/>
      <c r="E323" s="382"/>
      <c r="F323" s="267">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267"/>
      <c r="G324" s="267"/>
      <c r="H324" s="267"/>
      <c r="I324" s="270"/>
      <c r="J324" s="270"/>
      <c r="K324" s="324"/>
      <c r="L324" s="324"/>
      <c r="M324" s="325"/>
      <c r="N324" s="325"/>
      <c r="O324" s="325"/>
      <c r="P324" s="325"/>
      <c r="Q324" s="325"/>
    </row>
    <row r="325" spans="1:17" ht="25" customHeight="1">
      <c r="A325" s="424"/>
      <c r="B325" s="379" t="s">
        <v>480</v>
      </c>
      <c r="C325" s="382"/>
      <c r="D325" s="382"/>
      <c r="E325" s="382"/>
      <c r="F325" s="267"/>
      <c r="G325" s="267"/>
      <c r="H325" s="267"/>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267"/>
      <c r="G326" s="267"/>
      <c r="H326" s="267"/>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267">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267">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267">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258" t="e">
        <f>J341+K341</f>
        <v>#REF!</v>
      </c>
      <c r="K342" s="63"/>
      <c r="L342" s="63"/>
      <c r="M342" s="63"/>
      <c r="N342" s="1575" t="s">
        <v>589</v>
      </c>
      <c r="O342" s="1575"/>
      <c r="P342" s="1575"/>
      <c r="Q342" s="1575"/>
    </row>
    <row r="343" spans="1:17" ht="12.75" customHeight="1">
      <c r="A343" s="69"/>
      <c r="B343" s="69"/>
      <c r="C343" s="190"/>
      <c r="D343" s="190"/>
      <c r="E343" s="190"/>
      <c r="F343" s="190"/>
      <c r="G343" s="190"/>
      <c r="H343" s="190"/>
      <c r="I343" s="190"/>
      <c r="J343" s="190"/>
      <c r="K343" s="63"/>
      <c r="L343" s="63"/>
      <c r="M343" s="63"/>
      <c r="N343" s="1558" t="s">
        <v>548</v>
      </c>
      <c r="O343" s="1558"/>
      <c r="P343" s="1558"/>
      <c r="Q343" s="1558"/>
    </row>
    <row r="344" spans="1:17">
      <c r="A344" s="69"/>
      <c r="B344" s="1592" t="s">
        <v>150</v>
      </c>
      <c r="C344" s="1592"/>
      <c r="D344" s="1592"/>
      <c r="E344" s="1592"/>
      <c r="F344" s="1592"/>
      <c r="G344" s="1592"/>
      <c r="H344" s="1592"/>
      <c r="I344" s="1592"/>
      <c r="J344" s="1592"/>
      <c r="K344" s="1592"/>
      <c r="L344" s="63"/>
      <c r="M344" s="63"/>
      <c r="N344" s="63"/>
      <c r="O344" s="63"/>
      <c r="P344" s="63"/>
      <c r="Q344" s="259"/>
    </row>
    <row r="345" spans="1:17" ht="26.25" customHeight="1">
      <c r="A345" s="69"/>
      <c r="B345" s="1593" t="s">
        <v>237</v>
      </c>
      <c r="C345" s="1593"/>
      <c r="D345" s="1593"/>
      <c r="E345" s="1593"/>
      <c r="F345" s="1593"/>
      <c r="G345" s="1593"/>
      <c r="H345" s="1593"/>
      <c r="I345" s="1593"/>
      <c r="J345" s="1593"/>
      <c r="K345" s="1593"/>
      <c r="L345" s="63"/>
      <c r="M345" s="63"/>
      <c r="N345" s="63"/>
      <c r="O345" s="63"/>
      <c r="P345" s="63"/>
      <c r="Q345" s="259"/>
    </row>
    <row r="346" spans="1:17" ht="30" customHeight="1">
      <c r="A346" s="69"/>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N342:Q342"/>
    <mergeCell ref="N343:Q343"/>
    <mergeCell ref="B344:K344"/>
    <mergeCell ref="B345:K345"/>
    <mergeCell ref="B346:K346"/>
    <mergeCell ref="N346:Q346"/>
    <mergeCell ref="D342:I342"/>
    <mergeCell ref="A5:A6"/>
    <mergeCell ref="B5:B6"/>
    <mergeCell ref="C5:C6"/>
    <mergeCell ref="D5:D6"/>
    <mergeCell ref="E5:E6"/>
    <mergeCell ref="A1:C1"/>
    <mergeCell ref="I1:N1"/>
    <mergeCell ref="A2:C2"/>
    <mergeCell ref="I2:N2"/>
    <mergeCell ref="A3:Q3"/>
    <mergeCell ref="O5:O6"/>
    <mergeCell ref="P5:P6"/>
    <mergeCell ref="Q5:Q6"/>
    <mergeCell ref="M300:Q300"/>
    <mergeCell ref="N5:N6"/>
    <mergeCell ref="M5:M6"/>
    <mergeCell ref="Q50:Q52"/>
    <mergeCell ref="Q128:Q134"/>
    <mergeCell ref="F5:F6"/>
    <mergeCell ref="G5:G6"/>
    <mergeCell ref="H5:H6"/>
    <mergeCell ref="I5:K5"/>
    <mergeCell ref="L5:L6"/>
  </mergeCells>
  <pageMargins left="0.2" right="0.2" top="0.5" bottom="0.42" header="0.62" footer="0.6"/>
  <pageSetup paperSize="9" scale="85" orientation="landscape"/>
  <ignoredErrors>
    <ignoredError sqref="F12 F220:F222"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baseColWidth="10" defaultColWidth="9.1640625" defaultRowHeight="13"/>
  <cols>
    <col min="1" max="1" width="5.5" style="664" customWidth="1"/>
    <col min="2" max="2" width="41.1640625" style="664" customWidth="1"/>
    <col min="3" max="3" width="7" style="666" customWidth="1"/>
    <col min="4" max="4" width="7" style="666" hidden="1" customWidth="1"/>
    <col min="5" max="5" width="6" style="666" customWidth="1"/>
    <col min="6" max="6" width="7.5" style="191" customWidth="1"/>
    <col min="7" max="7" width="6.83203125" style="666" customWidth="1"/>
    <col min="8" max="8" width="11.1640625" style="666" customWidth="1"/>
    <col min="9" max="10" width="8.33203125" style="666" customWidth="1"/>
    <col min="11" max="11" width="6.5" style="667" customWidth="1"/>
    <col min="12" max="12" width="7.6640625" style="667" customWidth="1"/>
    <col min="13" max="13" width="9.5" style="667" customWidth="1"/>
    <col min="14" max="14" width="11" style="667" customWidth="1"/>
    <col min="15" max="15" width="6.6640625" style="667" customWidth="1"/>
    <col min="16" max="16" width="9.6640625" style="667" customWidth="1"/>
    <col min="17" max="17" width="12.6640625" style="524" customWidth="1"/>
    <col min="18" max="16384" width="9.1640625" style="524"/>
  </cols>
  <sheetData>
    <row r="1" spans="1:17" ht="14.25" customHeight="1">
      <c r="A1" s="1598" t="s">
        <v>3</v>
      </c>
      <c r="B1" s="1598"/>
      <c r="C1" s="1598"/>
      <c r="D1" s="670"/>
      <c r="E1" s="670"/>
      <c r="F1" s="670"/>
      <c r="G1" s="670"/>
      <c r="H1" s="191"/>
      <c r="I1" s="1599"/>
      <c r="J1" s="1599"/>
      <c r="K1" s="1599"/>
      <c r="L1" s="1599"/>
      <c r="M1" s="1599"/>
      <c r="N1" s="1599"/>
      <c r="O1" s="522"/>
      <c r="P1" s="522"/>
      <c r="Q1" s="523" t="s">
        <v>30</v>
      </c>
    </row>
    <row r="2" spans="1:17">
      <c r="A2" s="1600" t="s">
        <v>530</v>
      </c>
      <c r="B2" s="1600"/>
      <c r="C2" s="1600"/>
      <c r="D2" s="671"/>
      <c r="E2" s="671"/>
      <c r="F2" s="670"/>
      <c r="G2" s="671"/>
      <c r="H2" s="191"/>
      <c r="I2" s="1599"/>
      <c r="J2" s="1599"/>
      <c r="K2" s="1599"/>
      <c r="L2" s="1599"/>
      <c r="M2" s="1599"/>
      <c r="N2" s="1599"/>
      <c r="O2" s="522"/>
      <c r="P2" s="522"/>
      <c r="Q2" s="522"/>
    </row>
    <row r="3" spans="1:17" ht="30" customHeight="1">
      <c r="A3" s="1601" t="s">
        <v>767</v>
      </c>
      <c r="B3" s="1601"/>
      <c r="C3" s="1601"/>
      <c r="D3" s="1601"/>
      <c r="E3" s="1601"/>
      <c r="F3" s="1601"/>
      <c r="G3" s="1601"/>
      <c r="H3" s="1601"/>
      <c r="I3" s="1601"/>
      <c r="J3" s="1601"/>
      <c r="K3" s="1601"/>
      <c r="L3" s="1601"/>
      <c r="M3" s="1601"/>
      <c r="N3" s="1601"/>
      <c r="O3" s="1601"/>
      <c r="P3" s="1601"/>
      <c r="Q3" s="1601"/>
    </row>
    <row r="4" spans="1:17">
      <c r="A4" s="525"/>
      <c r="B4" s="525"/>
      <c r="C4" s="526"/>
      <c r="D4" s="526"/>
      <c r="E4" s="526"/>
      <c r="F4" s="526"/>
      <c r="G4" s="526"/>
      <c r="H4" s="526"/>
      <c r="I4" s="526"/>
      <c r="J4" s="526"/>
      <c r="K4" s="525"/>
      <c r="L4" s="525"/>
      <c r="M4" s="525"/>
      <c r="N4" s="525" t="s">
        <v>20</v>
      </c>
      <c r="O4" s="525"/>
      <c r="P4" s="525"/>
      <c r="Q4" s="526"/>
    </row>
    <row r="5" spans="1:17" ht="67.5" customHeight="1">
      <c r="A5" s="1596" t="s">
        <v>0</v>
      </c>
      <c r="B5" s="1594" t="s">
        <v>171</v>
      </c>
      <c r="C5" s="1594" t="s">
        <v>204</v>
      </c>
      <c r="D5" s="1594" t="s">
        <v>205</v>
      </c>
      <c r="E5" s="1594" t="s">
        <v>152</v>
      </c>
      <c r="F5" s="1594" t="s">
        <v>159</v>
      </c>
      <c r="G5" s="1594" t="s">
        <v>208</v>
      </c>
      <c r="H5" s="1594" t="s">
        <v>207</v>
      </c>
      <c r="I5" s="1607" t="s">
        <v>209</v>
      </c>
      <c r="J5" s="1608"/>
      <c r="K5" s="1609"/>
      <c r="L5" s="1594" t="s">
        <v>210</v>
      </c>
      <c r="M5" s="1594" t="s">
        <v>211</v>
      </c>
      <c r="N5" s="1594" t="s">
        <v>39</v>
      </c>
      <c r="O5" s="1594" t="s">
        <v>86</v>
      </c>
      <c r="P5" s="1594" t="s">
        <v>87</v>
      </c>
      <c r="Q5" s="1594" t="s">
        <v>2</v>
      </c>
    </row>
    <row r="6" spans="1:17" ht="50" customHeight="1">
      <c r="A6" s="1597"/>
      <c r="B6" s="1595"/>
      <c r="C6" s="1595"/>
      <c r="D6" s="1595"/>
      <c r="E6" s="1595"/>
      <c r="F6" s="1595"/>
      <c r="G6" s="1595"/>
      <c r="H6" s="1595"/>
      <c r="I6" s="527" t="s">
        <v>160</v>
      </c>
      <c r="J6" s="527" t="s">
        <v>101</v>
      </c>
      <c r="K6" s="527" t="s">
        <v>158</v>
      </c>
      <c r="L6" s="1595"/>
      <c r="M6" s="1595"/>
      <c r="N6" s="1595"/>
      <c r="O6" s="1595"/>
      <c r="P6" s="1595"/>
      <c r="Q6" s="1595"/>
    </row>
    <row r="7" spans="1:17" s="532" customFormat="1" ht="30" customHeight="1">
      <c r="A7" s="528" t="s">
        <v>115</v>
      </c>
      <c r="B7" s="529" t="s">
        <v>116</v>
      </c>
      <c r="C7" s="529" t="s">
        <v>117</v>
      </c>
      <c r="D7" s="530" t="s">
        <v>118</v>
      </c>
      <c r="E7" s="530" t="s">
        <v>118</v>
      </c>
      <c r="F7" s="530" t="s">
        <v>119</v>
      </c>
      <c r="G7" s="530" t="s">
        <v>120</v>
      </c>
      <c r="H7" s="530" t="s">
        <v>596</v>
      </c>
      <c r="I7" s="530" t="s">
        <v>123</v>
      </c>
      <c r="J7" s="530" t="s">
        <v>125</v>
      </c>
      <c r="K7" s="530" t="s">
        <v>134</v>
      </c>
      <c r="L7" s="530" t="s">
        <v>126</v>
      </c>
      <c r="M7" s="530" t="s">
        <v>127</v>
      </c>
      <c r="N7" s="530" t="s">
        <v>128</v>
      </c>
      <c r="O7" s="531" t="s">
        <v>129</v>
      </c>
      <c r="P7" s="531" t="s">
        <v>130</v>
      </c>
      <c r="Q7" s="530" t="s">
        <v>206</v>
      </c>
    </row>
    <row r="8" spans="1:17" ht="25" customHeight="1">
      <c r="A8" s="533" t="s">
        <v>6</v>
      </c>
      <c r="B8" s="533" t="s">
        <v>294</v>
      </c>
      <c r="C8" s="534"/>
      <c r="D8" s="534"/>
      <c r="E8" s="534"/>
      <c r="F8" s="535"/>
      <c r="G8" s="534"/>
      <c r="H8" s="534"/>
      <c r="I8" s="534"/>
      <c r="J8" s="534"/>
      <c r="K8" s="533"/>
      <c r="L8" s="533"/>
      <c r="M8" s="533"/>
      <c r="N8" s="533"/>
      <c r="O8" s="533"/>
      <c r="P8" s="533"/>
      <c r="Q8" s="533"/>
    </row>
    <row r="9" spans="1:17" ht="25" customHeight="1">
      <c r="A9" s="536" t="s">
        <v>7</v>
      </c>
      <c r="B9" s="536" t="s">
        <v>591</v>
      </c>
      <c r="C9" s="537"/>
      <c r="D9" s="537"/>
      <c r="E9" s="537"/>
      <c r="F9" s="538"/>
      <c r="G9" s="537"/>
      <c r="H9" s="537"/>
      <c r="I9" s="537"/>
      <c r="J9" s="537"/>
      <c r="K9" s="536"/>
      <c r="L9" s="536"/>
      <c r="M9" s="536"/>
      <c r="N9" s="536"/>
      <c r="O9" s="536"/>
      <c r="P9" s="536"/>
      <c r="Q9" s="536"/>
    </row>
    <row r="10" spans="1:17" ht="25" customHeight="1">
      <c r="A10" s="536">
        <v>1</v>
      </c>
      <c r="B10" s="536" t="s">
        <v>4</v>
      </c>
      <c r="C10" s="537"/>
      <c r="D10" s="537"/>
      <c r="E10" s="537"/>
      <c r="F10" s="538"/>
      <c r="G10" s="537"/>
      <c r="H10" s="537"/>
      <c r="I10" s="537"/>
      <c r="J10" s="537"/>
      <c r="K10" s="536"/>
      <c r="L10" s="536"/>
      <c r="M10" s="536"/>
      <c r="N10" s="536"/>
      <c r="O10" s="536"/>
      <c r="P10" s="536"/>
      <c r="Q10" s="536"/>
    </row>
    <row r="11" spans="1:17" s="68" customFormat="1" ht="25" customHeight="1">
      <c r="A11" s="539" t="s">
        <v>147</v>
      </c>
      <c r="B11" s="540" t="s">
        <v>161</v>
      </c>
      <c r="C11" s="541"/>
      <c r="D11" s="541"/>
      <c r="E11" s="541"/>
      <c r="F11" s="669"/>
      <c r="G11" s="541"/>
      <c r="H11" s="541"/>
      <c r="I11" s="542"/>
      <c r="J11" s="542"/>
      <c r="K11" s="542"/>
      <c r="L11" s="542"/>
      <c r="M11" s="542"/>
      <c r="N11" s="542"/>
      <c r="O11" s="542"/>
      <c r="P11" s="542"/>
      <c r="Q11" s="543"/>
    </row>
    <row r="12" spans="1:17" s="68" customFormat="1" ht="25" customHeight="1">
      <c r="A12" s="571"/>
      <c r="B12" s="429" t="s">
        <v>293</v>
      </c>
      <c r="C12" s="599"/>
      <c r="D12" s="599"/>
      <c r="E12" s="599"/>
      <c r="F12" s="546"/>
      <c r="G12" s="599"/>
      <c r="H12" s="599"/>
      <c r="I12" s="624"/>
      <c r="J12" s="624"/>
      <c r="K12" s="624"/>
      <c r="L12" s="624"/>
      <c r="M12" s="624"/>
      <c r="N12" s="624"/>
      <c r="O12" s="624"/>
      <c r="P12" s="624"/>
      <c r="Q12" s="672"/>
    </row>
    <row r="13" spans="1:17" s="68" customFormat="1" ht="25" customHeight="1">
      <c r="A13" s="544" t="s">
        <v>226</v>
      </c>
      <c r="B13" s="545" t="s">
        <v>250</v>
      </c>
      <c r="C13" s="546">
        <v>2</v>
      </c>
      <c r="D13" s="547">
        <v>1</v>
      </c>
      <c r="E13" s="546">
        <v>1</v>
      </c>
      <c r="F13" s="272">
        <f>I13+J13+K13</f>
        <v>33</v>
      </c>
      <c r="G13" s="546">
        <v>40</v>
      </c>
      <c r="H13" s="669">
        <f>C13*E13*G13</f>
        <v>80</v>
      </c>
      <c r="I13" s="288">
        <f>IF(G13&lt;70, C13*E13*16.5*1, C13*E13*16.5*1.3)</f>
        <v>33</v>
      </c>
      <c r="J13" s="542"/>
      <c r="K13" s="542"/>
      <c r="L13" s="542"/>
      <c r="M13" s="542"/>
      <c r="N13" s="542"/>
      <c r="O13" s="542"/>
      <c r="P13" s="542"/>
      <c r="Q13" s="543"/>
    </row>
    <row r="14" spans="1:17" s="68" customFormat="1" ht="25" customHeight="1">
      <c r="A14" s="544" t="s">
        <v>227</v>
      </c>
      <c r="B14" s="545" t="s">
        <v>265</v>
      </c>
      <c r="C14" s="546">
        <v>3</v>
      </c>
      <c r="D14" s="546">
        <v>1</v>
      </c>
      <c r="E14" s="546">
        <v>6</v>
      </c>
      <c r="F14" s="272">
        <f>I14+J53+K53</f>
        <v>297</v>
      </c>
      <c r="G14" s="546">
        <v>50</v>
      </c>
      <c r="H14" s="669">
        <f>C14*E14*G14</f>
        <v>900</v>
      </c>
      <c r="I14" s="288">
        <f>IF(G14&lt;70, C14*E14*16.5*1, C14*E14*16.5*1.3)</f>
        <v>297</v>
      </c>
      <c r="J14" s="542"/>
      <c r="K14" s="542"/>
      <c r="L14" s="542"/>
      <c r="M14" s="542"/>
      <c r="N14" s="542"/>
      <c r="O14" s="542"/>
      <c r="P14" s="542"/>
      <c r="Q14" s="539" t="s">
        <v>698</v>
      </c>
    </row>
    <row r="15" spans="1:17" s="68" customFormat="1" ht="25" customHeight="1">
      <c r="A15" s="544" t="s">
        <v>228</v>
      </c>
      <c r="B15" s="545" t="s">
        <v>251</v>
      </c>
      <c r="C15" s="546">
        <v>2</v>
      </c>
      <c r="D15" s="546">
        <v>1</v>
      </c>
      <c r="E15" s="546">
        <v>2</v>
      </c>
      <c r="F15" s="272">
        <f>I15+J15+K15</f>
        <v>85.8</v>
      </c>
      <c r="G15" s="546">
        <v>80</v>
      </c>
      <c r="H15" s="669">
        <f>C15*E15*G15</f>
        <v>320</v>
      </c>
      <c r="I15" s="288">
        <f>IF(G15&lt;70, C15*E15*16.5*1, C15*E15*16.5*1.3)</f>
        <v>85.8</v>
      </c>
      <c r="J15" s="542"/>
      <c r="K15" s="542"/>
      <c r="L15" s="542"/>
      <c r="M15" s="542"/>
      <c r="N15" s="542"/>
      <c r="O15" s="542"/>
      <c r="P15" s="542"/>
      <c r="Q15" s="543"/>
    </row>
    <row r="16" spans="1:17" s="68" customFormat="1" ht="25" customHeight="1">
      <c r="A16" s="544" t="s">
        <v>229</v>
      </c>
      <c r="B16" s="545" t="s">
        <v>636</v>
      </c>
      <c r="C16" s="546">
        <v>2</v>
      </c>
      <c r="D16" s="546">
        <v>1</v>
      </c>
      <c r="E16" s="546">
        <v>3</v>
      </c>
      <c r="F16" s="272">
        <f>I16+J16+K16</f>
        <v>128.70000000000002</v>
      </c>
      <c r="G16" s="546">
        <v>70</v>
      </c>
      <c r="H16" s="669">
        <f>C16*E16*G16</f>
        <v>420</v>
      </c>
      <c r="I16" s="288">
        <f>IF(G16&lt;70, C16*E16*16.5*1, C16*E16*16.5*1.3)</f>
        <v>128.70000000000002</v>
      </c>
      <c r="J16" s="542"/>
      <c r="K16" s="542"/>
      <c r="L16" s="542"/>
      <c r="M16" s="542"/>
      <c r="N16" s="542"/>
      <c r="O16" s="542"/>
      <c r="P16" s="542"/>
      <c r="Q16" s="543"/>
    </row>
    <row r="17" spans="1:17" s="68" customFormat="1" ht="25" customHeight="1">
      <c r="A17" s="544" t="s">
        <v>230</v>
      </c>
      <c r="B17" s="548" t="s">
        <v>637</v>
      </c>
      <c r="C17" s="546">
        <v>2</v>
      </c>
      <c r="D17" s="546">
        <v>1</v>
      </c>
      <c r="E17" s="546">
        <v>3</v>
      </c>
      <c r="F17" s="272">
        <f>I17+J17+K17</f>
        <v>128.70000000000002</v>
      </c>
      <c r="G17" s="546">
        <v>70</v>
      </c>
      <c r="H17" s="669">
        <f>C17*E17*G17</f>
        <v>420</v>
      </c>
      <c r="I17" s="288">
        <f>IF(G17&lt;70, C17*E17*16.5*1, C17*E17*16.5*1.3)</f>
        <v>128.70000000000002</v>
      </c>
      <c r="J17" s="542"/>
      <c r="K17" s="542"/>
      <c r="L17" s="542"/>
      <c r="M17" s="542"/>
      <c r="N17" s="542"/>
      <c r="O17" s="542"/>
      <c r="P17" s="542"/>
      <c r="Q17" s="543"/>
    </row>
    <row r="18" spans="1:17" s="68" customFormat="1" ht="25" customHeight="1">
      <c r="A18" s="544"/>
      <c r="B18" s="673" t="s">
        <v>662</v>
      </c>
      <c r="C18" s="546"/>
      <c r="D18" s="546"/>
      <c r="E18" s="546"/>
      <c r="F18" s="551"/>
      <c r="G18" s="546"/>
      <c r="H18" s="546"/>
      <c r="I18" s="549"/>
      <c r="J18" s="624"/>
      <c r="K18" s="624"/>
      <c r="L18" s="624"/>
      <c r="M18" s="624"/>
      <c r="N18" s="624"/>
      <c r="O18" s="624"/>
      <c r="P18" s="624"/>
      <c r="Q18" s="672"/>
    </row>
    <row r="19" spans="1:17" s="68" customFormat="1" ht="25" customHeight="1">
      <c r="A19" s="544"/>
      <c r="B19" s="551" t="s">
        <v>649</v>
      </c>
      <c r="C19" s="546">
        <v>2</v>
      </c>
      <c r="D19" s="546">
        <v>1</v>
      </c>
      <c r="E19" s="546">
        <v>5</v>
      </c>
      <c r="F19" s="272">
        <f>I19+J57+K57</f>
        <v>165</v>
      </c>
      <c r="G19" s="546">
        <v>50</v>
      </c>
      <c r="H19" s="669">
        <f>C19*E19*G19</f>
        <v>500</v>
      </c>
      <c r="I19" s="288">
        <f>IF(G19&lt;70, C19*E19*16.5*1, C19*E19*16.5*1.3)</f>
        <v>165</v>
      </c>
      <c r="J19" s="624"/>
      <c r="K19" s="624"/>
      <c r="L19" s="624"/>
      <c r="M19" s="624"/>
      <c r="N19" s="624"/>
      <c r="O19" s="624"/>
      <c r="P19" s="624"/>
      <c r="Q19" s="672"/>
    </row>
    <row r="20" spans="1:17" s="68" customFormat="1" ht="25" customHeight="1">
      <c r="A20" s="544" t="s">
        <v>231</v>
      </c>
      <c r="B20" s="545" t="s">
        <v>644</v>
      </c>
      <c r="C20" s="546">
        <v>4</v>
      </c>
      <c r="D20" s="546">
        <v>1</v>
      </c>
      <c r="E20" s="546">
        <v>2</v>
      </c>
      <c r="F20" s="272">
        <f>I20+J47+K47</f>
        <v>171.6</v>
      </c>
      <c r="G20" s="546">
        <v>70</v>
      </c>
      <c r="H20" s="669">
        <f>C20*E20*G20</f>
        <v>560</v>
      </c>
      <c r="I20" s="288">
        <f>IF(G20&lt;70, C20*E20*16.5*1, C20*E20*16.5*1.3)</f>
        <v>171.6</v>
      </c>
      <c r="J20" s="542"/>
      <c r="K20" s="542"/>
      <c r="L20" s="542"/>
      <c r="M20" s="542"/>
      <c r="N20" s="542"/>
      <c r="O20" s="542"/>
      <c r="P20" s="542"/>
      <c r="Q20" s="543"/>
    </row>
    <row r="21" spans="1:17" s="68" customFormat="1" ht="25" customHeight="1">
      <c r="A21" s="544" t="s">
        <v>282</v>
      </c>
      <c r="B21" s="545" t="s">
        <v>249</v>
      </c>
      <c r="C21" s="549">
        <v>2</v>
      </c>
      <c r="D21" s="547">
        <v>1</v>
      </c>
      <c r="E21" s="549">
        <v>1</v>
      </c>
      <c r="F21" s="272">
        <f>I21+J21+K21</f>
        <v>33</v>
      </c>
      <c r="G21" s="549">
        <v>40</v>
      </c>
      <c r="H21" s="669">
        <f>C21*E21*G21</f>
        <v>80</v>
      </c>
      <c r="I21" s="288">
        <f>IF(G21&lt;70, C21*E21*16.5*1, C21*E21*16.5*1.3)</f>
        <v>33</v>
      </c>
      <c r="J21" s="542"/>
      <c r="K21" s="542"/>
      <c r="L21" s="542"/>
      <c r="M21" s="542"/>
      <c r="N21" s="542"/>
      <c r="O21" s="542"/>
      <c r="P21" s="542"/>
      <c r="Q21" s="543"/>
    </row>
    <row r="22" spans="1:17" s="68" customFormat="1" ht="25" customHeight="1">
      <c r="A22" s="544"/>
      <c r="B22" s="557" t="s">
        <v>653</v>
      </c>
      <c r="C22" s="546">
        <v>5</v>
      </c>
      <c r="D22" s="546">
        <v>1</v>
      </c>
      <c r="E22" s="546">
        <v>4</v>
      </c>
      <c r="F22" s="272">
        <f>I22+J22+K22</f>
        <v>429</v>
      </c>
      <c r="G22" s="546">
        <v>70</v>
      </c>
      <c r="H22" s="669">
        <f>C22*E22*G22</f>
        <v>1400</v>
      </c>
      <c r="I22" s="288">
        <f>IF(G22&lt;70, C22*E22*16.5*1, C22*E22*16.5*1.3)</f>
        <v>429</v>
      </c>
      <c r="J22" s="624"/>
      <c r="K22" s="624"/>
      <c r="L22" s="624"/>
      <c r="M22" s="624"/>
      <c r="N22" s="624"/>
      <c r="O22" s="624"/>
      <c r="P22" s="624"/>
      <c r="Q22" s="672"/>
    </row>
    <row r="23" spans="1:17" s="68" customFormat="1" ht="25" customHeight="1">
      <c r="A23" s="544" t="s">
        <v>283</v>
      </c>
      <c r="B23" s="674" t="s">
        <v>715</v>
      </c>
      <c r="C23" s="549"/>
      <c r="D23" s="547"/>
      <c r="E23" s="549"/>
      <c r="F23" s="551"/>
      <c r="G23" s="549"/>
      <c r="H23" s="546"/>
      <c r="I23" s="549"/>
      <c r="J23" s="542"/>
      <c r="K23" s="542"/>
      <c r="L23" s="542"/>
      <c r="M23" s="542"/>
      <c r="N23" s="542"/>
      <c r="O23" s="542"/>
      <c r="P23" s="542"/>
      <c r="Q23" s="543"/>
    </row>
    <row r="24" spans="1:17" s="68" customFormat="1" ht="25" customHeight="1">
      <c r="A24" s="544"/>
      <c r="B24" s="548" t="s">
        <v>638</v>
      </c>
      <c r="C24" s="546">
        <v>2</v>
      </c>
      <c r="D24" s="546">
        <v>1</v>
      </c>
      <c r="E24" s="546">
        <v>2</v>
      </c>
      <c r="F24" s="272">
        <f>I24+J23+K23</f>
        <v>85.8</v>
      </c>
      <c r="G24" s="546">
        <v>80</v>
      </c>
      <c r="H24" s="669">
        <f>C24*E24*G24</f>
        <v>320</v>
      </c>
      <c r="I24" s="288">
        <f>IF(G24&lt;70, C24*E24*16.5*1, C24*E24*16.5*1.3)</f>
        <v>85.8</v>
      </c>
      <c r="J24" s="624"/>
      <c r="K24" s="624"/>
      <c r="L24" s="624"/>
      <c r="M24" s="624"/>
      <c r="N24" s="624"/>
      <c r="O24" s="624"/>
      <c r="P24" s="624"/>
      <c r="Q24" s="672"/>
    </row>
    <row r="25" spans="1:17" s="68" customFormat="1" ht="25" customHeight="1">
      <c r="A25" s="544"/>
      <c r="B25" s="550" t="s">
        <v>641</v>
      </c>
      <c r="C25" s="546">
        <v>3</v>
      </c>
      <c r="D25" s="546">
        <v>1</v>
      </c>
      <c r="E25" s="546">
        <v>4</v>
      </c>
      <c r="F25" s="272">
        <f>I25+J40+K40</f>
        <v>257.40000000000003</v>
      </c>
      <c r="G25" s="546">
        <v>70</v>
      </c>
      <c r="H25" s="669">
        <f>C25*E25*G25</f>
        <v>840</v>
      </c>
      <c r="I25" s="288">
        <f>IF(G25&lt;70, C25*E25*16.5*1, C25*E25*16.5*1.3)</f>
        <v>257.40000000000003</v>
      </c>
      <c r="J25" s="624"/>
      <c r="K25" s="624"/>
      <c r="L25" s="624"/>
      <c r="M25" s="624"/>
      <c r="N25" s="624"/>
      <c r="O25" s="624"/>
      <c r="P25" s="624"/>
      <c r="Q25" s="672"/>
    </row>
    <row r="26" spans="1:17" s="68" customFormat="1" ht="25" customHeight="1">
      <c r="A26" s="544" t="s">
        <v>284</v>
      </c>
      <c r="B26" s="545" t="s">
        <v>639</v>
      </c>
      <c r="C26" s="546">
        <v>1</v>
      </c>
      <c r="D26" s="546">
        <v>1.4</v>
      </c>
      <c r="E26" s="546">
        <v>6</v>
      </c>
      <c r="F26" s="272">
        <f t="shared" ref="F26:F31" si="0">I26+J26+K26</f>
        <v>99</v>
      </c>
      <c r="G26" s="546">
        <v>20</v>
      </c>
      <c r="H26" s="669">
        <f>C26*E26*G26</f>
        <v>120</v>
      </c>
      <c r="I26" s="288">
        <f>IF(G26&lt;70, C26*E26*16.5*1, C26*E26*16.5*1.3)</f>
        <v>99</v>
      </c>
      <c r="J26" s="542"/>
      <c r="K26" s="542"/>
      <c r="L26" s="542"/>
      <c r="M26" s="542"/>
      <c r="N26" s="542"/>
      <c r="O26" s="542"/>
      <c r="P26" s="542"/>
      <c r="Q26" s="543"/>
    </row>
    <row r="27" spans="1:17" s="68" customFormat="1" ht="25" customHeight="1">
      <c r="A27" s="544"/>
      <c r="B27" s="407" t="s">
        <v>661</v>
      </c>
      <c r="C27" s="546"/>
      <c r="D27" s="546"/>
      <c r="E27" s="546"/>
      <c r="F27" s="272">
        <f t="shared" si="0"/>
        <v>0</v>
      </c>
      <c r="G27" s="546"/>
      <c r="H27" s="546"/>
      <c r="I27" s="549"/>
      <c r="J27" s="624"/>
      <c r="K27" s="624"/>
      <c r="L27" s="624"/>
      <c r="M27" s="624"/>
      <c r="N27" s="624"/>
      <c r="O27" s="624"/>
      <c r="P27" s="624"/>
      <c r="Q27" s="672"/>
    </row>
    <row r="28" spans="1:17" s="68" customFormat="1" ht="25" customHeight="1">
      <c r="A28" s="544" t="s">
        <v>285</v>
      </c>
      <c r="B28" s="558" t="s">
        <v>258</v>
      </c>
      <c r="C28" s="556">
        <v>2</v>
      </c>
      <c r="D28" s="546">
        <v>1</v>
      </c>
      <c r="E28" s="546">
        <v>2</v>
      </c>
      <c r="F28" s="272">
        <f t="shared" si="0"/>
        <v>85.8</v>
      </c>
      <c r="G28" s="546">
        <v>70</v>
      </c>
      <c r="H28" s="669">
        <f t="shared" ref="H28:H33" si="1">C28*E28*G28</f>
        <v>280</v>
      </c>
      <c r="I28" s="288">
        <f t="shared" ref="I28:I33" si="2">IF(G28&lt;70, C28*E28*16.5*1, C28*E28*16.5*1.3)</f>
        <v>85.8</v>
      </c>
      <c r="J28" s="289"/>
      <c r="K28" s="289"/>
      <c r="L28" s="289"/>
      <c r="M28" s="289"/>
      <c r="N28" s="289"/>
      <c r="O28" s="289"/>
      <c r="P28" s="289"/>
      <c r="Q28" s="272"/>
    </row>
    <row r="29" spans="1:17" s="68" customFormat="1" ht="25" customHeight="1">
      <c r="A29" s="544" t="s">
        <v>286</v>
      </c>
      <c r="B29" s="558" t="s">
        <v>257</v>
      </c>
      <c r="C29" s="556">
        <v>2</v>
      </c>
      <c r="D29" s="546">
        <v>1</v>
      </c>
      <c r="E29" s="546">
        <v>2</v>
      </c>
      <c r="F29" s="272">
        <f t="shared" si="0"/>
        <v>85.8</v>
      </c>
      <c r="G29" s="546">
        <v>70</v>
      </c>
      <c r="H29" s="669">
        <f t="shared" si="1"/>
        <v>280</v>
      </c>
      <c r="I29" s="288">
        <f t="shared" si="2"/>
        <v>85.8</v>
      </c>
      <c r="J29" s="289"/>
      <c r="K29" s="289"/>
      <c r="L29" s="289"/>
      <c r="M29" s="289"/>
      <c r="N29" s="289"/>
      <c r="O29" s="289"/>
      <c r="P29" s="289"/>
      <c r="Q29" s="272"/>
    </row>
    <row r="30" spans="1:17" s="68" customFormat="1" ht="25" customHeight="1">
      <c r="A30" s="544" t="s">
        <v>289</v>
      </c>
      <c r="B30" s="559" t="s">
        <v>658</v>
      </c>
      <c r="C30" s="556">
        <v>1</v>
      </c>
      <c r="D30" s="546">
        <v>1.4</v>
      </c>
      <c r="E30" s="546">
        <v>14</v>
      </c>
      <c r="F30" s="272">
        <f t="shared" si="0"/>
        <v>231</v>
      </c>
      <c r="G30" s="546">
        <v>20</v>
      </c>
      <c r="H30" s="669">
        <f t="shared" si="1"/>
        <v>280</v>
      </c>
      <c r="I30" s="288">
        <f t="shared" si="2"/>
        <v>231</v>
      </c>
      <c r="J30" s="289"/>
      <c r="K30" s="289"/>
      <c r="L30" s="289"/>
      <c r="M30" s="289"/>
      <c r="N30" s="289"/>
      <c r="O30" s="289"/>
      <c r="P30" s="289"/>
      <c r="Q30" s="272"/>
    </row>
    <row r="31" spans="1:17" s="68" customFormat="1" ht="25" customHeight="1">
      <c r="A31" s="544"/>
      <c r="B31" s="545" t="s">
        <v>640</v>
      </c>
      <c r="C31" s="546">
        <v>3</v>
      </c>
      <c r="D31" s="546">
        <v>1</v>
      </c>
      <c r="E31" s="546">
        <v>2</v>
      </c>
      <c r="F31" s="272">
        <f t="shared" si="0"/>
        <v>128.70000000000002</v>
      </c>
      <c r="G31" s="546">
        <v>80</v>
      </c>
      <c r="H31" s="669">
        <f t="shared" si="1"/>
        <v>480</v>
      </c>
      <c r="I31" s="288">
        <f t="shared" si="2"/>
        <v>128.70000000000002</v>
      </c>
      <c r="J31" s="479"/>
      <c r="K31" s="479"/>
      <c r="L31" s="479"/>
      <c r="M31" s="479"/>
      <c r="N31" s="479"/>
      <c r="O31" s="479"/>
      <c r="P31" s="479"/>
      <c r="Q31" s="551"/>
    </row>
    <row r="32" spans="1:17" s="68" customFormat="1" ht="25" customHeight="1">
      <c r="A32" s="544"/>
      <c r="B32" s="545" t="s">
        <v>252</v>
      </c>
      <c r="C32" s="546">
        <v>2</v>
      </c>
      <c r="D32" s="546">
        <v>1</v>
      </c>
      <c r="E32" s="546">
        <v>1</v>
      </c>
      <c r="F32" s="272">
        <f>I32+J29+K29</f>
        <v>33</v>
      </c>
      <c r="G32" s="546">
        <v>40</v>
      </c>
      <c r="H32" s="669">
        <f t="shared" si="1"/>
        <v>80</v>
      </c>
      <c r="I32" s="288">
        <f t="shared" si="2"/>
        <v>33</v>
      </c>
      <c r="J32" s="479"/>
      <c r="K32" s="479"/>
      <c r="L32" s="479"/>
      <c r="M32" s="479"/>
      <c r="N32" s="479"/>
      <c r="O32" s="479"/>
      <c r="P32" s="479"/>
      <c r="Q32" s="551"/>
    </row>
    <row r="33" spans="1:17" s="68" customFormat="1" ht="25" customHeight="1">
      <c r="A33" s="544"/>
      <c r="B33" s="545" t="s">
        <v>266</v>
      </c>
      <c r="C33" s="546">
        <v>3</v>
      </c>
      <c r="D33" s="546">
        <v>1</v>
      </c>
      <c r="E33" s="546">
        <v>2</v>
      </c>
      <c r="F33" s="272">
        <f>I33+J54+K54</f>
        <v>128.70000000000002</v>
      </c>
      <c r="G33" s="546">
        <v>70</v>
      </c>
      <c r="H33" s="669">
        <f t="shared" si="1"/>
        <v>420</v>
      </c>
      <c r="I33" s="288">
        <f t="shared" si="2"/>
        <v>128.70000000000002</v>
      </c>
      <c r="J33" s="479"/>
      <c r="K33" s="479"/>
      <c r="L33" s="479"/>
      <c r="M33" s="479"/>
      <c r="N33" s="479"/>
      <c r="O33" s="479"/>
      <c r="P33" s="479"/>
      <c r="Q33" s="551"/>
    </row>
    <row r="34" spans="1:17" s="68" customFormat="1" ht="25" customHeight="1">
      <c r="A34" s="544" t="s">
        <v>290</v>
      </c>
      <c r="B34" s="545" t="s">
        <v>254</v>
      </c>
      <c r="C34" s="546">
        <v>4</v>
      </c>
      <c r="D34" s="546">
        <v>1.4</v>
      </c>
      <c r="E34" s="546">
        <v>6</v>
      </c>
      <c r="F34" s="272">
        <f>I34+J34+K34</f>
        <v>396</v>
      </c>
      <c r="G34" s="546">
        <v>20</v>
      </c>
      <c r="H34" s="669">
        <f>C34*E34*G34</f>
        <v>480</v>
      </c>
      <c r="I34" s="288">
        <f>IF(G34&lt;70, C34*E34*16.5*1, C34*E34*16.5*1.3)</f>
        <v>396</v>
      </c>
      <c r="J34" s="289"/>
      <c r="K34" s="289"/>
      <c r="L34" s="289"/>
      <c r="M34" s="289"/>
      <c r="N34" s="289"/>
      <c r="O34" s="289"/>
      <c r="P34" s="289"/>
      <c r="Q34" s="272"/>
    </row>
    <row r="35" spans="1:17" s="68" customFormat="1" ht="25" customHeight="1">
      <c r="A35" s="544" t="s">
        <v>291</v>
      </c>
      <c r="B35" s="545" t="s">
        <v>255</v>
      </c>
      <c r="C35" s="546">
        <v>3</v>
      </c>
      <c r="D35" s="546">
        <v>1.3</v>
      </c>
      <c r="E35" s="546">
        <v>6</v>
      </c>
      <c r="F35" s="272">
        <f>I35+J35+K35</f>
        <v>297</v>
      </c>
      <c r="G35" s="546">
        <v>20</v>
      </c>
      <c r="H35" s="669">
        <f>C35*E35*G35</f>
        <v>360</v>
      </c>
      <c r="I35" s="288">
        <f>IF(G35&lt;70, C35*E35*16.5*1, C35*E35*16.5*1.3)</f>
        <v>297</v>
      </c>
      <c r="J35" s="289"/>
      <c r="K35" s="289"/>
      <c r="L35" s="289"/>
      <c r="M35" s="289"/>
      <c r="N35" s="289"/>
      <c r="O35" s="289"/>
      <c r="P35" s="289"/>
      <c r="Q35" s="272"/>
    </row>
    <row r="36" spans="1:17" s="68" customFormat="1" ht="25" customHeight="1">
      <c r="A36" s="544"/>
      <c r="B36" s="675" t="s">
        <v>716</v>
      </c>
      <c r="C36" s="546"/>
      <c r="D36" s="546"/>
      <c r="E36" s="546"/>
      <c r="F36" s="551"/>
      <c r="G36" s="546"/>
      <c r="H36" s="546"/>
      <c r="I36" s="549"/>
      <c r="J36" s="479"/>
      <c r="K36" s="479"/>
      <c r="L36" s="479"/>
      <c r="M36" s="479"/>
      <c r="N36" s="479"/>
      <c r="O36" s="479"/>
      <c r="P36" s="479"/>
      <c r="Q36" s="551"/>
    </row>
    <row r="37" spans="1:17" s="68" customFormat="1" ht="25" customHeight="1">
      <c r="A37" s="544" t="s">
        <v>292</v>
      </c>
      <c r="B37" s="545" t="s">
        <v>256</v>
      </c>
      <c r="C37" s="546">
        <v>3</v>
      </c>
      <c r="D37" s="546">
        <v>1</v>
      </c>
      <c r="E37" s="546">
        <v>2</v>
      </c>
      <c r="F37" s="272">
        <f>I37+J37+K37</f>
        <v>128.70000000000002</v>
      </c>
      <c r="G37" s="546">
        <v>70</v>
      </c>
      <c r="H37" s="669">
        <f>C37*E37*G37</f>
        <v>420</v>
      </c>
      <c r="I37" s="288">
        <f>IF(G37&lt;70, C37*E37*16.5*1, C37*E37*16.5*1.3)</f>
        <v>128.70000000000002</v>
      </c>
      <c r="J37" s="289"/>
      <c r="K37" s="289"/>
      <c r="L37" s="289"/>
      <c r="M37" s="289"/>
      <c r="N37" s="289"/>
      <c r="O37" s="289"/>
      <c r="P37" s="289"/>
      <c r="Q37" s="272"/>
    </row>
    <row r="38" spans="1:17" s="68" customFormat="1" ht="25" customHeight="1">
      <c r="A38" s="544"/>
      <c r="B38" s="545" t="s">
        <v>645</v>
      </c>
      <c r="C38" s="546">
        <v>2</v>
      </c>
      <c r="D38" s="546">
        <v>1.08</v>
      </c>
      <c r="E38" s="546">
        <v>4</v>
      </c>
      <c r="F38" s="272">
        <f>I38+J48+K48</f>
        <v>132</v>
      </c>
      <c r="G38" s="546">
        <v>50</v>
      </c>
      <c r="H38" s="669">
        <f>C38*E38*G38</f>
        <v>400</v>
      </c>
      <c r="I38" s="288">
        <f>IF(G38&lt;70, C38*E38*16.5*1, C38*E38*16.5*1.3)</f>
        <v>132</v>
      </c>
      <c r="J38" s="479"/>
      <c r="K38" s="479"/>
      <c r="L38" s="479"/>
      <c r="M38" s="479"/>
      <c r="N38" s="479"/>
      <c r="O38" s="479"/>
      <c r="P38" s="479"/>
      <c r="Q38" s="551"/>
    </row>
    <row r="39" spans="1:17" s="68" customFormat="1" ht="25" customHeight="1">
      <c r="A39" s="544"/>
      <c r="B39" s="674" t="s">
        <v>714</v>
      </c>
      <c r="C39" s="546"/>
      <c r="D39" s="546"/>
      <c r="E39" s="546"/>
      <c r="F39" s="551"/>
      <c r="G39" s="546"/>
      <c r="H39" s="546"/>
      <c r="I39" s="549"/>
      <c r="J39" s="479"/>
      <c r="K39" s="479"/>
      <c r="L39" s="479"/>
      <c r="M39" s="479"/>
      <c r="N39" s="479"/>
      <c r="O39" s="479"/>
      <c r="P39" s="479"/>
      <c r="Q39" s="551"/>
    </row>
    <row r="40" spans="1:17" s="68" customFormat="1" ht="25" customHeight="1">
      <c r="A40" s="544" t="s">
        <v>394</v>
      </c>
      <c r="B40" s="545" t="s">
        <v>259</v>
      </c>
      <c r="C40" s="546">
        <v>5</v>
      </c>
      <c r="D40" s="546">
        <v>1</v>
      </c>
      <c r="E40" s="546">
        <v>4</v>
      </c>
      <c r="F40" s="272">
        <f>I40+J20+K20</f>
        <v>429</v>
      </c>
      <c r="G40" s="546">
        <v>70</v>
      </c>
      <c r="H40" s="669">
        <f>C40*E40*G40</f>
        <v>1400</v>
      </c>
      <c r="I40" s="288">
        <f>IF(G40&lt;70, C40*E40*16.5*1, C40*E40*16.5*1.3)</f>
        <v>429</v>
      </c>
      <c r="J40" s="289"/>
      <c r="K40" s="289"/>
      <c r="L40" s="289"/>
      <c r="M40" s="289"/>
      <c r="N40" s="289"/>
      <c r="O40" s="289"/>
      <c r="P40" s="289"/>
      <c r="Q40" s="272"/>
    </row>
    <row r="41" spans="1:17" s="68" customFormat="1" ht="25" customHeight="1">
      <c r="A41" s="544"/>
      <c r="B41" s="545" t="s">
        <v>267</v>
      </c>
      <c r="C41" s="546">
        <v>2</v>
      </c>
      <c r="D41" s="546">
        <v>1</v>
      </c>
      <c r="E41" s="546">
        <v>1</v>
      </c>
      <c r="F41" s="272">
        <f>I41+J55+K55</f>
        <v>33</v>
      </c>
      <c r="G41" s="546">
        <v>50</v>
      </c>
      <c r="H41" s="669">
        <f>C41*E41*G41</f>
        <v>100</v>
      </c>
      <c r="I41" s="288">
        <f>IF(G41&lt;70, C41*E41*16.5*1, C41*E41*16.5*1.3)</f>
        <v>33</v>
      </c>
      <c r="J41" s="479"/>
      <c r="K41" s="479"/>
      <c r="L41" s="479"/>
      <c r="M41" s="479"/>
      <c r="N41" s="479"/>
      <c r="O41" s="479"/>
      <c r="P41" s="479"/>
      <c r="Q41" s="551"/>
    </row>
    <row r="42" spans="1:17" s="68" customFormat="1" ht="25" customHeight="1">
      <c r="A42" s="544"/>
      <c r="B42" s="545" t="s">
        <v>268</v>
      </c>
      <c r="C42" s="546">
        <v>2</v>
      </c>
      <c r="D42" s="546">
        <v>1</v>
      </c>
      <c r="E42" s="546">
        <v>1</v>
      </c>
      <c r="F42" s="272">
        <f>I42+J56+K56</f>
        <v>33</v>
      </c>
      <c r="G42" s="546">
        <v>50</v>
      </c>
      <c r="H42" s="669">
        <f>C42*E42*G42</f>
        <v>100</v>
      </c>
      <c r="I42" s="288">
        <f>IF(G42&lt;70, C42*E42*16.5*1, C42*E42*16.5*1.3)</f>
        <v>33</v>
      </c>
      <c r="J42" s="479"/>
      <c r="K42" s="479"/>
      <c r="L42" s="479"/>
      <c r="M42" s="479"/>
      <c r="N42" s="479"/>
      <c r="O42" s="479"/>
      <c r="P42" s="479"/>
      <c r="Q42" s="551"/>
    </row>
    <row r="43" spans="1:17" s="68" customFormat="1" ht="25" customHeight="1">
      <c r="A43" s="544" t="s">
        <v>395</v>
      </c>
      <c r="B43" s="545" t="s">
        <v>642</v>
      </c>
      <c r="C43" s="546">
        <v>5</v>
      </c>
      <c r="D43" s="546">
        <v>1.4</v>
      </c>
      <c r="E43" s="546">
        <v>6</v>
      </c>
      <c r="F43" s="272">
        <f>I43+J43+K43</f>
        <v>495</v>
      </c>
      <c r="G43" s="546">
        <v>20</v>
      </c>
      <c r="H43" s="669">
        <f>C43*E43*G43</f>
        <v>600</v>
      </c>
      <c r="I43" s="288">
        <f>IF(G43&lt;70, C43*E43*16.5*1, C43*E43*16.5*1.3)</f>
        <v>495</v>
      </c>
      <c r="J43" s="289"/>
      <c r="K43" s="289"/>
      <c r="L43" s="289"/>
      <c r="M43" s="289"/>
      <c r="N43" s="289"/>
      <c r="O43" s="289"/>
      <c r="P43" s="289"/>
      <c r="Q43" s="272"/>
    </row>
    <row r="44" spans="1:17" s="68" customFormat="1" ht="25" customHeight="1">
      <c r="A44" s="544"/>
      <c r="B44" s="545" t="s">
        <v>253</v>
      </c>
      <c r="C44" s="546">
        <v>2</v>
      </c>
      <c r="D44" s="546">
        <v>1</v>
      </c>
      <c r="E44" s="546">
        <v>1</v>
      </c>
      <c r="F44" s="272">
        <f>I44+J30+K30</f>
        <v>33</v>
      </c>
      <c r="G44" s="546">
        <v>40</v>
      </c>
      <c r="H44" s="669">
        <f>C44*E44*G44</f>
        <v>80</v>
      </c>
      <c r="I44" s="288">
        <f>IF(G44&lt;70, C44*E44*16.5*1, C44*E44*16.5*1.3)</f>
        <v>33</v>
      </c>
      <c r="J44" s="479"/>
      <c r="K44" s="479"/>
      <c r="L44" s="479"/>
      <c r="M44" s="479"/>
      <c r="N44" s="479"/>
      <c r="O44" s="479"/>
      <c r="P44" s="479"/>
      <c r="Q44" s="551"/>
    </row>
    <row r="45" spans="1:17" s="68" customFormat="1" ht="25" customHeight="1">
      <c r="A45" s="544"/>
      <c r="B45" s="675" t="s">
        <v>717</v>
      </c>
      <c r="C45" s="546"/>
      <c r="D45" s="546"/>
      <c r="E45" s="546"/>
      <c r="F45" s="551"/>
      <c r="G45" s="546"/>
      <c r="H45" s="546"/>
      <c r="I45" s="549"/>
      <c r="J45" s="479"/>
      <c r="K45" s="479"/>
      <c r="L45" s="479"/>
      <c r="M45" s="479"/>
      <c r="N45" s="479"/>
      <c r="O45" s="479"/>
      <c r="P45" s="479"/>
      <c r="Q45" s="551"/>
    </row>
    <row r="46" spans="1:17" s="68" customFormat="1" ht="25" customHeight="1">
      <c r="A46" s="544" t="s">
        <v>397</v>
      </c>
      <c r="B46" s="545" t="s">
        <v>643</v>
      </c>
      <c r="C46" s="546">
        <v>2</v>
      </c>
      <c r="D46" s="546">
        <v>1</v>
      </c>
      <c r="E46" s="546">
        <v>2</v>
      </c>
      <c r="F46" s="272">
        <f>I46+J46+K46</f>
        <v>66</v>
      </c>
      <c r="G46" s="546">
        <v>65</v>
      </c>
      <c r="H46" s="669">
        <f t="shared" ref="H46:H51" si="3">C46*E46*G46</f>
        <v>260</v>
      </c>
      <c r="I46" s="288">
        <f t="shared" ref="I46:I51" si="4">IF(G46&lt;70, C46*E46*16.5*1, C46*E46*16.5*1.3)</f>
        <v>66</v>
      </c>
      <c r="J46" s="289"/>
      <c r="K46" s="289"/>
      <c r="L46" s="289"/>
      <c r="M46" s="289"/>
      <c r="N46" s="289"/>
      <c r="O46" s="289"/>
      <c r="P46" s="289"/>
      <c r="Q46" s="272"/>
    </row>
    <row r="47" spans="1:17" s="68" customFormat="1" ht="25" customHeight="1">
      <c r="A47" s="544" t="s">
        <v>398</v>
      </c>
      <c r="B47" s="545" t="s">
        <v>642</v>
      </c>
      <c r="C47" s="546">
        <v>2</v>
      </c>
      <c r="D47" s="546">
        <v>1.4</v>
      </c>
      <c r="E47" s="546">
        <v>6</v>
      </c>
      <c r="F47" s="272">
        <f>I47+J47+K47</f>
        <v>198</v>
      </c>
      <c r="G47" s="546">
        <v>20</v>
      </c>
      <c r="H47" s="669">
        <f t="shared" si="3"/>
        <v>240</v>
      </c>
      <c r="I47" s="288">
        <f t="shared" si="4"/>
        <v>198</v>
      </c>
      <c r="J47" s="289"/>
      <c r="K47" s="289"/>
      <c r="L47" s="289"/>
      <c r="M47" s="289"/>
      <c r="N47" s="289"/>
      <c r="O47" s="289"/>
      <c r="P47" s="289"/>
      <c r="Q47" s="272"/>
    </row>
    <row r="48" spans="1:17" s="68" customFormat="1" ht="25" customHeight="1">
      <c r="A48" s="544" t="s">
        <v>399</v>
      </c>
      <c r="B48" s="551" t="s">
        <v>262</v>
      </c>
      <c r="C48" s="552">
        <v>4</v>
      </c>
      <c r="D48" s="546">
        <v>1.08</v>
      </c>
      <c r="E48" s="553">
        <v>2</v>
      </c>
      <c r="F48" s="272">
        <f>I48+J49+K49</f>
        <v>171.6</v>
      </c>
      <c r="G48" s="553">
        <v>70</v>
      </c>
      <c r="H48" s="669">
        <f t="shared" si="3"/>
        <v>560</v>
      </c>
      <c r="I48" s="288">
        <f t="shared" si="4"/>
        <v>171.6</v>
      </c>
      <c r="J48" s="289"/>
      <c r="K48" s="289"/>
      <c r="L48" s="289"/>
      <c r="M48" s="289"/>
      <c r="N48" s="289"/>
      <c r="O48" s="289"/>
      <c r="P48" s="289"/>
      <c r="Q48" s="272"/>
    </row>
    <row r="49" spans="1:17" s="68" customFormat="1" ht="25" customHeight="1">
      <c r="A49" s="544" t="s">
        <v>400</v>
      </c>
      <c r="B49" s="554" t="s">
        <v>646</v>
      </c>
      <c r="C49" s="546">
        <v>3</v>
      </c>
      <c r="D49" s="546">
        <v>1</v>
      </c>
      <c r="E49" s="546">
        <v>2</v>
      </c>
      <c r="F49" s="272">
        <f>I49+J50+K50</f>
        <v>128.70000000000002</v>
      </c>
      <c r="G49" s="546">
        <v>80</v>
      </c>
      <c r="H49" s="669">
        <f t="shared" si="3"/>
        <v>480</v>
      </c>
      <c r="I49" s="288">
        <f t="shared" si="4"/>
        <v>128.70000000000002</v>
      </c>
      <c r="J49" s="289"/>
      <c r="K49" s="289"/>
      <c r="L49" s="289"/>
      <c r="M49" s="289"/>
      <c r="N49" s="289"/>
      <c r="O49" s="289"/>
      <c r="P49" s="289"/>
      <c r="Q49" s="272"/>
    </row>
    <row r="50" spans="1:17" s="68" customFormat="1" ht="25" customHeight="1">
      <c r="A50" s="544" t="s">
        <v>401</v>
      </c>
      <c r="B50" s="545" t="s">
        <v>647</v>
      </c>
      <c r="C50" s="546">
        <v>3</v>
      </c>
      <c r="D50" s="546">
        <v>1</v>
      </c>
      <c r="E50" s="546">
        <v>2</v>
      </c>
      <c r="F50" s="272">
        <f>I50+J51+K51</f>
        <v>128.70000000000002</v>
      </c>
      <c r="G50" s="546">
        <v>70</v>
      </c>
      <c r="H50" s="669">
        <f t="shared" si="3"/>
        <v>420</v>
      </c>
      <c r="I50" s="288">
        <f t="shared" si="4"/>
        <v>128.70000000000002</v>
      </c>
      <c r="J50" s="289"/>
      <c r="K50" s="289"/>
      <c r="L50" s="289"/>
      <c r="M50" s="289"/>
      <c r="N50" s="289"/>
      <c r="O50" s="289"/>
      <c r="P50" s="289"/>
      <c r="Q50" s="272"/>
    </row>
    <row r="51" spans="1:17" s="68" customFormat="1" ht="25" customHeight="1">
      <c r="A51" s="544" t="s">
        <v>402</v>
      </c>
      <c r="B51" s="545" t="s">
        <v>264</v>
      </c>
      <c r="C51" s="546">
        <v>3</v>
      </c>
      <c r="D51" s="546">
        <v>1</v>
      </c>
      <c r="E51" s="546">
        <v>1</v>
      </c>
      <c r="F51" s="272">
        <f>I51+J52+K52</f>
        <v>49.5</v>
      </c>
      <c r="G51" s="546">
        <v>21</v>
      </c>
      <c r="H51" s="669">
        <f t="shared" si="3"/>
        <v>63</v>
      </c>
      <c r="I51" s="288">
        <f t="shared" si="4"/>
        <v>49.5</v>
      </c>
      <c r="J51" s="289"/>
      <c r="K51" s="289"/>
      <c r="L51" s="289"/>
      <c r="M51" s="289"/>
      <c r="N51" s="289"/>
      <c r="O51" s="289"/>
      <c r="P51" s="289"/>
      <c r="Q51" s="272"/>
    </row>
    <row r="52" spans="1:17" s="68" customFormat="1" ht="25" customHeight="1">
      <c r="A52" s="544"/>
      <c r="B52" s="675" t="s">
        <v>718</v>
      </c>
      <c r="C52" s="546"/>
      <c r="D52" s="546"/>
      <c r="E52" s="546"/>
      <c r="F52" s="551"/>
      <c r="G52" s="546"/>
      <c r="H52" s="546"/>
      <c r="I52" s="549"/>
      <c r="J52" s="479"/>
      <c r="K52" s="479"/>
      <c r="L52" s="479"/>
      <c r="M52" s="479"/>
      <c r="N52" s="479"/>
      <c r="O52" s="479"/>
      <c r="P52" s="479"/>
      <c r="Q52" s="551"/>
    </row>
    <row r="53" spans="1:17" s="68" customFormat="1" ht="25" customHeight="1">
      <c r="A53" s="544" t="s">
        <v>406</v>
      </c>
      <c r="B53" s="545" t="s">
        <v>635</v>
      </c>
      <c r="C53" s="546">
        <v>1</v>
      </c>
      <c r="D53" s="546">
        <v>1.4</v>
      </c>
      <c r="E53" s="546">
        <v>14</v>
      </c>
      <c r="F53" s="272">
        <f>I53+J14+K14</f>
        <v>231</v>
      </c>
      <c r="G53" s="546">
        <v>20</v>
      </c>
      <c r="H53" s="669">
        <f>C53*E53*G53</f>
        <v>280</v>
      </c>
      <c r="I53" s="288">
        <f>IF(G53&lt;70, C53*E53*16.5*1, C53*E53*16.5*1.3)</f>
        <v>231</v>
      </c>
      <c r="J53" s="289"/>
      <c r="K53" s="289"/>
      <c r="L53" s="289"/>
      <c r="M53" s="289"/>
      <c r="N53" s="289"/>
      <c r="O53" s="289"/>
      <c r="P53" s="289"/>
      <c r="Q53" s="272"/>
    </row>
    <row r="54" spans="1:17" s="68" customFormat="1" ht="25" customHeight="1">
      <c r="A54" s="544" t="s">
        <v>407</v>
      </c>
      <c r="B54" s="545" t="s">
        <v>260</v>
      </c>
      <c r="C54" s="546">
        <v>2</v>
      </c>
      <c r="D54" s="546">
        <v>1</v>
      </c>
      <c r="E54" s="546">
        <v>4</v>
      </c>
      <c r="F54" s="272">
        <f>I54+J15+K15</f>
        <v>132</v>
      </c>
      <c r="G54" s="546">
        <v>40</v>
      </c>
      <c r="H54" s="669">
        <f>C54*E54*G54</f>
        <v>320</v>
      </c>
      <c r="I54" s="288">
        <f>IF(G54&lt;70, C54*E54*16.5*1, C54*E54*16.5*1.3)</f>
        <v>132</v>
      </c>
      <c r="J54" s="289"/>
      <c r="K54" s="289"/>
      <c r="L54" s="289"/>
      <c r="M54" s="289"/>
      <c r="N54" s="289"/>
      <c r="O54" s="289"/>
      <c r="P54" s="289"/>
      <c r="Q54" s="272"/>
    </row>
    <row r="55" spans="1:17" s="68" customFormat="1" ht="25" customHeight="1">
      <c r="A55" s="544" t="s">
        <v>408</v>
      </c>
      <c r="B55" s="68" t="s">
        <v>719</v>
      </c>
      <c r="F55" s="272">
        <f>I55+J16+K16</f>
        <v>0</v>
      </c>
      <c r="J55" s="289"/>
      <c r="K55" s="289"/>
      <c r="L55" s="289"/>
      <c r="M55" s="289"/>
      <c r="N55" s="289"/>
      <c r="O55" s="289"/>
      <c r="P55" s="289"/>
      <c r="Q55" s="272"/>
    </row>
    <row r="56" spans="1:17" s="68" customFormat="1" ht="25" customHeight="1">
      <c r="A56" s="544" t="s">
        <v>409</v>
      </c>
      <c r="B56" s="545" t="s">
        <v>648</v>
      </c>
      <c r="C56" s="546">
        <v>4</v>
      </c>
      <c r="D56" s="546">
        <v>1</v>
      </c>
      <c r="E56" s="546">
        <v>5</v>
      </c>
      <c r="F56" s="272">
        <f>I56+J17+K17</f>
        <v>429</v>
      </c>
      <c r="G56" s="546">
        <v>70</v>
      </c>
      <c r="H56" s="669">
        <f>C56*E56*G56</f>
        <v>1400</v>
      </c>
      <c r="I56" s="288">
        <f>IF(G56&lt;70, C56*E56*16.5*1, C56*E56*16.5*1.3)</f>
        <v>429</v>
      </c>
      <c r="J56" s="289"/>
      <c r="K56" s="289"/>
      <c r="L56" s="289"/>
      <c r="M56" s="289"/>
      <c r="N56" s="289"/>
      <c r="O56" s="289"/>
      <c r="P56" s="289"/>
      <c r="Q56" s="272"/>
    </row>
    <row r="57" spans="1:17" s="68" customFormat="1" ht="25" customHeight="1">
      <c r="A57" s="544" t="s">
        <v>410</v>
      </c>
      <c r="B57" s="557" t="s">
        <v>261</v>
      </c>
      <c r="C57" s="556">
        <v>4</v>
      </c>
      <c r="D57" s="546">
        <v>1</v>
      </c>
      <c r="E57" s="546">
        <v>4</v>
      </c>
      <c r="F57" s="272">
        <f>I57+J18+K18</f>
        <v>343.2</v>
      </c>
      <c r="G57" s="546">
        <v>70</v>
      </c>
      <c r="H57" s="669">
        <f>C57*E57*G57</f>
        <v>1120</v>
      </c>
      <c r="I57" s="288">
        <f>IF(G57&lt;70, C57*E57*16.5*1, C57*E57*16.5*1.3)</f>
        <v>343.2</v>
      </c>
      <c r="J57" s="289"/>
      <c r="K57" s="289"/>
      <c r="L57" s="289"/>
      <c r="M57" s="289"/>
      <c r="N57" s="289"/>
      <c r="O57" s="289"/>
      <c r="P57" s="289"/>
      <c r="Q57" s="272"/>
    </row>
    <row r="58" spans="1:17" s="68" customFormat="1" ht="25" customHeight="1">
      <c r="A58" s="544" t="s">
        <v>650</v>
      </c>
      <c r="B58" s="555" t="s">
        <v>651</v>
      </c>
      <c r="C58" s="556">
        <v>3</v>
      </c>
      <c r="D58" s="546">
        <v>1</v>
      </c>
      <c r="E58" s="546">
        <v>4</v>
      </c>
      <c r="F58" s="272">
        <f>I58+J58+K58</f>
        <v>257.40000000000003</v>
      </c>
      <c r="G58" s="546">
        <v>70</v>
      </c>
      <c r="H58" s="669">
        <f>C58*E58*G58</f>
        <v>840</v>
      </c>
      <c r="I58" s="288">
        <f>IF(G58&lt;70, C58*E58*16.5*1, C58*E58*16.5*1.3)</f>
        <v>257.40000000000003</v>
      </c>
      <c r="J58" s="289"/>
      <c r="K58" s="289"/>
      <c r="L58" s="289"/>
      <c r="M58" s="289"/>
      <c r="N58" s="289"/>
      <c r="O58" s="289"/>
      <c r="P58" s="289"/>
      <c r="Q58" s="272"/>
    </row>
    <row r="59" spans="1:17" s="68" customFormat="1" ht="25" customHeight="1">
      <c r="A59" s="544" t="s">
        <v>659</v>
      </c>
      <c r="B59" s="560" t="s">
        <v>413</v>
      </c>
      <c r="C59" s="561">
        <v>1</v>
      </c>
      <c r="D59" s="561">
        <v>1.4</v>
      </c>
      <c r="E59" s="561">
        <v>10</v>
      </c>
      <c r="F59" s="272">
        <f>I59+J59+K59</f>
        <v>165</v>
      </c>
      <c r="G59" s="561">
        <v>40</v>
      </c>
      <c r="H59" s="669">
        <f>C59*E59*G59</f>
        <v>400</v>
      </c>
      <c r="I59" s="288">
        <f>IF(G59&lt;70, C59*E59*16.5*1, C59*E59*16.5*1.3)</f>
        <v>165</v>
      </c>
      <c r="J59" s="289"/>
      <c r="K59" s="289"/>
      <c r="L59" s="289"/>
      <c r="M59" s="289"/>
      <c r="N59" s="289"/>
      <c r="O59" s="289"/>
      <c r="P59" s="289"/>
      <c r="Q59" s="545"/>
    </row>
    <row r="60" spans="1:17" s="68" customFormat="1" ht="25" customHeight="1">
      <c r="A60" s="562" t="s">
        <v>148</v>
      </c>
      <c r="B60" s="563" t="s">
        <v>151</v>
      </c>
      <c r="C60" s="546">
        <v>0</v>
      </c>
      <c r="D60" s="546">
        <v>0</v>
      </c>
      <c r="E60" s="546">
        <v>0</v>
      </c>
      <c r="F60" s="669">
        <v>0</v>
      </c>
      <c r="G60" s="546">
        <v>0</v>
      </c>
      <c r="H60" s="669">
        <v>0</v>
      </c>
      <c r="I60" s="669">
        <v>0</v>
      </c>
      <c r="J60" s="289"/>
      <c r="K60" s="289"/>
      <c r="L60" s="289"/>
      <c r="M60" s="289"/>
      <c r="N60" s="289"/>
      <c r="O60" s="289"/>
      <c r="P60" s="289"/>
      <c r="Q60" s="545"/>
    </row>
    <row r="61" spans="1:17" s="68" customFormat="1" ht="25" customHeight="1">
      <c r="A61" s="564" t="s">
        <v>232</v>
      </c>
      <c r="B61" s="544" t="s">
        <v>156</v>
      </c>
      <c r="C61" s="546">
        <v>4</v>
      </c>
      <c r="D61" s="546">
        <v>1.4</v>
      </c>
      <c r="E61" s="546">
        <v>6</v>
      </c>
      <c r="F61" s="272">
        <f>I61+J61+K61</f>
        <v>240</v>
      </c>
      <c r="G61" s="546">
        <v>20</v>
      </c>
      <c r="H61" s="669">
        <f>C61*E61*G61</f>
        <v>480</v>
      </c>
      <c r="I61" s="288">
        <f>E61*G61*2</f>
        <v>240</v>
      </c>
      <c r="J61" s="289"/>
      <c r="K61" s="289"/>
      <c r="L61" s="289"/>
      <c r="M61" s="289"/>
      <c r="N61" s="289"/>
      <c r="O61" s="289"/>
      <c r="P61" s="289"/>
      <c r="Q61" s="545" t="s">
        <v>699</v>
      </c>
    </row>
    <row r="62" spans="1:17" s="68" customFormat="1" ht="25" customHeight="1">
      <c r="A62" s="564" t="s">
        <v>233</v>
      </c>
      <c r="B62" s="544" t="s">
        <v>157</v>
      </c>
      <c r="C62" s="546">
        <v>0</v>
      </c>
      <c r="D62" s="546"/>
      <c r="E62" s="546">
        <v>0</v>
      </c>
      <c r="F62" s="669">
        <v>0</v>
      </c>
      <c r="G62" s="546">
        <v>0</v>
      </c>
      <c r="H62" s="669">
        <v>0</v>
      </c>
      <c r="I62" s="289">
        <v>0</v>
      </c>
      <c r="J62" s="289"/>
      <c r="K62" s="289"/>
      <c r="L62" s="289"/>
      <c r="M62" s="289"/>
      <c r="N62" s="289"/>
      <c r="O62" s="289"/>
      <c r="P62" s="289"/>
      <c r="Q62" s="272"/>
    </row>
    <row r="63" spans="1:17" s="68" customFormat="1" ht="25" customHeight="1">
      <c r="A63" s="565"/>
      <c r="B63" s="566" t="s">
        <v>353</v>
      </c>
      <c r="C63" s="567">
        <f t="shared" ref="C63:K63" si="5">SUM(C13:C62)</f>
        <v>107</v>
      </c>
      <c r="D63" s="567">
        <f t="shared" si="5"/>
        <v>43.659999999999989</v>
      </c>
      <c r="E63" s="567">
        <f t="shared" si="5"/>
        <v>155</v>
      </c>
      <c r="F63" s="567">
        <f t="shared" si="5"/>
        <v>7123.7999999999993</v>
      </c>
      <c r="G63" s="567">
        <f t="shared" si="5"/>
        <v>2106</v>
      </c>
      <c r="H63" s="567">
        <f t="shared" si="5"/>
        <v>18583</v>
      </c>
      <c r="I63" s="567">
        <f t="shared" si="5"/>
        <v>7123.7999999999993</v>
      </c>
      <c r="J63" s="567">
        <f t="shared" si="5"/>
        <v>0</v>
      </c>
      <c r="K63" s="567">
        <f t="shared" si="5"/>
        <v>0</v>
      </c>
      <c r="L63" s="568"/>
      <c r="M63" s="568"/>
      <c r="N63" s="568"/>
      <c r="O63" s="568"/>
      <c r="P63" s="568"/>
      <c r="Q63" s="569"/>
    </row>
    <row r="64" spans="1:17" s="68" customFormat="1" ht="25" customHeight="1">
      <c r="A64" s="570">
        <v>2</v>
      </c>
      <c r="B64" s="570" t="s">
        <v>164</v>
      </c>
      <c r="C64" s="546"/>
      <c r="D64" s="546"/>
      <c r="E64" s="546"/>
      <c r="F64" s="272"/>
      <c r="G64" s="546"/>
      <c r="H64" s="669"/>
      <c r="I64" s="288"/>
      <c r="J64" s="289"/>
      <c r="K64" s="289"/>
      <c r="L64" s="289"/>
      <c r="M64" s="289"/>
      <c r="N64" s="289"/>
      <c r="O64" s="289"/>
      <c r="P64" s="289"/>
      <c r="Q64" s="272"/>
    </row>
    <row r="65" spans="1:17" s="68" customFormat="1" ht="25" customHeight="1">
      <c r="A65" s="571" t="s">
        <v>147</v>
      </c>
      <c r="B65" s="572" t="s">
        <v>165</v>
      </c>
      <c r="C65" s="546"/>
      <c r="D65" s="546"/>
      <c r="E65" s="546"/>
      <c r="F65" s="272">
        <f t="shared" ref="F65:F71" si="6">I65+J65+K65</f>
        <v>0</v>
      </c>
      <c r="G65" s="546"/>
      <c r="H65" s="669">
        <f>C65*D65*E65*G65</f>
        <v>0</v>
      </c>
      <c r="I65" s="288">
        <f>IF(G65&lt;70, C65*E65*16.5*1.5, C65*E65*16.5*1.5)</f>
        <v>0</v>
      </c>
      <c r="J65" s="289"/>
      <c r="K65" s="289"/>
      <c r="L65" s="289"/>
      <c r="M65" s="289"/>
      <c r="N65" s="289"/>
      <c r="O65" s="289"/>
      <c r="P65" s="289"/>
      <c r="Q65" s="272"/>
    </row>
    <row r="66" spans="1:17" s="68" customFormat="1" ht="25" customHeight="1">
      <c r="A66" s="544" t="s">
        <v>226</v>
      </c>
      <c r="B66" s="573" t="s">
        <v>269</v>
      </c>
      <c r="C66" s="546">
        <v>3</v>
      </c>
      <c r="D66" s="546">
        <v>1</v>
      </c>
      <c r="E66" s="546">
        <v>1</v>
      </c>
      <c r="F66" s="272">
        <f t="shared" si="6"/>
        <v>74.25</v>
      </c>
      <c r="G66" s="546">
        <v>10</v>
      </c>
      <c r="H66" s="669">
        <f t="shared" ref="H66:H71" si="7">C66*E66*G66</f>
        <v>30</v>
      </c>
      <c r="I66" s="288">
        <f t="shared" ref="I66:I71" si="8">C66*E66*16.5*1.5</f>
        <v>74.25</v>
      </c>
      <c r="J66" s="289"/>
      <c r="K66" s="289"/>
      <c r="L66" s="289"/>
      <c r="M66" s="289"/>
      <c r="N66" s="289"/>
      <c r="O66" s="289"/>
      <c r="P66" s="289"/>
      <c r="Q66" s="272"/>
    </row>
    <row r="67" spans="1:17" s="68" customFormat="1" ht="25" customHeight="1">
      <c r="A67" s="544" t="s">
        <v>227</v>
      </c>
      <c r="B67" s="573" t="s">
        <v>270</v>
      </c>
      <c r="C67" s="546">
        <v>3</v>
      </c>
      <c r="D67" s="546">
        <v>1</v>
      </c>
      <c r="E67" s="546">
        <v>1</v>
      </c>
      <c r="F67" s="272">
        <f t="shared" si="6"/>
        <v>74.25</v>
      </c>
      <c r="G67" s="546">
        <v>10</v>
      </c>
      <c r="H67" s="669">
        <f t="shared" si="7"/>
        <v>30</v>
      </c>
      <c r="I67" s="288">
        <f t="shared" si="8"/>
        <v>74.25</v>
      </c>
      <c r="J67" s="289"/>
      <c r="K67" s="289"/>
      <c r="L67" s="289"/>
      <c r="M67" s="289"/>
      <c r="N67" s="289"/>
      <c r="O67" s="289"/>
      <c r="P67" s="289"/>
      <c r="Q67" s="272"/>
    </row>
    <row r="68" spans="1:17" s="68" customFormat="1" ht="25" customHeight="1">
      <c r="A68" s="544" t="s">
        <v>228</v>
      </c>
      <c r="B68" s="573" t="s">
        <v>271</v>
      </c>
      <c r="C68" s="546">
        <v>3</v>
      </c>
      <c r="D68" s="546">
        <v>1</v>
      </c>
      <c r="E68" s="546">
        <v>1</v>
      </c>
      <c r="F68" s="272">
        <f t="shared" si="6"/>
        <v>74.25</v>
      </c>
      <c r="G68" s="546">
        <v>10</v>
      </c>
      <c r="H68" s="669">
        <f t="shared" si="7"/>
        <v>30</v>
      </c>
      <c r="I68" s="288">
        <f t="shared" si="8"/>
        <v>74.25</v>
      </c>
      <c r="J68" s="289"/>
      <c r="K68" s="289"/>
      <c r="L68" s="289"/>
      <c r="M68" s="289"/>
      <c r="N68" s="289"/>
      <c r="O68" s="289"/>
      <c r="P68" s="289"/>
      <c r="Q68" s="272"/>
    </row>
    <row r="69" spans="1:17" s="68" customFormat="1" ht="25" customHeight="1">
      <c r="A69" s="544" t="s">
        <v>229</v>
      </c>
      <c r="B69" s="573" t="s">
        <v>272</v>
      </c>
      <c r="C69" s="546">
        <v>3</v>
      </c>
      <c r="D69" s="546">
        <v>1</v>
      </c>
      <c r="E69" s="546">
        <v>1</v>
      </c>
      <c r="F69" s="272">
        <f t="shared" si="6"/>
        <v>74.25</v>
      </c>
      <c r="G69" s="546">
        <v>10</v>
      </c>
      <c r="H69" s="669">
        <f t="shared" si="7"/>
        <v>30</v>
      </c>
      <c r="I69" s="288">
        <f t="shared" si="8"/>
        <v>74.25</v>
      </c>
      <c r="J69" s="289"/>
      <c r="K69" s="289"/>
      <c r="L69" s="289"/>
      <c r="M69" s="289"/>
      <c r="N69" s="289"/>
      <c r="O69" s="289"/>
      <c r="P69" s="289"/>
      <c r="Q69" s="272"/>
    </row>
    <row r="70" spans="1:17" s="68" customFormat="1" ht="25" customHeight="1">
      <c r="A70" s="544" t="s">
        <v>230</v>
      </c>
      <c r="B70" s="574" t="s">
        <v>273</v>
      </c>
      <c r="C70" s="546">
        <v>3</v>
      </c>
      <c r="D70" s="546">
        <v>1</v>
      </c>
      <c r="E70" s="546">
        <v>1</v>
      </c>
      <c r="F70" s="272">
        <f t="shared" si="6"/>
        <v>74.25</v>
      </c>
      <c r="G70" s="546">
        <v>10</v>
      </c>
      <c r="H70" s="669">
        <f t="shared" si="7"/>
        <v>30</v>
      </c>
      <c r="I70" s="288">
        <f t="shared" si="8"/>
        <v>74.25</v>
      </c>
      <c r="J70" s="289"/>
      <c r="K70" s="289"/>
      <c r="L70" s="289"/>
      <c r="M70" s="289"/>
      <c r="N70" s="289"/>
      <c r="O70" s="289"/>
      <c r="P70" s="289"/>
      <c r="Q70" s="272"/>
    </row>
    <row r="71" spans="1:17" s="68" customFormat="1" ht="25" customHeight="1">
      <c r="A71" s="544" t="s">
        <v>231</v>
      </c>
      <c r="B71" s="573" t="s">
        <v>531</v>
      </c>
      <c r="C71" s="546">
        <v>3</v>
      </c>
      <c r="D71" s="546">
        <v>1</v>
      </c>
      <c r="E71" s="546">
        <v>1</v>
      </c>
      <c r="F71" s="272">
        <f t="shared" si="6"/>
        <v>74.25</v>
      </c>
      <c r="G71" s="546">
        <v>15</v>
      </c>
      <c r="H71" s="669">
        <f t="shared" si="7"/>
        <v>45</v>
      </c>
      <c r="I71" s="288">
        <f t="shared" si="8"/>
        <v>74.25</v>
      </c>
      <c r="J71" s="289"/>
      <c r="K71" s="289"/>
      <c r="L71" s="289"/>
      <c r="M71" s="289"/>
      <c r="N71" s="289"/>
      <c r="O71" s="289"/>
      <c r="P71" s="289"/>
      <c r="Q71" s="272"/>
    </row>
    <row r="72" spans="1:17" s="68" customFormat="1" ht="25" customHeight="1">
      <c r="A72" s="575" t="s">
        <v>148</v>
      </c>
      <c r="B72" s="576" t="s">
        <v>470</v>
      </c>
      <c r="C72" s="352"/>
      <c r="D72" s="352"/>
      <c r="E72" s="352"/>
      <c r="F72" s="669"/>
      <c r="G72" s="352"/>
      <c r="H72" s="669"/>
      <c r="I72" s="289"/>
      <c r="J72" s="289"/>
      <c r="K72" s="289"/>
      <c r="L72" s="289"/>
      <c r="M72" s="289"/>
      <c r="N72" s="289"/>
      <c r="O72" s="289"/>
      <c r="P72" s="289"/>
      <c r="Q72" s="272"/>
    </row>
    <row r="73" spans="1:17" s="68" customFormat="1" ht="25" customHeight="1">
      <c r="A73" s="575"/>
      <c r="B73" s="577" t="s">
        <v>700</v>
      </c>
      <c r="C73" s="352">
        <v>15</v>
      </c>
      <c r="D73" s="352">
        <v>1</v>
      </c>
      <c r="E73" s="352">
        <v>1</v>
      </c>
      <c r="F73" s="272">
        <f t="shared" ref="F73:F102" si="9">I73+J73+K73</f>
        <v>280</v>
      </c>
      <c r="G73" s="352">
        <v>8</v>
      </c>
      <c r="H73" s="669">
        <f>C73*E73*G73</f>
        <v>120</v>
      </c>
      <c r="I73" s="288">
        <f>8*35</f>
        <v>280</v>
      </c>
      <c r="J73" s="289"/>
      <c r="K73" s="289"/>
      <c r="L73" s="289"/>
      <c r="M73" s="289"/>
      <c r="N73" s="289"/>
      <c r="O73" s="289"/>
      <c r="P73" s="289"/>
      <c r="Q73" s="272" t="s">
        <v>701</v>
      </c>
    </row>
    <row r="74" spans="1:17" s="68" customFormat="1" ht="25" customHeight="1">
      <c r="A74" s="578"/>
      <c r="B74" s="566" t="s">
        <v>353</v>
      </c>
      <c r="C74" s="567">
        <f t="shared" ref="C74:I74" si="10">SUM(C66:C73)</f>
        <v>33</v>
      </c>
      <c r="D74" s="567">
        <f t="shared" si="10"/>
        <v>7</v>
      </c>
      <c r="E74" s="567">
        <f t="shared" si="10"/>
        <v>7</v>
      </c>
      <c r="F74" s="512">
        <f t="shared" si="10"/>
        <v>725.5</v>
      </c>
      <c r="G74" s="512">
        <f t="shared" si="10"/>
        <v>73</v>
      </c>
      <c r="H74" s="512">
        <f t="shared" si="10"/>
        <v>315</v>
      </c>
      <c r="I74" s="512">
        <f t="shared" si="10"/>
        <v>725.5</v>
      </c>
      <c r="J74" s="568"/>
      <c r="K74" s="568"/>
      <c r="L74" s="568"/>
      <c r="M74" s="568"/>
      <c r="N74" s="568"/>
      <c r="O74" s="568"/>
      <c r="P74" s="568"/>
      <c r="Q74" s="569"/>
    </row>
    <row r="75" spans="1:17" s="68" customFormat="1" ht="25" customHeight="1">
      <c r="A75" s="570">
        <v>3</v>
      </c>
      <c r="B75" s="570" t="s">
        <v>166</v>
      </c>
      <c r="C75" s="546">
        <v>0</v>
      </c>
      <c r="D75" s="546">
        <v>0</v>
      </c>
      <c r="E75" s="546">
        <v>0</v>
      </c>
      <c r="F75" s="272">
        <f t="shared" si="9"/>
        <v>0</v>
      </c>
      <c r="G75" s="546">
        <v>0</v>
      </c>
      <c r="H75" s="669">
        <f>C75*D75*E75*G75</f>
        <v>0</v>
      </c>
      <c r="I75" s="288">
        <f t="shared" ref="I75:I102" si="11">IF(G75&lt;70, C75*E75*16.5*1, C75*E75*16.5*1.3)</f>
        <v>0</v>
      </c>
      <c r="J75" s="289"/>
      <c r="K75" s="289"/>
      <c r="L75" s="289"/>
      <c r="M75" s="289"/>
      <c r="N75" s="289"/>
      <c r="O75" s="289"/>
      <c r="P75" s="289"/>
      <c r="Q75" s="272"/>
    </row>
    <row r="76" spans="1:17" s="68" customFormat="1" ht="25" customHeight="1">
      <c r="A76" s="570" t="s">
        <v>8</v>
      </c>
      <c r="B76" s="570" t="s">
        <v>224</v>
      </c>
      <c r="C76" s="546"/>
      <c r="D76" s="546"/>
      <c r="E76" s="546"/>
      <c r="F76" s="272">
        <f t="shared" si="9"/>
        <v>0</v>
      </c>
      <c r="G76" s="546"/>
      <c r="H76" s="669">
        <f>C76*D76*E76*G76</f>
        <v>0</v>
      </c>
      <c r="I76" s="288">
        <f t="shared" si="11"/>
        <v>0</v>
      </c>
      <c r="J76" s="289"/>
      <c r="K76" s="289"/>
      <c r="L76" s="289"/>
      <c r="M76" s="289"/>
      <c r="N76" s="289"/>
      <c r="O76" s="289"/>
      <c r="P76" s="289"/>
      <c r="Q76" s="272"/>
    </row>
    <row r="77" spans="1:17" s="68" customFormat="1" ht="25" customHeight="1">
      <c r="A77" s="570">
        <v>1</v>
      </c>
      <c r="B77" s="572" t="s">
        <v>225</v>
      </c>
      <c r="C77" s="546"/>
      <c r="D77" s="546"/>
      <c r="E77" s="546"/>
      <c r="F77" s="272">
        <f t="shared" si="9"/>
        <v>0</v>
      </c>
      <c r="G77" s="546"/>
      <c r="H77" s="669">
        <f>C77*D77*E77*G77</f>
        <v>0</v>
      </c>
      <c r="I77" s="288">
        <f t="shared" si="11"/>
        <v>0</v>
      </c>
      <c r="J77" s="289"/>
      <c r="K77" s="289"/>
      <c r="L77" s="289"/>
      <c r="M77" s="289"/>
      <c r="N77" s="289"/>
      <c r="O77" s="289"/>
      <c r="P77" s="289"/>
      <c r="Q77" s="272"/>
    </row>
    <row r="78" spans="1:17" s="68" customFormat="1" ht="25" customHeight="1">
      <c r="A78" s="570" t="s">
        <v>147</v>
      </c>
      <c r="B78" s="572" t="s">
        <v>163</v>
      </c>
      <c r="C78" s="546"/>
      <c r="D78" s="546"/>
      <c r="E78" s="546"/>
      <c r="F78" s="272"/>
      <c r="G78" s="546"/>
      <c r="H78" s="669"/>
      <c r="I78" s="288"/>
      <c r="J78" s="289"/>
      <c r="K78" s="289"/>
      <c r="L78" s="289"/>
      <c r="M78" s="289"/>
      <c r="N78" s="289"/>
      <c r="O78" s="289"/>
      <c r="P78" s="289"/>
      <c r="Q78" s="272"/>
    </row>
    <row r="79" spans="1:17" s="68" customFormat="1" ht="25" customHeight="1">
      <c r="A79" s="570"/>
      <c r="B79" s="572" t="s">
        <v>661</v>
      </c>
      <c r="C79" s="546"/>
      <c r="D79" s="546"/>
      <c r="E79" s="546"/>
      <c r="F79" s="551"/>
      <c r="G79" s="546"/>
      <c r="H79" s="546"/>
      <c r="I79" s="549"/>
      <c r="J79" s="479"/>
      <c r="K79" s="479"/>
      <c r="L79" s="479"/>
      <c r="M79" s="479"/>
      <c r="N79" s="479"/>
      <c r="O79" s="479"/>
      <c r="P79" s="479"/>
      <c r="Q79" s="551"/>
    </row>
    <row r="80" spans="1:17" s="68" customFormat="1" ht="25" customHeight="1">
      <c r="A80" s="564" t="s">
        <v>226</v>
      </c>
      <c r="B80" s="574" t="s">
        <v>266</v>
      </c>
      <c r="C80" s="546">
        <v>3</v>
      </c>
      <c r="D80" s="546">
        <v>1</v>
      </c>
      <c r="E80" s="546">
        <v>3</v>
      </c>
      <c r="F80" s="272">
        <f t="shared" si="9"/>
        <v>148.5</v>
      </c>
      <c r="G80" s="546">
        <v>40</v>
      </c>
      <c r="H80" s="669">
        <f t="shared" ref="H80:H102" si="12">C80*E80*G80</f>
        <v>360</v>
      </c>
      <c r="I80" s="288">
        <f t="shared" si="11"/>
        <v>148.5</v>
      </c>
      <c r="J80" s="289"/>
      <c r="K80" s="289"/>
      <c r="L80" s="289"/>
      <c r="M80" s="289"/>
      <c r="N80" s="289"/>
      <c r="O80" s="289"/>
      <c r="P80" s="289"/>
      <c r="Q80" s="272"/>
    </row>
    <row r="81" spans="1:17" s="68" customFormat="1" ht="25" customHeight="1">
      <c r="A81" s="564"/>
      <c r="B81" s="676" t="s">
        <v>714</v>
      </c>
      <c r="C81" s="546"/>
      <c r="D81" s="546"/>
      <c r="E81" s="546"/>
      <c r="F81" s="551"/>
      <c r="G81" s="546"/>
      <c r="H81" s="546"/>
      <c r="I81" s="549"/>
      <c r="J81" s="479"/>
      <c r="K81" s="479"/>
      <c r="L81" s="479"/>
      <c r="M81" s="479"/>
      <c r="N81" s="479"/>
      <c r="O81" s="479"/>
      <c r="P81" s="479"/>
      <c r="Q81" s="551"/>
    </row>
    <row r="82" spans="1:17" s="68" customFormat="1" ht="25" customHeight="1">
      <c r="A82" s="564" t="s">
        <v>227</v>
      </c>
      <c r="B82" s="574" t="s">
        <v>274</v>
      </c>
      <c r="C82" s="546">
        <v>5</v>
      </c>
      <c r="D82" s="546">
        <v>1</v>
      </c>
      <c r="E82" s="546">
        <v>3</v>
      </c>
      <c r="F82" s="272">
        <f t="shared" si="9"/>
        <v>247.5</v>
      </c>
      <c r="G82" s="546">
        <v>40</v>
      </c>
      <c r="H82" s="669">
        <f t="shared" si="12"/>
        <v>600</v>
      </c>
      <c r="I82" s="288">
        <f t="shared" si="11"/>
        <v>247.5</v>
      </c>
      <c r="J82" s="289"/>
      <c r="K82" s="289"/>
      <c r="L82" s="289"/>
      <c r="M82" s="289"/>
      <c r="N82" s="289"/>
      <c r="O82" s="289"/>
      <c r="P82" s="289"/>
      <c r="Q82" s="272"/>
    </row>
    <row r="83" spans="1:17" s="68" customFormat="1" ht="25" customHeight="1">
      <c r="A83" s="580" t="s">
        <v>292</v>
      </c>
      <c r="B83" s="581" t="s">
        <v>263</v>
      </c>
      <c r="C83" s="582">
        <v>3</v>
      </c>
      <c r="D83" s="582">
        <v>1</v>
      </c>
      <c r="E83" s="582">
        <v>3</v>
      </c>
      <c r="F83" s="272">
        <f t="shared" si="9"/>
        <v>148.5</v>
      </c>
      <c r="G83" s="546">
        <v>40</v>
      </c>
      <c r="H83" s="669">
        <f>C83*E83*G83</f>
        <v>360</v>
      </c>
      <c r="I83" s="288">
        <f>IF(G83&lt;70, C83*E83*16.5*1, C83*E83*16.5*1.3)</f>
        <v>148.5</v>
      </c>
      <c r="J83" s="479"/>
      <c r="K83" s="479"/>
      <c r="L83" s="479"/>
      <c r="M83" s="479"/>
      <c r="N83" s="479"/>
      <c r="O83" s="479"/>
      <c r="P83" s="479"/>
      <c r="Q83" s="551"/>
    </row>
    <row r="84" spans="1:17" s="68" customFormat="1" ht="25" customHeight="1">
      <c r="A84" s="564"/>
      <c r="B84" s="676" t="s">
        <v>715</v>
      </c>
      <c r="C84" s="546"/>
      <c r="D84" s="546"/>
      <c r="E84" s="546"/>
      <c r="F84" s="551"/>
      <c r="G84" s="546"/>
      <c r="H84" s="546"/>
      <c r="I84" s="549"/>
      <c r="J84" s="479"/>
      <c r="K84" s="479"/>
      <c r="L84" s="479"/>
      <c r="M84" s="479"/>
      <c r="N84" s="479"/>
      <c r="O84" s="479"/>
      <c r="P84" s="479"/>
      <c r="Q84" s="551"/>
    </row>
    <row r="85" spans="1:17" s="68" customFormat="1" ht="25" customHeight="1">
      <c r="A85" s="564" t="s">
        <v>228</v>
      </c>
      <c r="B85" s="574" t="s">
        <v>275</v>
      </c>
      <c r="C85" s="546">
        <v>3</v>
      </c>
      <c r="D85" s="546">
        <v>1</v>
      </c>
      <c r="E85" s="546">
        <v>3</v>
      </c>
      <c r="F85" s="272">
        <f t="shared" si="9"/>
        <v>148.5</v>
      </c>
      <c r="G85" s="546">
        <v>40</v>
      </c>
      <c r="H85" s="669">
        <f t="shared" si="12"/>
        <v>360</v>
      </c>
      <c r="I85" s="288">
        <f t="shared" si="11"/>
        <v>148.5</v>
      </c>
      <c r="J85" s="289"/>
      <c r="K85" s="289"/>
      <c r="L85" s="289"/>
      <c r="M85" s="289"/>
      <c r="N85" s="289"/>
      <c r="O85" s="289"/>
      <c r="P85" s="289"/>
      <c r="Q85" s="272"/>
    </row>
    <row r="86" spans="1:17" s="68" customFormat="1" ht="25" customHeight="1">
      <c r="A86" s="564" t="s">
        <v>229</v>
      </c>
      <c r="B86" s="574" t="s">
        <v>276</v>
      </c>
      <c r="C86" s="546">
        <v>2</v>
      </c>
      <c r="D86" s="546">
        <v>1</v>
      </c>
      <c r="E86" s="546">
        <v>3</v>
      </c>
      <c r="F86" s="272">
        <f t="shared" si="9"/>
        <v>99</v>
      </c>
      <c r="G86" s="546">
        <v>40</v>
      </c>
      <c r="H86" s="669">
        <f t="shared" si="12"/>
        <v>240</v>
      </c>
      <c r="I86" s="288">
        <f t="shared" si="11"/>
        <v>99</v>
      </c>
      <c r="J86" s="289"/>
      <c r="K86" s="289"/>
      <c r="L86" s="289"/>
      <c r="M86" s="289"/>
      <c r="N86" s="289"/>
      <c r="O86" s="289"/>
      <c r="P86" s="289"/>
      <c r="Q86" s="272"/>
    </row>
    <row r="87" spans="1:17" s="68" customFormat="1" ht="25" customHeight="1">
      <c r="A87" s="564" t="s">
        <v>230</v>
      </c>
      <c r="B87" s="574" t="s">
        <v>277</v>
      </c>
      <c r="C87" s="546">
        <v>2</v>
      </c>
      <c r="D87" s="546">
        <v>1</v>
      </c>
      <c r="E87" s="546">
        <v>3</v>
      </c>
      <c r="F87" s="272">
        <f t="shared" si="9"/>
        <v>99</v>
      </c>
      <c r="G87" s="546">
        <v>40</v>
      </c>
      <c r="H87" s="669">
        <f t="shared" si="12"/>
        <v>240</v>
      </c>
      <c r="I87" s="288">
        <f t="shared" si="11"/>
        <v>99</v>
      </c>
      <c r="J87" s="289"/>
      <c r="K87" s="289"/>
      <c r="L87" s="289"/>
      <c r="M87" s="289"/>
      <c r="N87" s="289"/>
      <c r="O87" s="289"/>
      <c r="P87" s="289"/>
      <c r="Q87" s="272"/>
    </row>
    <row r="88" spans="1:17" s="68" customFormat="1" ht="25" customHeight="1">
      <c r="A88" s="564"/>
      <c r="B88" s="676" t="s">
        <v>719</v>
      </c>
      <c r="C88" s="546"/>
      <c r="D88" s="546"/>
      <c r="E88" s="546"/>
      <c r="F88" s="551"/>
      <c r="G88" s="546"/>
      <c r="H88" s="546"/>
      <c r="I88" s="549"/>
      <c r="J88" s="479"/>
      <c r="K88" s="479"/>
      <c r="L88" s="479"/>
      <c r="M88" s="479"/>
      <c r="N88" s="479"/>
      <c r="O88" s="479"/>
      <c r="P88" s="479"/>
      <c r="Q88" s="551"/>
    </row>
    <row r="89" spans="1:17" s="68" customFormat="1" ht="25" customHeight="1">
      <c r="A89" s="564" t="s">
        <v>231</v>
      </c>
      <c r="B89" s="574" t="s">
        <v>278</v>
      </c>
      <c r="C89" s="546">
        <v>5</v>
      </c>
      <c r="D89" s="546">
        <v>1</v>
      </c>
      <c r="E89" s="546">
        <v>3</v>
      </c>
      <c r="F89" s="272">
        <f t="shared" si="9"/>
        <v>247.5</v>
      </c>
      <c r="G89" s="546">
        <v>40</v>
      </c>
      <c r="H89" s="669">
        <f t="shared" si="12"/>
        <v>600</v>
      </c>
      <c r="I89" s="288">
        <f t="shared" si="11"/>
        <v>247.5</v>
      </c>
      <c r="J89" s="289"/>
      <c r="K89" s="289"/>
      <c r="L89" s="289"/>
      <c r="M89" s="289"/>
      <c r="N89" s="289"/>
      <c r="O89" s="289"/>
      <c r="P89" s="289"/>
      <c r="Q89" s="272"/>
    </row>
    <row r="90" spans="1:17" s="68" customFormat="1" ht="25" customHeight="1">
      <c r="A90" s="564"/>
      <c r="B90" s="676" t="s">
        <v>717</v>
      </c>
      <c r="C90" s="546"/>
      <c r="D90" s="546"/>
      <c r="E90" s="546"/>
      <c r="F90" s="551"/>
      <c r="G90" s="546"/>
      <c r="H90" s="546"/>
      <c r="I90" s="549"/>
      <c r="J90" s="479"/>
      <c r="K90" s="479"/>
      <c r="L90" s="479"/>
      <c r="M90" s="479"/>
      <c r="N90" s="479"/>
      <c r="O90" s="479"/>
      <c r="P90" s="479"/>
      <c r="Q90" s="551"/>
    </row>
    <row r="91" spans="1:17" s="68" customFormat="1" ht="25" customHeight="1">
      <c r="A91" s="564" t="s">
        <v>282</v>
      </c>
      <c r="B91" s="574" t="s">
        <v>279</v>
      </c>
      <c r="C91" s="546">
        <v>2</v>
      </c>
      <c r="D91" s="546">
        <v>1</v>
      </c>
      <c r="E91" s="546">
        <v>3</v>
      </c>
      <c r="F91" s="272">
        <f t="shared" si="9"/>
        <v>99</v>
      </c>
      <c r="G91" s="546">
        <v>40</v>
      </c>
      <c r="H91" s="669">
        <f t="shared" si="12"/>
        <v>240</v>
      </c>
      <c r="I91" s="288">
        <f t="shared" si="11"/>
        <v>99</v>
      </c>
      <c r="J91" s="289"/>
      <c r="K91" s="289"/>
      <c r="L91" s="289"/>
      <c r="M91" s="289"/>
      <c r="N91" s="289"/>
      <c r="O91" s="289"/>
      <c r="P91" s="289"/>
      <c r="Q91" s="272"/>
    </row>
    <row r="92" spans="1:17" s="68" customFormat="1" ht="25" customHeight="1">
      <c r="A92" s="564" t="s">
        <v>283</v>
      </c>
      <c r="B92" s="579" t="s">
        <v>256</v>
      </c>
      <c r="C92" s="546">
        <v>3</v>
      </c>
      <c r="D92" s="546">
        <v>1</v>
      </c>
      <c r="E92" s="546">
        <v>5</v>
      </c>
      <c r="F92" s="272">
        <f t="shared" si="9"/>
        <v>247.5</v>
      </c>
      <c r="G92" s="546">
        <v>40</v>
      </c>
      <c r="H92" s="669">
        <f t="shared" si="12"/>
        <v>600</v>
      </c>
      <c r="I92" s="288">
        <f t="shared" si="11"/>
        <v>247.5</v>
      </c>
      <c r="J92" s="289"/>
      <c r="K92" s="289"/>
      <c r="L92" s="289"/>
      <c r="M92" s="289"/>
      <c r="N92" s="289"/>
      <c r="O92" s="289"/>
      <c r="P92" s="289"/>
      <c r="Q92" s="272"/>
    </row>
    <row r="93" spans="1:17" s="68" customFormat="1" ht="25" customHeight="1">
      <c r="A93" s="564"/>
      <c r="B93" s="605" t="s">
        <v>720</v>
      </c>
      <c r="C93" s="546"/>
      <c r="D93" s="546"/>
      <c r="E93" s="546"/>
      <c r="F93" s="551"/>
      <c r="G93" s="546"/>
      <c r="H93" s="546"/>
      <c r="I93" s="549"/>
      <c r="J93" s="479"/>
      <c r="K93" s="479"/>
      <c r="L93" s="479"/>
      <c r="M93" s="479"/>
      <c r="N93" s="479"/>
      <c r="O93" s="479"/>
      <c r="P93" s="479"/>
      <c r="Q93" s="551"/>
    </row>
    <row r="94" spans="1:17" s="68" customFormat="1" ht="25" customHeight="1">
      <c r="A94" s="564" t="s">
        <v>284</v>
      </c>
      <c r="B94" s="579" t="s">
        <v>262</v>
      </c>
      <c r="C94" s="546">
        <v>5</v>
      </c>
      <c r="D94" s="546">
        <v>1</v>
      </c>
      <c r="E94" s="546">
        <v>5</v>
      </c>
      <c r="F94" s="272">
        <f t="shared" si="9"/>
        <v>412.5</v>
      </c>
      <c r="G94" s="546">
        <v>40</v>
      </c>
      <c r="H94" s="669">
        <f t="shared" si="12"/>
        <v>1000</v>
      </c>
      <c r="I94" s="288">
        <f t="shared" si="11"/>
        <v>412.5</v>
      </c>
      <c r="J94" s="289"/>
      <c r="K94" s="289"/>
      <c r="L94" s="289"/>
      <c r="M94" s="289"/>
      <c r="N94" s="289"/>
      <c r="O94" s="289"/>
      <c r="P94" s="289"/>
      <c r="Q94" s="272"/>
    </row>
    <row r="95" spans="1:17" s="68" customFormat="1" ht="25" customHeight="1">
      <c r="A95" s="564" t="s">
        <v>285</v>
      </c>
      <c r="B95" s="579" t="s">
        <v>280</v>
      </c>
      <c r="C95" s="546">
        <v>2</v>
      </c>
      <c r="D95" s="546">
        <v>1</v>
      </c>
      <c r="E95" s="546">
        <v>5</v>
      </c>
      <c r="F95" s="272">
        <f t="shared" si="9"/>
        <v>165</v>
      </c>
      <c r="G95" s="546">
        <v>40</v>
      </c>
      <c r="H95" s="669">
        <f t="shared" si="12"/>
        <v>400</v>
      </c>
      <c r="I95" s="288">
        <f t="shared" si="11"/>
        <v>165</v>
      </c>
      <c r="J95" s="289"/>
      <c r="K95" s="289"/>
      <c r="L95" s="289"/>
      <c r="M95" s="289"/>
      <c r="N95" s="289"/>
      <c r="O95" s="289"/>
      <c r="P95" s="289"/>
      <c r="Q95" s="272"/>
    </row>
    <row r="96" spans="1:17" s="68" customFormat="1" ht="25" customHeight="1">
      <c r="A96" s="564" t="s">
        <v>286</v>
      </c>
      <c r="B96" s="574" t="s">
        <v>281</v>
      </c>
      <c r="C96" s="546">
        <v>2</v>
      </c>
      <c r="D96" s="546">
        <v>1</v>
      </c>
      <c r="E96" s="546">
        <v>5</v>
      </c>
      <c r="F96" s="272">
        <f t="shared" si="9"/>
        <v>165</v>
      </c>
      <c r="G96" s="546">
        <v>40</v>
      </c>
      <c r="H96" s="669">
        <f t="shared" si="12"/>
        <v>400</v>
      </c>
      <c r="I96" s="288">
        <f t="shared" si="11"/>
        <v>165</v>
      </c>
      <c r="J96" s="289"/>
      <c r="K96" s="289"/>
      <c r="L96" s="289"/>
      <c r="M96" s="289"/>
      <c r="N96" s="289"/>
      <c r="O96" s="289"/>
      <c r="P96" s="289"/>
      <c r="Q96" s="272"/>
    </row>
    <row r="97" spans="1:17" s="68" customFormat="1" ht="25" customHeight="1">
      <c r="A97" s="564"/>
      <c r="B97" s="676" t="s">
        <v>293</v>
      </c>
      <c r="C97" s="546"/>
      <c r="D97" s="546"/>
      <c r="E97" s="546"/>
      <c r="F97" s="551"/>
      <c r="G97" s="546"/>
      <c r="H97" s="546"/>
      <c r="I97" s="549"/>
      <c r="J97" s="677"/>
      <c r="K97" s="677"/>
      <c r="L97" s="677"/>
      <c r="M97" s="677"/>
      <c r="N97" s="677"/>
      <c r="O97" s="677"/>
      <c r="P97" s="677"/>
      <c r="Q97" s="551"/>
    </row>
    <row r="98" spans="1:17" s="511" customFormat="1" ht="25" customHeight="1">
      <c r="A98" s="580" t="s">
        <v>289</v>
      </c>
      <c r="B98" s="581" t="s">
        <v>287</v>
      </c>
      <c r="C98" s="582">
        <v>3</v>
      </c>
      <c r="D98" s="582">
        <v>1</v>
      </c>
      <c r="E98" s="582">
        <v>3</v>
      </c>
      <c r="F98" s="272">
        <f t="shared" si="9"/>
        <v>148.5</v>
      </c>
      <c r="G98" s="546">
        <v>40</v>
      </c>
      <c r="H98" s="669">
        <f t="shared" si="12"/>
        <v>360</v>
      </c>
      <c r="I98" s="288">
        <f t="shared" si="11"/>
        <v>148.5</v>
      </c>
      <c r="Q98" s="583"/>
    </row>
    <row r="99" spans="1:17" s="511" customFormat="1" ht="25" customHeight="1">
      <c r="A99" s="580"/>
      <c r="B99" s="678" t="s">
        <v>721</v>
      </c>
      <c r="C99" s="582"/>
      <c r="D99" s="582"/>
      <c r="E99" s="582"/>
      <c r="F99" s="551"/>
      <c r="G99" s="546"/>
      <c r="H99" s="546"/>
      <c r="I99" s="549"/>
      <c r="Q99" s="588"/>
    </row>
    <row r="100" spans="1:17" s="511" customFormat="1" ht="25" customHeight="1">
      <c r="A100" s="580" t="s">
        <v>290</v>
      </c>
      <c r="B100" s="581" t="s">
        <v>265</v>
      </c>
      <c r="C100" s="582">
        <v>3</v>
      </c>
      <c r="D100" s="582">
        <v>1</v>
      </c>
      <c r="E100" s="582">
        <v>3</v>
      </c>
      <c r="F100" s="272">
        <f t="shared" si="9"/>
        <v>148.5</v>
      </c>
      <c r="G100" s="546">
        <v>40</v>
      </c>
      <c r="H100" s="669">
        <f t="shared" si="12"/>
        <v>360</v>
      </c>
      <c r="I100" s="288">
        <f t="shared" si="11"/>
        <v>148.5</v>
      </c>
      <c r="J100" s="584"/>
      <c r="K100" s="584"/>
      <c r="L100" s="585"/>
      <c r="M100" s="586"/>
      <c r="N100" s="586"/>
      <c r="O100" s="587"/>
      <c r="P100" s="587"/>
      <c r="Q100" s="588"/>
    </row>
    <row r="101" spans="1:17" s="511" customFormat="1" ht="25" customHeight="1">
      <c r="A101" s="580"/>
      <c r="B101" s="678" t="s">
        <v>662</v>
      </c>
      <c r="C101" s="582"/>
      <c r="D101" s="582"/>
      <c r="E101" s="582"/>
      <c r="F101" s="551"/>
      <c r="G101" s="546"/>
      <c r="H101" s="546"/>
      <c r="I101" s="549"/>
      <c r="J101" s="584"/>
      <c r="K101" s="584"/>
      <c r="L101" s="585"/>
      <c r="M101" s="586"/>
      <c r="N101" s="586"/>
      <c r="O101" s="587"/>
      <c r="P101" s="587"/>
      <c r="Q101" s="588"/>
    </row>
    <row r="102" spans="1:17" s="511" customFormat="1" ht="25" customHeight="1">
      <c r="A102" s="580" t="s">
        <v>291</v>
      </c>
      <c r="B102" s="581" t="s">
        <v>288</v>
      </c>
      <c r="C102" s="582">
        <v>5</v>
      </c>
      <c r="D102" s="582">
        <v>1</v>
      </c>
      <c r="E102" s="582">
        <v>3</v>
      </c>
      <c r="F102" s="272">
        <f t="shared" si="9"/>
        <v>247.5</v>
      </c>
      <c r="G102" s="546">
        <v>40</v>
      </c>
      <c r="H102" s="669">
        <f t="shared" si="12"/>
        <v>600</v>
      </c>
      <c r="I102" s="288">
        <f t="shared" si="11"/>
        <v>247.5</v>
      </c>
      <c r="J102" s="584"/>
      <c r="K102" s="584"/>
      <c r="L102" s="585"/>
      <c r="M102" s="586"/>
      <c r="N102" s="586"/>
      <c r="O102" s="587"/>
      <c r="P102" s="587"/>
      <c r="Q102" s="588"/>
    </row>
    <row r="103" spans="1:17" s="511" customFormat="1" ht="25" customHeight="1">
      <c r="A103" s="589"/>
      <c r="B103" s="566" t="s">
        <v>353</v>
      </c>
      <c r="C103" s="567">
        <f t="shared" ref="C103:I103" si="13">SUM(C80:C102)</f>
        <v>48</v>
      </c>
      <c r="D103" s="567">
        <f t="shared" si="13"/>
        <v>15</v>
      </c>
      <c r="E103" s="567">
        <f t="shared" si="13"/>
        <v>53</v>
      </c>
      <c r="F103" s="567">
        <f t="shared" si="13"/>
        <v>2772</v>
      </c>
      <c r="G103" s="567">
        <f t="shared" si="13"/>
        <v>600</v>
      </c>
      <c r="H103" s="567">
        <f t="shared" si="13"/>
        <v>6720</v>
      </c>
      <c r="I103" s="567">
        <f t="shared" si="13"/>
        <v>2772</v>
      </c>
      <c r="J103" s="584"/>
      <c r="K103" s="584"/>
      <c r="L103" s="585"/>
      <c r="M103" s="586"/>
      <c r="N103" s="586"/>
      <c r="O103" s="587"/>
      <c r="P103" s="587"/>
      <c r="Q103" s="588"/>
    </row>
    <row r="104" spans="1:17" s="511" customFormat="1" ht="25" customHeight="1">
      <c r="A104" s="590">
        <v>2</v>
      </c>
      <c r="B104" s="590" t="s">
        <v>85</v>
      </c>
      <c r="C104" s="582">
        <v>0</v>
      </c>
      <c r="D104" s="582">
        <v>0</v>
      </c>
      <c r="E104" s="582">
        <v>0</v>
      </c>
      <c r="F104" s="582"/>
      <c r="G104" s="546">
        <v>0</v>
      </c>
      <c r="H104" s="591"/>
      <c r="I104" s="591"/>
      <c r="J104" s="584"/>
      <c r="K104" s="584"/>
      <c r="L104" s="585"/>
      <c r="M104" s="586"/>
      <c r="N104" s="586"/>
      <c r="O104" s="587"/>
      <c r="P104" s="587"/>
      <c r="Q104" s="588"/>
    </row>
    <row r="105" spans="1:17" s="68" customFormat="1" ht="25" customHeight="1">
      <c r="A105" s="592"/>
      <c r="B105" s="592" t="s">
        <v>374</v>
      </c>
      <c r="C105" s="492">
        <f t="shared" ref="C105:I105" si="14">C63+C74+C103</f>
        <v>188</v>
      </c>
      <c r="D105" s="492">
        <f t="shared" si="14"/>
        <v>65.66</v>
      </c>
      <c r="E105" s="492">
        <f t="shared" si="14"/>
        <v>215</v>
      </c>
      <c r="F105" s="492">
        <f t="shared" si="14"/>
        <v>10621.3</v>
      </c>
      <c r="G105" s="492">
        <f t="shared" si="14"/>
        <v>2779</v>
      </c>
      <c r="H105" s="492">
        <f t="shared" si="14"/>
        <v>25618</v>
      </c>
      <c r="I105" s="492">
        <f t="shared" si="14"/>
        <v>10621.3</v>
      </c>
      <c r="J105" s="593">
        <v>0</v>
      </c>
      <c r="K105" s="593">
        <v>0</v>
      </c>
      <c r="L105" s="594">
        <f>'Bieu3 GDTH'!F24</f>
        <v>2632</v>
      </c>
      <c r="M105" s="595">
        <f>'Bieu3 GDTH'!N24</f>
        <v>2402.5</v>
      </c>
      <c r="N105" s="595">
        <f>F105-M105</f>
        <v>8218.7999999999993</v>
      </c>
      <c r="O105" s="302">
        <f>'Bieu3 GDTH'!O24</f>
        <v>1422.25</v>
      </c>
      <c r="P105" s="302">
        <f>'Bieu3 GDTH'!P24</f>
        <v>780</v>
      </c>
      <c r="Q105" s="495" t="s">
        <v>702</v>
      </c>
    </row>
    <row r="106" spans="1:17" s="68" customFormat="1" ht="25" customHeight="1">
      <c r="A106" s="536" t="s">
        <v>19</v>
      </c>
      <c r="B106" s="536" t="s">
        <v>375</v>
      </c>
      <c r="C106" s="669"/>
      <c r="D106" s="669"/>
      <c r="E106" s="669"/>
      <c r="F106" s="669"/>
      <c r="G106" s="669"/>
      <c r="H106" s="669"/>
      <c r="I106" s="289"/>
      <c r="J106" s="289"/>
      <c r="K106" s="289"/>
      <c r="L106" s="289"/>
      <c r="M106" s="289"/>
      <c r="N106" s="289"/>
      <c r="O106" s="289"/>
      <c r="P106" s="289"/>
      <c r="Q106" s="272"/>
    </row>
    <row r="107" spans="1:17" s="68" customFormat="1" ht="25" customHeight="1">
      <c r="A107" s="596" t="s">
        <v>377</v>
      </c>
      <c r="B107" s="596" t="s">
        <v>378</v>
      </c>
      <c r="C107" s="669"/>
      <c r="D107" s="669"/>
      <c r="E107" s="669"/>
      <c r="F107" s="669"/>
      <c r="G107" s="669"/>
      <c r="H107" s="669"/>
      <c r="I107" s="289"/>
      <c r="J107" s="289"/>
      <c r="K107" s="289"/>
      <c r="L107" s="289"/>
      <c r="M107" s="289"/>
      <c r="N107" s="289"/>
      <c r="O107" s="289"/>
      <c r="P107" s="289"/>
      <c r="Q107" s="272"/>
    </row>
    <row r="108" spans="1:17" s="68" customFormat="1" ht="25" customHeight="1">
      <c r="A108" s="596">
        <v>1</v>
      </c>
      <c r="B108" s="596" t="s">
        <v>379</v>
      </c>
      <c r="C108" s="669"/>
      <c r="D108" s="669"/>
      <c r="E108" s="669"/>
      <c r="F108" s="669"/>
      <c r="G108" s="669"/>
      <c r="H108" s="669"/>
      <c r="I108" s="289"/>
      <c r="J108" s="289"/>
      <c r="K108" s="289"/>
      <c r="L108" s="289"/>
      <c r="M108" s="289"/>
      <c r="N108" s="289"/>
      <c r="O108" s="289"/>
      <c r="P108" s="289"/>
      <c r="Q108" s="272"/>
    </row>
    <row r="109" spans="1:17" s="68" customFormat="1" ht="25" customHeight="1">
      <c r="A109" s="597" t="s">
        <v>147</v>
      </c>
      <c r="B109" s="598" t="s">
        <v>161</v>
      </c>
      <c r="C109" s="669"/>
      <c r="D109" s="669"/>
      <c r="E109" s="669"/>
      <c r="F109" s="669"/>
      <c r="G109" s="669"/>
      <c r="H109" s="669"/>
      <c r="I109" s="289"/>
      <c r="J109" s="289"/>
      <c r="K109" s="289"/>
      <c r="L109" s="289"/>
      <c r="M109" s="289"/>
      <c r="N109" s="289"/>
      <c r="O109" s="289"/>
      <c r="P109" s="289"/>
      <c r="Q109" s="272"/>
    </row>
    <row r="110" spans="1:17" s="68" customFormat="1" ht="25" customHeight="1">
      <c r="A110" s="498"/>
      <c r="B110" s="605" t="s">
        <v>722</v>
      </c>
      <c r="C110" s="546"/>
      <c r="D110" s="546"/>
      <c r="E110" s="546"/>
      <c r="F110" s="546"/>
      <c r="G110" s="546"/>
      <c r="H110" s="546"/>
      <c r="I110" s="479"/>
      <c r="J110" s="479"/>
      <c r="K110" s="479"/>
      <c r="L110" s="479"/>
      <c r="M110" s="479"/>
      <c r="N110" s="479"/>
      <c r="O110" s="479"/>
      <c r="P110" s="479"/>
      <c r="Q110" s="551"/>
    </row>
    <row r="111" spans="1:17" s="68" customFormat="1" ht="25" customHeight="1">
      <c r="A111" s="544" t="s">
        <v>226</v>
      </c>
      <c r="B111" s="573" t="s">
        <v>597</v>
      </c>
      <c r="C111" s="549">
        <v>3</v>
      </c>
      <c r="D111" s="549">
        <v>1</v>
      </c>
      <c r="E111" s="549">
        <v>3</v>
      </c>
      <c r="F111" s="272">
        <f t="shared" ref="F111:F145" si="15">I111+J111+K111</f>
        <v>148.5</v>
      </c>
      <c r="G111" s="549">
        <v>60</v>
      </c>
      <c r="H111" s="669">
        <f t="shared" ref="H111:H159" si="16">C111*E111*G111</f>
        <v>540</v>
      </c>
      <c r="I111" s="288">
        <f t="shared" ref="I111:I149" si="17">IF(G111&lt;70, C111*E111*16.5*1, C111*E111*16.5*1.3)</f>
        <v>148.5</v>
      </c>
      <c r="J111" s="479"/>
      <c r="K111" s="479"/>
      <c r="L111" s="289"/>
      <c r="M111" s="289"/>
      <c r="N111" s="289"/>
      <c r="O111" s="289"/>
      <c r="P111" s="289"/>
      <c r="Q111" s="272"/>
    </row>
    <row r="112" spans="1:17" s="68" customFormat="1" ht="25" customHeight="1">
      <c r="A112" s="544" t="s">
        <v>227</v>
      </c>
      <c r="B112" s="573" t="s">
        <v>598</v>
      </c>
      <c r="C112" s="549">
        <v>4</v>
      </c>
      <c r="D112" s="549">
        <v>1.3</v>
      </c>
      <c r="E112" s="549">
        <v>3</v>
      </c>
      <c r="F112" s="272">
        <f t="shared" si="15"/>
        <v>257.40000000000003</v>
      </c>
      <c r="G112" s="549">
        <v>70</v>
      </c>
      <c r="H112" s="669">
        <f t="shared" si="16"/>
        <v>840</v>
      </c>
      <c r="I112" s="288">
        <f t="shared" si="17"/>
        <v>257.40000000000003</v>
      </c>
      <c r="J112" s="479"/>
      <c r="K112" s="479"/>
      <c r="L112" s="289"/>
      <c r="M112" s="289"/>
      <c r="N112" s="289"/>
      <c r="O112" s="289"/>
      <c r="P112" s="289"/>
      <c r="Q112" s="272"/>
    </row>
    <row r="113" spans="1:17" s="68" customFormat="1" ht="25" customHeight="1">
      <c r="A113" s="544"/>
      <c r="B113" s="572" t="s">
        <v>723</v>
      </c>
      <c r="C113" s="549"/>
      <c r="D113" s="549"/>
      <c r="E113" s="549"/>
      <c r="F113" s="551"/>
      <c r="G113" s="549"/>
      <c r="H113" s="546"/>
      <c r="I113" s="549"/>
      <c r="J113" s="479"/>
      <c r="K113" s="479"/>
      <c r="L113" s="479"/>
      <c r="M113" s="479"/>
      <c r="N113" s="479"/>
      <c r="O113" s="479"/>
      <c r="P113" s="479"/>
      <c r="Q113" s="551"/>
    </row>
    <row r="114" spans="1:17" s="68" customFormat="1" ht="25" customHeight="1">
      <c r="A114" s="544" t="s">
        <v>228</v>
      </c>
      <c r="B114" s="573" t="s">
        <v>599</v>
      </c>
      <c r="C114" s="549">
        <v>1</v>
      </c>
      <c r="D114" s="549">
        <v>1.3</v>
      </c>
      <c r="E114" s="549">
        <v>8</v>
      </c>
      <c r="F114" s="272">
        <f t="shared" si="15"/>
        <v>132</v>
      </c>
      <c r="G114" s="549">
        <v>20</v>
      </c>
      <c r="H114" s="669">
        <f t="shared" si="16"/>
        <v>160</v>
      </c>
      <c r="I114" s="288">
        <f t="shared" si="17"/>
        <v>132</v>
      </c>
      <c r="J114" s="479"/>
      <c r="K114" s="479"/>
      <c r="L114" s="289"/>
      <c r="M114" s="289"/>
      <c r="N114" s="289"/>
      <c r="O114" s="289"/>
      <c r="P114" s="289"/>
      <c r="Q114" s="272"/>
    </row>
    <row r="115" spans="1:17" s="68" customFormat="1" ht="25" customHeight="1">
      <c r="A115" s="544" t="s">
        <v>228</v>
      </c>
      <c r="B115" s="573" t="s">
        <v>600</v>
      </c>
      <c r="C115" s="549">
        <v>1</v>
      </c>
      <c r="D115" s="549">
        <v>1.3</v>
      </c>
      <c r="E115" s="549">
        <v>8</v>
      </c>
      <c r="F115" s="272">
        <f t="shared" si="15"/>
        <v>132</v>
      </c>
      <c r="G115" s="549">
        <v>20</v>
      </c>
      <c r="H115" s="669">
        <f t="shared" si="16"/>
        <v>160</v>
      </c>
      <c r="I115" s="288">
        <f t="shared" si="17"/>
        <v>132</v>
      </c>
      <c r="J115" s="479"/>
      <c r="K115" s="479"/>
      <c r="L115" s="289"/>
      <c r="M115" s="289"/>
      <c r="N115" s="289"/>
      <c r="O115" s="289"/>
      <c r="P115" s="289"/>
      <c r="Q115" s="272"/>
    </row>
    <row r="116" spans="1:17" s="68" customFormat="1" ht="25" customHeight="1">
      <c r="A116" s="544" t="s">
        <v>229</v>
      </c>
      <c r="B116" s="573" t="s">
        <v>601</v>
      </c>
      <c r="C116" s="549">
        <v>1</v>
      </c>
      <c r="D116" s="549">
        <v>1.3</v>
      </c>
      <c r="E116" s="549">
        <v>7</v>
      </c>
      <c r="F116" s="272">
        <f t="shared" si="15"/>
        <v>115.5</v>
      </c>
      <c r="G116" s="549">
        <v>20</v>
      </c>
      <c r="H116" s="669">
        <f t="shared" si="16"/>
        <v>140</v>
      </c>
      <c r="I116" s="288">
        <f t="shared" si="17"/>
        <v>115.5</v>
      </c>
      <c r="J116" s="479"/>
      <c r="K116" s="479"/>
      <c r="L116" s="289"/>
      <c r="M116" s="289"/>
      <c r="N116" s="289"/>
      <c r="O116" s="289"/>
      <c r="P116" s="289"/>
      <c r="Q116" s="272"/>
    </row>
    <row r="117" spans="1:17" s="68" customFormat="1" ht="25" customHeight="1">
      <c r="A117" s="544" t="s">
        <v>398</v>
      </c>
      <c r="B117" s="574" t="s">
        <v>376</v>
      </c>
      <c r="C117" s="546">
        <v>2</v>
      </c>
      <c r="D117" s="546">
        <v>1.3</v>
      </c>
      <c r="E117" s="546">
        <v>2</v>
      </c>
      <c r="F117" s="272">
        <f t="shared" si="15"/>
        <v>85.8</v>
      </c>
      <c r="G117" s="546">
        <v>70</v>
      </c>
      <c r="H117" s="669">
        <f>C117*E117*G117</f>
        <v>280</v>
      </c>
      <c r="I117" s="288">
        <f>IF(G117&lt;70, C117*E117*16.5*1, C117*E117*16.5*1.3)</f>
        <v>85.8</v>
      </c>
      <c r="J117" s="479"/>
      <c r="K117" s="479"/>
      <c r="L117" s="479"/>
      <c r="M117" s="479"/>
      <c r="N117" s="479"/>
      <c r="O117" s="479"/>
      <c r="P117" s="479"/>
      <c r="Q117" s="551"/>
    </row>
    <row r="118" spans="1:17" s="68" customFormat="1" ht="25" customHeight="1">
      <c r="A118" s="544"/>
      <c r="B118" s="572" t="s">
        <v>724</v>
      </c>
      <c r="C118" s="549"/>
      <c r="D118" s="549"/>
      <c r="E118" s="549"/>
      <c r="F118" s="551"/>
      <c r="G118" s="549"/>
      <c r="H118" s="546"/>
      <c r="I118" s="549"/>
      <c r="J118" s="479"/>
      <c r="K118" s="479"/>
      <c r="L118" s="479"/>
      <c r="M118" s="479"/>
      <c r="N118" s="479"/>
      <c r="O118" s="479"/>
      <c r="P118" s="479"/>
      <c r="Q118" s="551"/>
    </row>
    <row r="119" spans="1:17" s="68" customFormat="1" ht="25" customHeight="1">
      <c r="A119" s="544" t="s">
        <v>230</v>
      </c>
      <c r="B119" s="573" t="s">
        <v>385</v>
      </c>
      <c r="C119" s="549">
        <v>4</v>
      </c>
      <c r="D119" s="549">
        <v>1</v>
      </c>
      <c r="E119" s="549">
        <v>3</v>
      </c>
      <c r="F119" s="272">
        <f t="shared" si="15"/>
        <v>198</v>
      </c>
      <c r="G119" s="549">
        <v>60</v>
      </c>
      <c r="H119" s="669">
        <f t="shared" si="16"/>
        <v>720</v>
      </c>
      <c r="I119" s="288">
        <f t="shared" si="17"/>
        <v>198</v>
      </c>
      <c r="J119" s="479"/>
      <c r="K119" s="479"/>
      <c r="L119" s="289"/>
      <c r="M119" s="289"/>
      <c r="N119" s="289"/>
      <c r="O119" s="289"/>
      <c r="P119" s="289"/>
      <c r="Q119" s="272"/>
    </row>
    <row r="120" spans="1:17" s="68" customFormat="1" ht="25" customHeight="1">
      <c r="A120" s="544"/>
      <c r="B120" s="572" t="s">
        <v>731</v>
      </c>
      <c r="C120" s="549"/>
      <c r="D120" s="549"/>
      <c r="E120" s="549"/>
      <c r="F120" s="551"/>
      <c r="G120" s="549"/>
      <c r="H120" s="546"/>
      <c r="I120" s="549"/>
      <c r="J120" s="479"/>
      <c r="K120" s="479"/>
      <c r="L120" s="479"/>
      <c r="M120" s="479"/>
      <c r="N120" s="479"/>
      <c r="O120" s="479"/>
      <c r="P120" s="479"/>
      <c r="Q120" s="551"/>
    </row>
    <row r="121" spans="1:17" s="68" customFormat="1" ht="25" customHeight="1">
      <c r="A121" s="544" t="s">
        <v>282</v>
      </c>
      <c r="B121" s="573" t="s">
        <v>602</v>
      </c>
      <c r="C121" s="549">
        <v>2</v>
      </c>
      <c r="D121" s="549">
        <v>1</v>
      </c>
      <c r="E121" s="549">
        <v>3</v>
      </c>
      <c r="F121" s="272">
        <f t="shared" si="15"/>
        <v>128.70000000000002</v>
      </c>
      <c r="G121" s="549">
        <v>70</v>
      </c>
      <c r="H121" s="669">
        <f t="shared" si="16"/>
        <v>420</v>
      </c>
      <c r="I121" s="288">
        <f t="shared" si="17"/>
        <v>128.70000000000002</v>
      </c>
      <c r="J121" s="479"/>
      <c r="K121" s="479"/>
      <c r="L121" s="289"/>
      <c r="M121" s="289"/>
      <c r="N121" s="289"/>
      <c r="O121" s="289"/>
      <c r="P121" s="289"/>
      <c r="Q121" s="272"/>
    </row>
    <row r="122" spans="1:17" s="68" customFormat="1" ht="25" customHeight="1">
      <c r="A122" s="544"/>
      <c r="B122" s="572" t="s">
        <v>727</v>
      </c>
      <c r="C122" s="549"/>
      <c r="D122" s="549"/>
      <c r="E122" s="549"/>
      <c r="F122" s="272">
        <f t="shared" si="15"/>
        <v>0</v>
      </c>
      <c r="G122" s="549"/>
      <c r="H122" s="546"/>
      <c r="I122" s="549"/>
      <c r="J122" s="479"/>
      <c r="K122" s="479"/>
      <c r="L122" s="479"/>
      <c r="M122" s="479"/>
      <c r="N122" s="479"/>
      <c r="O122" s="479"/>
      <c r="P122" s="479"/>
      <c r="Q122" s="551"/>
    </row>
    <row r="123" spans="1:17" s="68" customFormat="1" ht="25" customHeight="1">
      <c r="A123" s="544" t="s">
        <v>290</v>
      </c>
      <c r="B123" s="573" t="s">
        <v>608</v>
      </c>
      <c r="C123" s="546">
        <v>3</v>
      </c>
      <c r="D123" s="546">
        <v>1</v>
      </c>
      <c r="E123" s="546">
        <v>2</v>
      </c>
      <c r="F123" s="272">
        <f t="shared" si="15"/>
        <v>128.70000000000002</v>
      </c>
      <c r="G123" s="546">
        <v>70</v>
      </c>
      <c r="H123" s="669">
        <f>C123*E123*G123</f>
        <v>420</v>
      </c>
      <c r="I123" s="288">
        <f>IF(G123&lt;70, C123*E123*16.5*1, C123*E123*16.5*1.3)</f>
        <v>128.70000000000002</v>
      </c>
      <c r="J123" s="479"/>
      <c r="K123" s="479"/>
      <c r="L123" s="479"/>
      <c r="M123" s="479"/>
      <c r="N123" s="479"/>
      <c r="O123" s="479"/>
      <c r="P123" s="479"/>
      <c r="Q123" s="551"/>
    </row>
    <row r="124" spans="1:17" s="68" customFormat="1" ht="25" customHeight="1">
      <c r="A124" s="544" t="s">
        <v>291</v>
      </c>
      <c r="B124" s="573" t="s">
        <v>499</v>
      </c>
      <c r="C124" s="546">
        <v>2</v>
      </c>
      <c r="D124" s="546">
        <v>1</v>
      </c>
      <c r="E124" s="546">
        <v>1</v>
      </c>
      <c r="F124" s="272">
        <f t="shared" si="15"/>
        <v>33</v>
      </c>
      <c r="G124" s="546">
        <v>40</v>
      </c>
      <c r="H124" s="669">
        <f>C124*E124*G124</f>
        <v>80</v>
      </c>
      <c r="I124" s="288">
        <f>IF(G124&lt;70, C124*E124*16.5*1, C124*E124*16.5*1.3)</f>
        <v>33</v>
      </c>
      <c r="J124" s="479"/>
      <c r="K124" s="479"/>
      <c r="L124" s="479"/>
      <c r="M124" s="479"/>
      <c r="N124" s="479"/>
      <c r="O124" s="479"/>
      <c r="P124" s="479"/>
      <c r="Q124" s="551"/>
    </row>
    <row r="125" spans="1:17" s="68" customFormat="1" ht="25" customHeight="1">
      <c r="A125" s="544"/>
      <c r="B125" s="572" t="s">
        <v>725</v>
      </c>
      <c r="C125" s="549"/>
      <c r="D125" s="549"/>
      <c r="E125" s="549"/>
      <c r="F125" s="551"/>
      <c r="G125" s="549"/>
      <c r="H125" s="546"/>
      <c r="I125" s="549"/>
      <c r="J125" s="479"/>
      <c r="K125" s="479"/>
      <c r="L125" s="479"/>
      <c r="M125" s="479"/>
      <c r="N125" s="479"/>
      <c r="O125" s="479"/>
      <c r="P125" s="479"/>
      <c r="Q125" s="551"/>
    </row>
    <row r="126" spans="1:17" s="68" customFormat="1" ht="25" customHeight="1">
      <c r="A126" s="544" t="s">
        <v>283</v>
      </c>
      <c r="B126" s="573" t="s">
        <v>603</v>
      </c>
      <c r="C126" s="549">
        <v>3</v>
      </c>
      <c r="D126" s="549">
        <v>1</v>
      </c>
      <c r="E126" s="549">
        <v>2</v>
      </c>
      <c r="F126" s="272">
        <f t="shared" si="15"/>
        <v>99</v>
      </c>
      <c r="G126" s="549">
        <v>60</v>
      </c>
      <c r="H126" s="669">
        <f t="shared" si="16"/>
        <v>360</v>
      </c>
      <c r="I126" s="288">
        <f t="shared" si="17"/>
        <v>99</v>
      </c>
      <c r="J126" s="479"/>
      <c r="K126" s="479"/>
      <c r="L126" s="289"/>
      <c r="M126" s="289"/>
      <c r="N126" s="289"/>
      <c r="O126" s="289"/>
      <c r="P126" s="289"/>
      <c r="Q126" s="272"/>
    </row>
    <row r="127" spans="1:17" s="68" customFormat="1" ht="25" customHeight="1">
      <c r="A127" s="544" t="s">
        <v>284</v>
      </c>
      <c r="B127" s="573" t="s">
        <v>604</v>
      </c>
      <c r="C127" s="549">
        <v>3</v>
      </c>
      <c r="D127" s="549">
        <v>1.1000000000000001</v>
      </c>
      <c r="E127" s="549">
        <v>3</v>
      </c>
      <c r="F127" s="272">
        <f t="shared" si="15"/>
        <v>193.05</v>
      </c>
      <c r="G127" s="549">
        <v>70</v>
      </c>
      <c r="H127" s="669">
        <f t="shared" si="16"/>
        <v>630</v>
      </c>
      <c r="I127" s="288">
        <f t="shared" si="17"/>
        <v>193.05</v>
      </c>
      <c r="J127" s="479"/>
      <c r="K127" s="479"/>
      <c r="L127" s="289"/>
      <c r="M127" s="289"/>
      <c r="N127" s="289"/>
      <c r="O127" s="289"/>
      <c r="P127" s="289"/>
      <c r="Q127" s="272"/>
    </row>
    <row r="128" spans="1:17" s="68" customFormat="1" ht="25" customHeight="1">
      <c r="A128" s="544"/>
      <c r="B128" s="572" t="s">
        <v>726</v>
      </c>
      <c r="C128" s="549"/>
      <c r="D128" s="549"/>
      <c r="E128" s="549"/>
      <c r="F128" s="551"/>
      <c r="G128" s="549"/>
      <c r="H128" s="546"/>
      <c r="I128" s="549"/>
      <c r="J128" s="479"/>
      <c r="K128" s="479"/>
      <c r="L128" s="479"/>
      <c r="M128" s="479"/>
      <c r="N128" s="479"/>
      <c r="O128" s="479"/>
      <c r="P128" s="479"/>
      <c r="Q128" s="551"/>
    </row>
    <row r="129" spans="1:17" s="68" customFormat="1" ht="25" customHeight="1">
      <c r="A129" s="544" t="s">
        <v>285</v>
      </c>
      <c r="B129" s="573" t="s">
        <v>605</v>
      </c>
      <c r="C129" s="546">
        <v>3</v>
      </c>
      <c r="D129" s="546">
        <v>1</v>
      </c>
      <c r="E129" s="546">
        <v>2</v>
      </c>
      <c r="F129" s="272">
        <f t="shared" si="15"/>
        <v>128.70000000000002</v>
      </c>
      <c r="G129" s="546">
        <v>70</v>
      </c>
      <c r="H129" s="669">
        <f t="shared" si="16"/>
        <v>420</v>
      </c>
      <c r="I129" s="288">
        <f t="shared" si="17"/>
        <v>128.70000000000002</v>
      </c>
      <c r="J129" s="479"/>
      <c r="K129" s="479"/>
      <c r="L129" s="289"/>
      <c r="M129" s="289"/>
      <c r="N129" s="289"/>
      <c r="O129" s="289"/>
      <c r="P129" s="289"/>
      <c r="Q129" s="272"/>
    </row>
    <row r="130" spans="1:17" s="68" customFormat="1" ht="25" customHeight="1">
      <c r="A130" s="544" t="s">
        <v>286</v>
      </c>
      <c r="B130" s="573" t="s">
        <v>606</v>
      </c>
      <c r="C130" s="546">
        <v>4</v>
      </c>
      <c r="D130" s="546">
        <v>1</v>
      </c>
      <c r="E130" s="546">
        <v>3</v>
      </c>
      <c r="F130" s="272">
        <f t="shared" si="15"/>
        <v>257.40000000000003</v>
      </c>
      <c r="G130" s="546">
        <v>70</v>
      </c>
      <c r="H130" s="669">
        <f t="shared" si="16"/>
        <v>840</v>
      </c>
      <c r="I130" s="288">
        <f t="shared" si="17"/>
        <v>257.40000000000003</v>
      </c>
      <c r="J130" s="479"/>
      <c r="K130" s="479"/>
      <c r="L130" s="289"/>
      <c r="M130" s="289"/>
      <c r="N130" s="289"/>
      <c r="O130" s="289"/>
      <c r="P130" s="289"/>
      <c r="Q130" s="272"/>
    </row>
    <row r="131" spans="1:17" s="68" customFormat="1" ht="25" customHeight="1">
      <c r="A131" s="544"/>
      <c r="B131" s="572" t="s">
        <v>728</v>
      </c>
      <c r="C131" s="546"/>
      <c r="D131" s="546"/>
      <c r="E131" s="546"/>
      <c r="F131" s="551"/>
      <c r="G131" s="546"/>
      <c r="H131" s="546"/>
      <c r="I131" s="549"/>
      <c r="J131" s="479"/>
      <c r="K131" s="479"/>
      <c r="L131" s="479"/>
      <c r="M131" s="479"/>
      <c r="N131" s="479"/>
      <c r="O131" s="479"/>
      <c r="P131" s="479"/>
      <c r="Q131" s="551"/>
    </row>
    <row r="132" spans="1:17" s="68" customFormat="1" ht="25" customHeight="1">
      <c r="A132" s="544" t="s">
        <v>289</v>
      </c>
      <c r="B132" s="573" t="s">
        <v>607</v>
      </c>
      <c r="C132" s="546">
        <v>2</v>
      </c>
      <c r="D132" s="546">
        <v>1.3</v>
      </c>
      <c r="E132" s="546">
        <v>6</v>
      </c>
      <c r="F132" s="272">
        <f t="shared" si="15"/>
        <v>198</v>
      </c>
      <c r="G132" s="546">
        <v>25</v>
      </c>
      <c r="H132" s="669">
        <f t="shared" si="16"/>
        <v>300</v>
      </c>
      <c r="I132" s="288">
        <f t="shared" si="17"/>
        <v>198</v>
      </c>
      <c r="J132" s="479"/>
      <c r="K132" s="479"/>
      <c r="L132" s="289"/>
      <c r="M132" s="289"/>
      <c r="N132" s="289"/>
      <c r="O132" s="289"/>
      <c r="P132" s="289"/>
      <c r="Q132" s="272"/>
    </row>
    <row r="133" spans="1:17" s="68" customFormat="1" ht="25" customHeight="1">
      <c r="A133" s="544" t="s">
        <v>292</v>
      </c>
      <c r="B133" s="574" t="s">
        <v>609</v>
      </c>
      <c r="C133" s="546">
        <v>4</v>
      </c>
      <c r="D133" s="546">
        <v>1</v>
      </c>
      <c r="E133" s="546">
        <v>3</v>
      </c>
      <c r="F133" s="272">
        <f t="shared" si="15"/>
        <v>257.40000000000003</v>
      </c>
      <c r="G133" s="546">
        <v>70</v>
      </c>
      <c r="H133" s="669">
        <f t="shared" si="16"/>
        <v>840</v>
      </c>
      <c r="I133" s="288">
        <f t="shared" si="17"/>
        <v>257.40000000000003</v>
      </c>
      <c r="J133" s="599">
        <v>0</v>
      </c>
      <c r="K133" s="599">
        <v>0</v>
      </c>
      <c r="L133" s="289"/>
      <c r="M133" s="289"/>
      <c r="N133" s="289"/>
      <c r="O133" s="289"/>
      <c r="P133" s="289"/>
      <c r="Q133" s="272"/>
    </row>
    <row r="134" spans="1:17" s="68" customFormat="1" ht="25" customHeight="1">
      <c r="A134" s="544" t="s">
        <v>395</v>
      </c>
      <c r="B134" s="574" t="s">
        <v>610</v>
      </c>
      <c r="C134" s="546">
        <v>3</v>
      </c>
      <c r="D134" s="546">
        <v>1.2</v>
      </c>
      <c r="E134" s="546">
        <v>2</v>
      </c>
      <c r="F134" s="272">
        <f t="shared" si="15"/>
        <v>99</v>
      </c>
      <c r="G134" s="546">
        <v>25</v>
      </c>
      <c r="H134" s="669">
        <f t="shared" si="16"/>
        <v>150</v>
      </c>
      <c r="I134" s="288">
        <v>0</v>
      </c>
      <c r="J134" s="549">
        <f>IF(G134&lt;70, C134*E134*16.5*1, C134*E134*16.5*1.3)</f>
        <v>99</v>
      </c>
      <c r="K134" s="479"/>
      <c r="L134" s="289"/>
      <c r="M134" s="289"/>
      <c r="N134" s="289"/>
      <c r="O134" s="289"/>
      <c r="P134" s="289"/>
      <c r="Q134" s="272"/>
    </row>
    <row r="135" spans="1:17" s="68" customFormat="1" ht="25" customHeight="1">
      <c r="A135" s="544" t="s">
        <v>396</v>
      </c>
      <c r="B135" s="574" t="s">
        <v>611</v>
      </c>
      <c r="C135" s="546">
        <v>4</v>
      </c>
      <c r="D135" s="546">
        <v>1</v>
      </c>
      <c r="E135" s="546">
        <v>3</v>
      </c>
      <c r="F135" s="272">
        <f t="shared" si="15"/>
        <v>257.40000000000003</v>
      </c>
      <c r="G135" s="546">
        <v>70</v>
      </c>
      <c r="H135" s="669">
        <f t="shared" si="16"/>
        <v>840</v>
      </c>
      <c r="I135" s="288">
        <f t="shared" si="17"/>
        <v>257.40000000000003</v>
      </c>
      <c r="J135" s="479"/>
      <c r="K135" s="479"/>
      <c r="L135" s="289"/>
      <c r="M135" s="289"/>
      <c r="N135" s="289"/>
      <c r="O135" s="289"/>
      <c r="P135" s="289"/>
      <c r="Q135" s="272"/>
    </row>
    <row r="136" spans="1:17" s="68" customFormat="1" ht="25" customHeight="1">
      <c r="A136" s="544" t="s">
        <v>397</v>
      </c>
      <c r="B136" s="574" t="s">
        <v>612</v>
      </c>
      <c r="C136" s="546">
        <v>4</v>
      </c>
      <c r="D136" s="546">
        <v>1</v>
      </c>
      <c r="E136" s="546">
        <v>3</v>
      </c>
      <c r="F136" s="272">
        <f t="shared" si="15"/>
        <v>257.40000000000003</v>
      </c>
      <c r="G136" s="546">
        <v>70</v>
      </c>
      <c r="H136" s="669">
        <f t="shared" si="16"/>
        <v>840</v>
      </c>
      <c r="I136" s="288">
        <f t="shared" si="17"/>
        <v>257.40000000000003</v>
      </c>
      <c r="J136" s="479"/>
      <c r="K136" s="479"/>
      <c r="L136" s="289"/>
      <c r="M136" s="289"/>
      <c r="N136" s="289"/>
      <c r="O136" s="289"/>
      <c r="P136" s="289"/>
      <c r="Q136" s="272"/>
    </row>
    <row r="137" spans="1:17" s="68" customFormat="1" ht="25" customHeight="1">
      <c r="A137" s="544" t="s">
        <v>398</v>
      </c>
      <c r="B137" s="574" t="s">
        <v>613</v>
      </c>
      <c r="C137" s="546">
        <v>4</v>
      </c>
      <c r="D137" s="546">
        <v>1.3</v>
      </c>
      <c r="E137" s="546">
        <v>3</v>
      </c>
      <c r="F137" s="272">
        <f t="shared" si="15"/>
        <v>257.40000000000003</v>
      </c>
      <c r="G137" s="546">
        <v>70</v>
      </c>
      <c r="H137" s="669">
        <f t="shared" si="16"/>
        <v>840</v>
      </c>
      <c r="I137" s="288">
        <f t="shared" si="17"/>
        <v>257.40000000000003</v>
      </c>
      <c r="J137" s="479">
        <v>0</v>
      </c>
      <c r="K137" s="479">
        <v>0</v>
      </c>
      <c r="L137" s="289"/>
      <c r="M137" s="289"/>
      <c r="N137" s="289"/>
      <c r="O137" s="289"/>
      <c r="P137" s="289"/>
      <c r="Q137" s="272"/>
    </row>
    <row r="138" spans="1:17" s="68" customFormat="1" ht="25" customHeight="1">
      <c r="A138" s="544" t="s">
        <v>399</v>
      </c>
      <c r="B138" s="574" t="s">
        <v>614</v>
      </c>
      <c r="C138" s="546">
        <v>3</v>
      </c>
      <c r="D138" s="546">
        <v>1</v>
      </c>
      <c r="E138" s="546">
        <v>2</v>
      </c>
      <c r="F138" s="272">
        <f t="shared" si="15"/>
        <v>128.70000000000002</v>
      </c>
      <c r="G138" s="546">
        <v>70</v>
      </c>
      <c r="H138" s="669">
        <f t="shared" si="16"/>
        <v>420</v>
      </c>
      <c r="I138" s="288">
        <f t="shared" si="17"/>
        <v>128.70000000000002</v>
      </c>
      <c r="J138" s="479"/>
      <c r="K138" s="479"/>
      <c r="L138" s="289"/>
      <c r="M138" s="289"/>
      <c r="N138" s="289"/>
      <c r="O138" s="289"/>
      <c r="P138" s="289"/>
      <c r="Q138" s="272"/>
    </row>
    <row r="139" spans="1:17" s="68" customFormat="1" ht="25" customHeight="1">
      <c r="A139" s="544" t="s">
        <v>400</v>
      </c>
      <c r="B139" s="574" t="s">
        <v>615</v>
      </c>
      <c r="C139" s="546">
        <v>2</v>
      </c>
      <c r="D139" s="546">
        <v>1.3</v>
      </c>
      <c r="E139" s="546">
        <v>2</v>
      </c>
      <c r="F139" s="272">
        <f t="shared" si="15"/>
        <v>66</v>
      </c>
      <c r="G139" s="546">
        <v>60</v>
      </c>
      <c r="H139" s="669">
        <f t="shared" si="16"/>
        <v>240</v>
      </c>
      <c r="I139" s="288">
        <f t="shared" si="17"/>
        <v>66</v>
      </c>
      <c r="J139" s="479">
        <v>0</v>
      </c>
      <c r="K139" s="479">
        <v>0</v>
      </c>
      <c r="L139" s="289"/>
      <c r="M139" s="289"/>
      <c r="N139" s="289"/>
      <c r="O139" s="289"/>
      <c r="P139" s="289"/>
      <c r="Q139" s="272"/>
    </row>
    <row r="140" spans="1:17" s="68" customFormat="1" ht="25" customHeight="1">
      <c r="A140" s="544"/>
      <c r="B140" s="676" t="s">
        <v>729</v>
      </c>
      <c r="C140" s="546"/>
      <c r="D140" s="546"/>
      <c r="E140" s="546"/>
      <c r="F140" s="551"/>
      <c r="G140" s="546"/>
      <c r="H140" s="546"/>
      <c r="I140" s="549"/>
      <c r="J140" s="479"/>
      <c r="K140" s="479"/>
      <c r="L140" s="479"/>
      <c r="M140" s="479"/>
      <c r="N140" s="479"/>
      <c r="O140" s="479"/>
      <c r="P140" s="479"/>
      <c r="Q140" s="551"/>
    </row>
    <row r="141" spans="1:17" s="68" customFormat="1" ht="25" customHeight="1">
      <c r="A141" s="544"/>
      <c r="B141" s="574" t="s">
        <v>616</v>
      </c>
      <c r="C141" s="546">
        <v>4</v>
      </c>
      <c r="D141" s="546">
        <v>1</v>
      </c>
      <c r="E141" s="546">
        <v>3</v>
      </c>
      <c r="F141" s="272">
        <f t="shared" si="15"/>
        <v>257.40000000000003</v>
      </c>
      <c r="G141" s="546">
        <v>70</v>
      </c>
      <c r="H141" s="669">
        <f t="shared" si="16"/>
        <v>840</v>
      </c>
      <c r="I141" s="288">
        <f t="shared" si="17"/>
        <v>257.40000000000003</v>
      </c>
      <c r="J141" s="479"/>
      <c r="K141" s="479"/>
      <c r="L141" s="289"/>
      <c r="M141" s="289"/>
      <c r="N141" s="289"/>
      <c r="O141" s="289"/>
      <c r="P141" s="289"/>
      <c r="Q141" s="272"/>
    </row>
    <row r="142" spans="1:17" s="68" customFormat="1" ht="25" customHeight="1">
      <c r="A142" s="544"/>
      <c r="B142" s="676" t="s">
        <v>730</v>
      </c>
      <c r="C142" s="546"/>
      <c r="D142" s="546"/>
      <c r="E142" s="546"/>
      <c r="F142" s="551"/>
      <c r="G142" s="546"/>
      <c r="H142" s="546"/>
      <c r="I142" s="549"/>
      <c r="J142" s="479"/>
      <c r="K142" s="479"/>
      <c r="L142" s="479"/>
      <c r="M142" s="479"/>
      <c r="N142" s="479"/>
      <c r="O142" s="479"/>
      <c r="P142" s="479"/>
      <c r="Q142" s="551"/>
    </row>
    <row r="143" spans="1:17" s="68" customFormat="1" ht="25" customHeight="1">
      <c r="A143" s="544" t="s">
        <v>401</v>
      </c>
      <c r="B143" s="574" t="s">
        <v>617</v>
      </c>
      <c r="C143" s="546">
        <v>4</v>
      </c>
      <c r="D143" s="546">
        <v>1.1200000000000001</v>
      </c>
      <c r="E143" s="546">
        <v>3</v>
      </c>
      <c r="F143" s="272">
        <f t="shared" si="15"/>
        <v>257.40000000000003</v>
      </c>
      <c r="G143" s="546">
        <v>70</v>
      </c>
      <c r="H143" s="669">
        <f t="shared" si="16"/>
        <v>840</v>
      </c>
      <c r="I143" s="288">
        <f t="shared" si="17"/>
        <v>257.40000000000003</v>
      </c>
      <c r="J143" s="479">
        <v>0</v>
      </c>
      <c r="K143" s="479">
        <v>0</v>
      </c>
      <c r="L143" s="289"/>
      <c r="M143" s="289"/>
      <c r="N143" s="289"/>
      <c r="O143" s="289"/>
      <c r="P143" s="289"/>
      <c r="Q143" s="272"/>
    </row>
    <row r="144" spans="1:17" s="68" customFormat="1" ht="25" customHeight="1">
      <c r="A144" s="575" t="s">
        <v>148</v>
      </c>
      <c r="B144" s="576" t="s">
        <v>151</v>
      </c>
      <c r="C144" s="352"/>
      <c r="D144" s="352"/>
      <c r="E144" s="352"/>
      <c r="F144" s="292"/>
      <c r="G144" s="352"/>
      <c r="H144" s="669">
        <f t="shared" si="16"/>
        <v>0</v>
      </c>
      <c r="I144" s="541"/>
      <c r="J144" s="599"/>
      <c r="K144" s="599"/>
      <c r="L144" s="289"/>
      <c r="M144" s="289"/>
      <c r="N144" s="289"/>
      <c r="O144" s="289"/>
      <c r="P144" s="289"/>
      <c r="Q144" s="272"/>
    </row>
    <row r="145" spans="1:17" s="68" customFormat="1" ht="25" customHeight="1">
      <c r="A145" s="600" t="s">
        <v>232</v>
      </c>
      <c r="B145" s="577" t="s">
        <v>154</v>
      </c>
      <c r="C145" s="352"/>
      <c r="D145" s="352"/>
      <c r="E145" s="352"/>
      <c r="F145" s="272">
        <f t="shared" si="15"/>
        <v>0</v>
      </c>
      <c r="G145" s="352">
        <v>0</v>
      </c>
      <c r="H145" s="669">
        <f t="shared" si="16"/>
        <v>0</v>
      </c>
      <c r="I145" s="288">
        <f t="shared" si="17"/>
        <v>0</v>
      </c>
      <c r="J145" s="599"/>
      <c r="K145" s="599"/>
      <c r="L145" s="289"/>
      <c r="M145" s="289"/>
      <c r="N145" s="289"/>
      <c r="O145" s="289"/>
      <c r="P145" s="289"/>
      <c r="Q145" s="272"/>
    </row>
    <row r="146" spans="1:17" s="68" customFormat="1" ht="25" customHeight="1">
      <c r="A146" s="600" t="s">
        <v>233</v>
      </c>
      <c r="B146" s="577" t="s">
        <v>153</v>
      </c>
      <c r="C146" s="352"/>
      <c r="D146" s="352"/>
      <c r="E146" s="352"/>
      <c r="F146" s="292">
        <v>0</v>
      </c>
      <c r="G146" s="352">
        <v>0</v>
      </c>
      <c r="H146" s="669">
        <f t="shared" si="16"/>
        <v>0</v>
      </c>
      <c r="I146" s="288">
        <f t="shared" si="17"/>
        <v>0</v>
      </c>
      <c r="J146" s="599"/>
      <c r="K146" s="599"/>
      <c r="L146" s="289"/>
      <c r="M146" s="289"/>
      <c r="N146" s="289"/>
      <c r="O146" s="289"/>
      <c r="P146" s="289"/>
      <c r="Q146" s="272"/>
    </row>
    <row r="147" spans="1:17" s="68" customFormat="1" ht="25" customHeight="1">
      <c r="A147" s="600" t="s">
        <v>234</v>
      </c>
      <c r="B147" s="577" t="s">
        <v>155</v>
      </c>
      <c r="C147" s="352"/>
      <c r="D147" s="352"/>
      <c r="E147" s="352"/>
      <c r="F147" s="601">
        <f>I147</f>
        <v>0</v>
      </c>
      <c r="G147" s="352">
        <v>0</v>
      </c>
      <c r="H147" s="669">
        <f t="shared" si="16"/>
        <v>0</v>
      </c>
      <c r="I147" s="288">
        <f t="shared" si="17"/>
        <v>0</v>
      </c>
      <c r="J147" s="599"/>
      <c r="K147" s="599"/>
      <c r="L147" s="289"/>
      <c r="M147" s="289"/>
      <c r="N147" s="289"/>
      <c r="O147" s="289"/>
      <c r="P147" s="289"/>
      <c r="Q147" s="272"/>
    </row>
    <row r="148" spans="1:17" s="68" customFormat="1" ht="25" customHeight="1">
      <c r="A148" s="600" t="s">
        <v>235</v>
      </c>
      <c r="B148" s="577" t="s">
        <v>156</v>
      </c>
      <c r="C148" s="352">
        <v>4</v>
      </c>
      <c r="D148" s="352">
        <v>1.4</v>
      </c>
      <c r="E148" s="352">
        <v>6</v>
      </c>
      <c r="F148" s="601">
        <f>I148+J148+K148</f>
        <v>1200</v>
      </c>
      <c r="G148" s="352">
        <v>25</v>
      </c>
      <c r="H148" s="669">
        <f t="shared" si="16"/>
        <v>600</v>
      </c>
      <c r="I148" s="541">
        <f>H148*2</f>
        <v>1200</v>
      </c>
      <c r="J148" s="599"/>
      <c r="K148" s="599"/>
      <c r="L148" s="289"/>
      <c r="M148" s="289"/>
      <c r="N148" s="289"/>
      <c r="O148" s="289"/>
      <c r="P148" s="289"/>
      <c r="Q148" s="272"/>
    </row>
    <row r="149" spans="1:17" s="68" customFormat="1" ht="25" customHeight="1">
      <c r="A149" s="600" t="s">
        <v>236</v>
      </c>
      <c r="B149" s="577" t="s">
        <v>157</v>
      </c>
      <c r="C149" s="352">
        <v>0</v>
      </c>
      <c r="D149" s="352"/>
      <c r="E149" s="352">
        <v>0</v>
      </c>
      <c r="F149" s="601">
        <f>I149+J149+K149</f>
        <v>0</v>
      </c>
      <c r="G149" s="352">
        <v>0</v>
      </c>
      <c r="H149" s="669">
        <f t="shared" si="16"/>
        <v>0</v>
      </c>
      <c r="I149" s="288">
        <f t="shared" si="17"/>
        <v>0</v>
      </c>
      <c r="J149" s="599"/>
      <c r="K149" s="599"/>
      <c r="L149" s="289"/>
      <c r="M149" s="289"/>
      <c r="N149" s="289"/>
      <c r="O149" s="289"/>
      <c r="P149" s="289"/>
      <c r="Q149" s="272"/>
    </row>
    <row r="150" spans="1:17" s="68" customFormat="1" ht="25" customHeight="1">
      <c r="A150" s="602"/>
      <c r="B150" s="603" t="s">
        <v>380</v>
      </c>
      <c r="C150" s="567">
        <f t="shared" ref="C150:K150" si="18">SUM(C111:C149)</f>
        <v>74</v>
      </c>
      <c r="D150" s="567">
        <f t="shared" si="18"/>
        <v>28.22</v>
      </c>
      <c r="E150" s="567">
        <f t="shared" si="18"/>
        <v>86</v>
      </c>
      <c r="F150" s="567">
        <f t="shared" si="18"/>
        <v>5273.85</v>
      </c>
      <c r="G150" s="567">
        <f t="shared" si="18"/>
        <v>1395</v>
      </c>
      <c r="H150" s="567">
        <f t="shared" si="18"/>
        <v>12760</v>
      </c>
      <c r="I150" s="567">
        <f t="shared" si="18"/>
        <v>5174.8500000000004</v>
      </c>
      <c r="J150" s="567">
        <f t="shared" si="18"/>
        <v>99</v>
      </c>
      <c r="K150" s="567">
        <f t="shared" si="18"/>
        <v>0</v>
      </c>
      <c r="L150" s="289"/>
      <c r="M150" s="289"/>
      <c r="N150" s="289"/>
      <c r="O150" s="289"/>
      <c r="P150" s="289"/>
      <c r="Q150" s="272"/>
    </row>
    <row r="151" spans="1:17" s="68" customFormat="1" ht="25" customHeight="1">
      <c r="A151" s="604">
        <v>2</v>
      </c>
      <c r="B151" s="604" t="s">
        <v>501</v>
      </c>
      <c r="C151" s="352"/>
      <c r="D151" s="352"/>
      <c r="E151" s="352"/>
      <c r="F151" s="288"/>
      <c r="G151" s="352"/>
      <c r="H151" s="669"/>
      <c r="I151" s="669"/>
      <c r="J151" s="599"/>
      <c r="K151" s="599"/>
      <c r="L151" s="289"/>
      <c r="M151" s="289"/>
      <c r="N151" s="289"/>
      <c r="O151" s="289"/>
      <c r="P151" s="289"/>
      <c r="Q151" s="1604"/>
    </row>
    <row r="152" spans="1:17" s="68" customFormat="1" ht="25" customHeight="1">
      <c r="A152" s="498" t="s">
        <v>147</v>
      </c>
      <c r="B152" s="605" t="s">
        <v>165</v>
      </c>
      <c r="C152" s="352"/>
      <c r="D152" s="352"/>
      <c r="E152" s="352"/>
      <c r="F152" s="288"/>
      <c r="G152" s="352"/>
      <c r="H152" s="669"/>
      <c r="I152" s="669"/>
      <c r="J152" s="599"/>
      <c r="K152" s="599"/>
      <c r="L152" s="289"/>
      <c r="M152" s="289"/>
      <c r="N152" s="289"/>
      <c r="O152" s="289"/>
      <c r="P152" s="289"/>
      <c r="Q152" s="1604"/>
    </row>
    <row r="153" spans="1:17" s="68" customFormat="1" ht="25" customHeight="1">
      <c r="A153" s="577" t="s">
        <v>226</v>
      </c>
      <c r="B153" s="351" t="s">
        <v>618</v>
      </c>
      <c r="C153" s="352">
        <v>3</v>
      </c>
      <c r="D153" s="352">
        <v>1</v>
      </c>
      <c r="E153" s="352">
        <v>1</v>
      </c>
      <c r="F153" s="272">
        <f t="shared" ref="F153:F159" si="19">I153+J153+K153</f>
        <v>74.25</v>
      </c>
      <c r="G153" s="546">
        <v>13</v>
      </c>
      <c r="H153" s="669">
        <f t="shared" si="16"/>
        <v>39</v>
      </c>
      <c r="I153" s="288">
        <f>C153*E153*16.5*1.5</f>
        <v>74.25</v>
      </c>
      <c r="J153" s="599"/>
      <c r="K153" s="599"/>
      <c r="L153" s="268"/>
      <c r="M153" s="289"/>
      <c r="N153" s="289"/>
      <c r="O153" s="289"/>
      <c r="P153" s="289"/>
      <c r="Q153" s="1604"/>
    </row>
    <row r="154" spans="1:17" s="68" customFormat="1" ht="25" customHeight="1">
      <c r="A154" s="577" t="s">
        <v>227</v>
      </c>
      <c r="B154" s="351" t="s">
        <v>619</v>
      </c>
      <c r="C154" s="352">
        <v>3</v>
      </c>
      <c r="D154" s="352">
        <v>1</v>
      </c>
      <c r="E154" s="352">
        <v>1</v>
      </c>
      <c r="F154" s="272">
        <f t="shared" si="19"/>
        <v>74.25</v>
      </c>
      <c r="G154" s="352">
        <v>13</v>
      </c>
      <c r="H154" s="669">
        <f t="shared" si="16"/>
        <v>39</v>
      </c>
      <c r="I154" s="288">
        <f>C154*E154*16.5*1.5</f>
        <v>74.25</v>
      </c>
      <c r="J154" s="599"/>
      <c r="K154" s="599"/>
      <c r="L154" s="268"/>
      <c r="M154" s="289"/>
      <c r="N154" s="289"/>
      <c r="O154" s="289"/>
      <c r="P154" s="289"/>
      <c r="Q154" s="1604"/>
    </row>
    <row r="155" spans="1:17" s="68" customFormat="1" ht="25" customHeight="1">
      <c r="A155" s="577" t="s">
        <v>228</v>
      </c>
      <c r="B155" s="351" t="s">
        <v>620</v>
      </c>
      <c r="C155" s="352">
        <v>3</v>
      </c>
      <c r="D155" s="352">
        <v>1</v>
      </c>
      <c r="E155" s="352">
        <v>1</v>
      </c>
      <c r="F155" s="272">
        <f t="shared" si="19"/>
        <v>74.25</v>
      </c>
      <c r="G155" s="352">
        <v>13</v>
      </c>
      <c r="H155" s="669">
        <f t="shared" si="16"/>
        <v>39</v>
      </c>
      <c r="I155" s="288">
        <f>C155*E155*16.5*1.5</f>
        <v>74.25</v>
      </c>
      <c r="J155" s="599"/>
      <c r="K155" s="599"/>
      <c r="L155" s="268"/>
      <c r="M155" s="289"/>
      <c r="N155" s="289"/>
      <c r="O155" s="289"/>
      <c r="P155" s="289"/>
      <c r="Q155" s="1604"/>
    </row>
    <row r="156" spans="1:17" s="68" customFormat="1" ht="25" customHeight="1">
      <c r="A156" s="577" t="s">
        <v>229</v>
      </c>
      <c r="B156" s="351" t="s">
        <v>621</v>
      </c>
      <c r="C156" s="352">
        <v>3</v>
      </c>
      <c r="D156" s="352">
        <v>1</v>
      </c>
      <c r="E156" s="352">
        <v>1</v>
      </c>
      <c r="F156" s="272">
        <f t="shared" si="19"/>
        <v>74.25</v>
      </c>
      <c r="G156" s="352">
        <v>13</v>
      </c>
      <c r="H156" s="669">
        <f t="shared" si="16"/>
        <v>39</v>
      </c>
      <c r="I156" s="288">
        <f>C156*E156*16.5*1.5</f>
        <v>74.25</v>
      </c>
      <c r="J156" s="599"/>
      <c r="K156" s="599"/>
      <c r="L156" s="268"/>
      <c r="M156" s="289"/>
      <c r="N156" s="289"/>
      <c r="O156" s="289"/>
      <c r="P156" s="289"/>
      <c r="Q156" s="1604"/>
    </row>
    <row r="157" spans="1:17" s="68" customFormat="1" ht="25" customHeight="1">
      <c r="A157" s="577" t="s">
        <v>230</v>
      </c>
      <c r="B157" s="577" t="s">
        <v>500</v>
      </c>
      <c r="C157" s="352">
        <v>3</v>
      </c>
      <c r="D157" s="352">
        <v>1</v>
      </c>
      <c r="E157" s="352">
        <v>1</v>
      </c>
      <c r="F157" s="272">
        <f t="shared" si="19"/>
        <v>74.25</v>
      </c>
      <c r="G157" s="352">
        <v>13</v>
      </c>
      <c r="H157" s="669">
        <f t="shared" si="16"/>
        <v>39</v>
      </c>
      <c r="I157" s="288">
        <f>C157*E157*16.5*1.5</f>
        <v>74.25</v>
      </c>
      <c r="J157" s="599"/>
      <c r="K157" s="599"/>
      <c r="L157" s="268"/>
      <c r="M157" s="289"/>
      <c r="N157" s="289"/>
      <c r="O157" s="289"/>
      <c r="P157" s="289"/>
      <c r="Q157" s="1604"/>
    </row>
    <row r="158" spans="1:17" s="68" customFormat="1" ht="25" customHeight="1">
      <c r="A158" s="577" t="s">
        <v>231</v>
      </c>
      <c r="B158" s="606" t="s">
        <v>622</v>
      </c>
      <c r="C158" s="352">
        <v>3</v>
      </c>
      <c r="D158" s="352">
        <v>1</v>
      </c>
      <c r="E158" s="352">
        <v>1</v>
      </c>
      <c r="F158" s="272">
        <f t="shared" si="19"/>
        <v>74.25</v>
      </c>
      <c r="G158" s="352">
        <v>13</v>
      </c>
      <c r="H158" s="669">
        <f t="shared" si="16"/>
        <v>39</v>
      </c>
      <c r="I158" s="541">
        <v>0</v>
      </c>
      <c r="J158" s="599"/>
      <c r="K158" s="288">
        <f>C158*E158*16.5*1.5</f>
        <v>74.25</v>
      </c>
      <c r="L158" s="289"/>
      <c r="M158" s="289"/>
      <c r="N158" s="289"/>
      <c r="O158" s="289"/>
      <c r="P158" s="289"/>
      <c r="Q158" s="272"/>
    </row>
    <row r="159" spans="1:17" s="68" customFormat="1" ht="25" customHeight="1">
      <c r="A159" s="600" t="s">
        <v>282</v>
      </c>
      <c r="B159" s="606" t="s">
        <v>623</v>
      </c>
      <c r="C159" s="352">
        <v>3</v>
      </c>
      <c r="D159" s="352">
        <v>1</v>
      </c>
      <c r="E159" s="352">
        <v>1</v>
      </c>
      <c r="F159" s="272">
        <f t="shared" si="19"/>
        <v>74.25</v>
      </c>
      <c r="G159" s="352">
        <v>13</v>
      </c>
      <c r="H159" s="669">
        <f t="shared" si="16"/>
        <v>39</v>
      </c>
      <c r="I159" s="541">
        <v>0</v>
      </c>
      <c r="J159" s="599"/>
      <c r="K159" s="288">
        <f>C159*E159*16.5*1.5</f>
        <v>74.25</v>
      </c>
      <c r="L159" s="289"/>
      <c r="M159" s="289"/>
      <c r="N159" s="289"/>
      <c r="O159" s="289"/>
      <c r="P159" s="289"/>
      <c r="Q159" s="272"/>
    </row>
    <row r="160" spans="1:17" s="68" customFormat="1" ht="25" customHeight="1">
      <c r="A160" s="575" t="s">
        <v>148</v>
      </c>
      <c r="B160" s="576" t="s">
        <v>470</v>
      </c>
      <c r="C160" s="352"/>
      <c r="D160" s="352"/>
      <c r="E160" s="352"/>
      <c r="F160" s="272"/>
      <c r="G160" s="352"/>
      <c r="H160" s="669"/>
      <c r="I160" s="288"/>
      <c r="J160" s="474"/>
      <c r="K160" s="599"/>
      <c r="L160" s="289"/>
      <c r="M160" s="289"/>
      <c r="N160" s="289"/>
      <c r="O160" s="289"/>
      <c r="P160" s="289"/>
      <c r="Q160" s="272"/>
    </row>
    <row r="161" spans="1:17" s="68" customFormat="1" ht="25" customHeight="1">
      <c r="A161" s="575"/>
      <c r="B161" s="577" t="s">
        <v>624</v>
      </c>
      <c r="C161" s="352">
        <v>15</v>
      </c>
      <c r="D161" s="352">
        <v>1</v>
      </c>
      <c r="E161" s="352">
        <v>1</v>
      </c>
      <c r="F161" s="272">
        <f t="shared" ref="F161:F183" si="20">I161+J161+K161</f>
        <v>210</v>
      </c>
      <c r="G161" s="352">
        <v>6</v>
      </c>
      <c r="H161" s="669">
        <f>C161*E161*G161</f>
        <v>90</v>
      </c>
      <c r="I161" s="288">
        <f>6*35</f>
        <v>210</v>
      </c>
      <c r="J161" s="474"/>
      <c r="K161" s="599"/>
      <c r="L161" s="289"/>
      <c r="M161" s="289"/>
      <c r="N161" s="289"/>
      <c r="O161" s="289"/>
      <c r="P161" s="289"/>
      <c r="Q161" s="272"/>
    </row>
    <row r="162" spans="1:17" s="68" customFormat="1" ht="25" customHeight="1">
      <c r="A162" s="565"/>
      <c r="B162" s="566" t="s">
        <v>380</v>
      </c>
      <c r="C162" s="567">
        <f t="shared" ref="C162:K162" si="21">SUM(C153:C161)</f>
        <v>36</v>
      </c>
      <c r="D162" s="567">
        <f t="shared" si="21"/>
        <v>8</v>
      </c>
      <c r="E162" s="567">
        <f t="shared" si="21"/>
        <v>8</v>
      </c>
      <c r="F162" s="567">
        <f t="shared" si="21"/>
        <v>729.75</v>
      </c>
      <c r="G162" s="567">
        <f t="shared" si="21"/>
        <v>97</v>
      </c>
      <c r="H162" s="567">
        <f t="shared" si="21"/>
        <v>363</v>
      </c>
      <c r="I162" s="567">
        <f t="shared" si="21"/>
        <v>581.25</v>
      </c>
      <c r="J162" s="567">
        <f t="shared" si="21"/>
        <v>0</v>
      </c>
      <c r="K162" s="567">
        <f t="shared" si="21"/>
        <v>148.5</v>
      </c>
      <c r="L162" s="289"/>
      <c r="M162" s="289"/>
      <c r="N162" s="289"/>
      <c r="O162" s="289"/>
      <c r="P162" s="289"/>
      <c r="Q162" s="272"/>
    </row>
    <row r="163" spans="1:17" s="68" customFormat="1" ht="25" customHeight="1">
      <c r="A163" s="604">
        <v>1</v>
      </c>
      <c r="B163" s="605" t="s">
        <v>225</v>
      </c>
      <c r="C163" s="352"/>
      <c r="D163" s="352"/>
      <c r="E163" s="352"/>
      <c r="F163" s="272"/>
      <c r="G163" s="352"/>
      <c r="H163" s="669"/>
      <c r="I163" s="288"/>
      <c r="J163" s="479"/>
      <c r="K163" s="479"/>
      <c r="L163" s="289"/>
      <c r="M163" s="289"/>
      <c r="N163" s="289"/>
      <c r="O163" s="289"/>
      <c r="P163" s="289"/>
      <c r="Q163" s="272"/>
    </row>
    <row r="164" spans="1:17" s="68" customFormat="1" ht="25" customHeight="1">
      <c r="A164" s="604" t="s">
        <v>381</v>
      </c>
      <c r="B164" s="605" t="s">
        <v>163</v>
      </c>
      <c r="C164" s="352"/>
      <c r="D164" s="352"/>
      <c r="E164" s="352"/>
      <c r="F164" s="272"/>
      <c r="G164" s="352"/>
      <c r="H164" s="669"/>
      <c r="I164" s="288"/>
      <c r="J164" s="479"/>
      <c r="K164" s="479"/>
      <c r="L164" s="289"/>
      <c r="M164" s="289"/>
      <c r="N164" s="289"/>
      <c r="O164" s="289"/>
      <c r="P164" s="289"/>
      <c r="Q164" s="272"/>
    </row>
    <row r="165" spans="1:17" s="68" customFormat="1" ht="25" customHeight="1">
      <c r="A165" s="604"/>
      <c r="B165" s="605" t="s">
        <v>722</v>
      </c>
      <c r="C165" s="352"/>
      <c r="D165" s="352"/>
      <c r="E165" s="352"/>
      <c r="F165" s="551"/>
      <c r="G165" s="352"/>
      <c r="H165" s="546"/>
      <c r="I165" s="549"/>
      <c r="J165" s="479"/>
      <c r="K165" s="479"/>
      <c r="L165" s="479"/>
      <c r="M165" s="479"/>
      <c r="N165" s="479"/>
      <c r="O165" s="479"/>
      <c r="P165" s="479"/>
      <c r="Q165" s="551"/>
    </row>
    <row r="166" spans="1:17" s="68" customFormat="1" ht="25" customHeight="1">
      <c r="A166" s="600" t="s">
        <v>228</v>
      </c>
      <c r="B166" s="579" t="s">
        <v>625</v>
      </c>
      <c r="C166" s="352">
        <v>3</v>
      </c>
      <c r="D166" s="352">
        <v>1</v>
      </c>
      <c r="E166" s="352">
        <v>7</v>
      </c>
      <c r="F166" s="272">
        <f t="shared" si="20"/>
        <v>450.45</v>
      </c>
      <c r="G166" s="352">
        <v>70</v>
      </c>
      <c r="H166" s="669">
        <f>C166*E166*G166</f>
        <v>1470</v>
      </c>
      <c r="I166" s="288">
        <f>IF(G166&lt;70, C166*E166*16.5*1, C166*E166*16.5*1.3)</f>
        <v>450.45</v>
      </c>
      <c r="J166" s="479"/>
      <c r="K166" s="479"/>
      <c r="L166" s="289"/>
      <c r="M166" s="289"/>
      <c r="N166" s="289"/>
      <c r="O166" s="289"/>
      <c r="P166" s="289"/>
      <c r="Q166" s="272"/>
    </row>
    <row r="167" spans="1:17" s="68" customFormat="1" ht="25" customHeight="1">
      <c r="A167" s="600"/>
      <c r="B167" s="605" t="s">
        <v>724</v>
      </c>
      <c r="C167" s="352"/>
      <c r="D167" s="352"/>
      <c r="E167" s="352"/>
      <c r="F167" s="551"/>
      <c r="G167" s="352"/>
      <c r="H167" s="546"/>
      <c r="I167" s="549"/>
      <c r="J167" s="479"/>
      <c r="K167" s="479"/>
      <c r="L167" s="479"/>
      <c r="M167" s="479"/>
      <c r="N167" s="479"/>
      <c r="O167" s="479"/>
      <c r="P167" s="479"/>
      <c r="Q167" s="551"/>
    </row>
    <row r="168" spans="1:17" s="68" customFormat="1" ht="25" customHeight="1">
      <c r="A168" s="600" t="s">
        <v>229</v>
      </c>
      <c r="B168" s="579" t="s">
        <v>626</v>
      </c>
      <c r="C168" s="352">
        <v>3</v>
      </c>
      <c r="D168" s="352">
        <v>1</v>
      </c>
      <c r="E168" s="352">
        <v>7</v>
      </c>
      <c r="F168" s="272">
        <f t="shared" si="20"/>
        <v>450.45</v>
      </c>
      <c r="G168" s="352">
        <v>70</v>
      </c>
      <c r="H168" s="669">
        <f t="shared" ref="H168:H183" si="22">C168*E168*G168</f>
        <v>1470</v>
      </c>
      <c r="I168" s="288">
        <f t="shared" ref="I168:I183" si="23">IF(G168&lt;70, C168*E168*16.5*1, C168*E168*16.5*1.3)</f>
        <v>450.45</v>
      </c>
      <c r="J168" s="479"/>
      <c r="K168" s="479"/>
      <c r="L168" s="289"/>
      <c r="M168" s="289"/>
      <c r="N168" s="289"/>
      <c r="O168" s="289"/>
      <c r="P168" s="289"/>
      <c r="Q168" s="272"/>
    </row>
    <row r="169" spans="1:17" s="68" customFormat="1" ht="25" customHeight="1">
      <c r="A169" s="600"/>
      <c r="B169" s="605" t="s">
        <v>725</v>
      </c>
      <c r="C169" s="352"/>
      <c r="D169" s="352"/>
      <c r="E169" s="352"/>
      <c r="F169" s="551"/>
      <c r="G169" s="352"/>
      <c r="H169" s="546"/>
      <c r="I169" s="549"/>
      <c r="J169" s="479"/>
      <c r="K169" s="479"/>
      <c r="L169" s="479"/>
      <c r="M169" s="479"/>
      <c r="N169" s="479"/>
      <c r="O169" s="479"/>
      <c r="P169" s="479"/>
      <c r="Q169" s="551"/>
    </row>
    <row r="170" spans="1:17" s="68" customFormat="1" ht="25" customHeight="1">
      <c r="A170" s="600" t="s">
        <v>230</v>
      </c>
      <c r="B170" s="579" t="s">
        <v>627</v>
      </c>
      <c r="C170" s="352">
        <v>2</v>
      </c>
      <c r="D170" s="352">
        <v>1</v>
      </c>
      <c r="E170" s="352">
        <v>10</v>
      </c>
      <c r="F170" s="272">
        <f t="shared" si="20"/>
        <v>429</v>
      </c>
      <c r="G170" s="352">
        <v>70</v>
      </c>
      <c r="H170" s="669">
        <f t="shared" si="22"/>
        <v>1400</v>
      </c>
      <c r="I170" s="288">
        <f t="shared" si="23"/>
        <v>429</v>
      </c>
      <c r="J170" s="479"/>
      <c r="K170" s="479"/>
      <c r="L170" s="289"/>
      <c r="M170" s="289"/>
      <c r="N170" s="289"/>
      <c r="O170" s="289"/>
      <c r="P170" s="289"/>
      <c r="Q170" s="272"/>
    </row>
    <row r="171" spans="1:17" s="68" customFormat="1" ht="25" customHeight="1">
      <c r="A171" s="600"/>
      <c r="B171" s="605" t="s">
        <v>726</v>
      </c>
      <c r="C171" s="352"/>
      <c r="D171" s="352"/>
      <c r="E171" s="352"/>
      <c r="F171" s="551"/>
      <c r="G171" s="352"/>
      <c r="H171" s="546"/>
      <c r="I171" s="549"/>
      <c r="J171" s="479"/>
      <c r="K171" s="479"/>
      <c r="L171" s="479"/>
      <c r="M171" s="479"/>
      <c r="N171" s="479"/>
      <c r="O171" s="479"/>
      <c r="P171" s="479"/>
      <c r="Q171" s="551"/>
    </row>
    <row r="172" spans="1:17" s="68" customFormat="1" ht="25" customHeight="1">
      <c r="A172" s="600" t="s">
        <v>231</v>
      </c>
      <c r="B172" s="579" t="s">
        <v>628</v>
      </c>
      <c r="C172" s="352">
        <v>3</v>
      </c>
      <c r="D172" s="352">
        <v>1</v>
      </c>
      <c r="E172" s="352">
        <v>16</v>
      </c>
      <c r="F172" s="272">
        <f t="shared" si="20"/>
        <v>1029.6000000000001</v>
      </c>
      <c r="G172" s="352">
        <v>70</v>
      </c>
      <c r="H172" s="669">
        <f t="shared" si="22"/>
        <v>3360</v>
      </c>
      <c r="I172" s="288">
        <f t="shared" si="23"/>
        <v>1029.6000000000001</v>
      </c>
      <c r="J172" s="479"/>
      <c r="K172" s="479"/>
      <c r="L172" s="289"/>
      <c r="M172" s="289"/>
      <c r="N172" s="289"/>
      <c r="O172" s="289"/>
      <c r="P172" s="289"/>
      <c r="Q172" s="272"/>
    </row>
    <row r="173" spans="1:17" s="68" customFormat="1" ht="25" customHeight="1">
      <c r="A173" s="600"/>
      <c r="B173" s="605" t="s">
        <v>732</v>
      </c>
      <c r="C173" s="352"/>
      <c r="D173" s="352"/>
      <c r="E173" s="352"/>
      <c r="F173" s="551"/>
      <c r="G173" s="352"/>
      <c r="H173" s="546"/>
      <c r="I173" s="549"/>
      <c r="J173" s="479"/>
      <c r="K173" s="479"/>
      <c r="L173" s="479"/>
      <c r="M173" s="479"/>
      <c r="N173" s="479"/>
      <c r="O173" s="479"/>
      <c r="P173" s="479"/>
      <c r="Q173" s="551"/>
    </row>
    <row r="174" spans="1:17" s="68" customFormat="1" ht="25" customHeight="1">
      <c r="A174" s="600" t="s">
        <v>282</v>
      </c>
      <c r="B174" s="579" t="s">
        <v>629</v>
      </c>
      <c r="C174" s="352">
        <v>2</v>
      </c>
      <c r="D174" s="352">
        <v>1</v>
      </c>
      <c r="E174" s="352">
        <v>10</v>
      </c>
      <c r="F174" s="272">
        <f t="shared" si="20"/>
        <v>429</v>
      </c>
      <c r="G174" s="352">
        <v>80</v>
      </c>
      <c r="H174" s="669">
        <f t="shared" si="22"/>
        <v>1600</v>
      </c>
      <c r="I174" s="288">
        <f t="shared" si="23"/>
        <v>429</v>
      </c>
      <c r="J174" s="479"/>
      <c r="K174" s="479"/>
      <c r="L174" s="289"/>
      <c r="M174" s="289"/>
      <c r="N174" s="289"/>
      <c r="O174" s="289"/>
      <c r="P174" s="289"/>
      <c r="Q174" s="272"/>
    </row>
    <row r="175" spans="1:17" s="68" customFormat="1" ht="25" customHeight="1">
      <c r="A175" s="600"/>
      <c r="B175" s="605" t="s">
        <v>731</v>
      </c>
      <c r="C175" s="352"/>
      <c r="D175" s="352"/>
      <c r="E175" s="352"/>
      <c r="F175" s="551"/>
      <c r="G175" s="352"/>
      <c r="H175" s="546"/>
      <c r="I175" s="549"/>
      <c r="J175" s="479"/>
      <c r="K175" s="479"/>
      <c r="L175" s="479"/>
      <c r="M175" s="479"/>
      <c r="N175" s="479"/>
      <c r="O175" s="479"/>
      <c r="P175" s="479"/>
      <c r="Q175" s="551"/>
    </row>
    <row r="176" spans="1:17" s="68" customFormat="1" ht="25" customHeight="1">
      <c r="A176" s="600" t="s">
        <v>284</v>
      </c>
      <c r="B176" s="606" t="s">
        <v>630</v>
      </c>
      <c r="C176" s="352">
        <v>3</v>
      </c>
      <c r="D176" s="352">
        <v>1</v>
      </c>
      <c r="E176" s="352">
        <v>10</v>
      </c>
      <c r="F176" s="272">
        <f t="shared" si="20"/>
        <v>643.5</v>
      </c>
      <c r="G176" s="352">
        <v>70</v>
      </c>
      <c r="H176" s="669">
        <f t="shared" si="22"/>
        <v>2100</v>
      </c>
      <c r="I176" s="288">
        <f t="shared" si="23"/>
        <v>643.5</v>
      </c>
      <c r="J176" s="479"/>
      <c r="K176" s="479"/>
      <c r="L176" s="289"/>
      <c r="M176" s="289"/>
      <c r="N176" s="289"/>
      <c r="O176" s="289"/>
      <c r="P176" s="289"/>
      <c r="Q176" s="272"/>
    </row>
    <row r="177" spans="1:17" s="68" customFormat="1" ht="25" customHeight="1">
      <c r="A177" s="600"/>
      <c r="B177" s="679" t="s">
        <v>728</v>
      </c>
      <c r="C177" s="352"/>
      <c r="D177" s="352"/>
      <c r="E177" s="352"/>
      <c r="F177" s="551"/>
      <c r="G177" s="352"/>
      <c r="H177" s="546"/>
      <c r="I177" s="549"/>
      <c r="J177" s="479"/>
      <c r="K177" s="479"/>
      <c r="L177" s="479"/>
      <c r="M177" s="479"/>
      <c r="N177" s="479"/>
      <c r="O177" s="479"/>
      <c r="P177" s="479"/>
      <c r="Q177" s="551"/>
    </row>
    <row r="178" spans="1:17" s="68" customFormat="1" ht="25" customHeight="1">
      <c r="A178" s="600" t="s">
        <v>286</v>
      </c>
      <c r="B178" s="577" t="s">
        <v>631</v>
      </c>
      <c r="C178" s="352">
        <v>3</v>
      </c>
      <c r="D178" s="352">
        <v>1</v>
      </c>
      <c r="E178" s="352">
        <v>10</v>
      </c>
      <c r="F178" s="272">
        <f t="shared" si="20"/>
        <v>643.5</v>
      </c>
      <c r="G178" s="352">
        <v>70</v>
      </c>
      <c r="H178" s="669">
        <f t="shared" si="22"/>
        <v>2100</v>
      </c>
      <c r="I178" s="288">
        <f t="shared" si="23"/>
        <v>643.5</v>
      </c>
      <c r="J178" s="479"/>
      <c r="K178" s="479"/>
      <c r="L178" s="289"/>
      <c r="M178" s="289"/>
      <c r="N178" s="289"/>
      <c r="O178" s="289"/>
      <c r="P178" s="289"/>
      <c r="Q178" s="272"/>
    </row>
    <row r="179" spans="1:17" s="68" customFormat="1" ht="25" customHeight="1">
      <c r="A179" s="600" t="s">
        <v>289</v>
      </c>
      <c r="B179" s="577" t="s">
        <v>388</v>
      </c>
      <c r="C179" s="352">
        <v>3</v>
      </c>
      <c r="D179" s="352">
        <v>1</v>
      </c>
      <c r="E179" s="352">
        <v>16</v>
      </c>
      <c r="F179" s="272">
        <f t="shared" si="20"/>
        <v>1029.6000000000001</v>
      </c>
      <c r="G179" s="352">
        <v>70</v>
      </c>
      <c r="H179" s="669">
        <f t="shared" si="22"/>
        <v>3360</v>
      </c>
      <c r="I179" s="288">
        <f t="shared" si="23"/>
        <v>1029.6000000000001</v>
      </c>
      <c r="J179" s="479"/>
      <c r="K179" s="479"/>
      <c r="L179" s="289"/>
      <c r="M179" s="289"/>
      <c r="N179" s="289"/>
      <c r="O179" s="289"/>
      <c r="P179" s="289"/>
      <c r="Q179" s="272"/>
    </row>
    <row r="180" spans="1:17" s="68" customFormat="1" ht="25" customHeight="1">
      <c r="A180" s="600"/>
      <c r="B180" s="576" t="s">
        <v>723</v>
      </c>
      <c r="C180" s="352"/>
      <c r="D180" s="352"/>
      <c r="E180" s="352"/>
      <c r="F180" s="551"/>
      <c r="G180" s="352"/>
      <c r="H180" s="546"/>
      <c r="I180" s="549"/>
      <c r="J180" s="479"/>
      <c r="K180" s="479"/>
      <c r="L180" s="479"/>
      <c r="M180" s="479"/>
      <c r="N180" s="479"/>
      <c r="O180" s="479"/>
      <c r="P180" s="479"/>
      <c r="Q180" s="551"/>
    </row>
    <row r="181" spans="1:17" s="68" customFormat="1" ht="25" customHeight="1">
      <c r="A181" s="600" t="s">
        <v>290</v>
      </c>
      <c r="B181" s="577" t="s">
        <v>632</v>
      </c>
      <c r="C181" s="352">
        <v>4</v>
      </c>
      <c r="D181" s="352">
        <v>1</v>
      </c>
      <c r="E181" s="352">
        <v>10</v>
      </c>
      <c r="F181" s="272">
        <f t="shared" si="20"/>
        <v>858</v>
      </c>
      <c r="G181" s="352">
        <v>70</v>
      </c>
      <c r="H181" s="669">
        <f t="shared" si="22"/>
        <v>2800</v>
      </c>
      <c r="I181" s="288">
        <f t="shared" si="23"/>
        <v>858</v>
      </c>
      <c r="J181" s="479"/>
      <c r="K181" s="479"/>
      <c r="L181" s="289"/>
      <c r="M181" s="289"/>
      <c r="N181" s="289"/>
      <c r="O181" s="289"/>
      <c r="P181" s="289"/>
      <c r="Q181" s="272"/>
    </row>
    <row r="182" spans="1:17" s="68" customFormat="1" ht="25" customHeight="1">
      <c r="A182" s="600" t="s">
        <v>291</v>
      </c>
      <c r="B182" s="577" t="s">
        <v>633</v>
      </c>
      <c r="C182" s="352">
        <v>4</v>
      </c>
      <c r="D182" s="352">
        <v>1</v>
      </c>
      <c r="E182" s="352">
        <v>8</v>
      </c>
      <c r="F182" s="272">
        <f t="shared" si="20"/>
        <v>686.4</v>
      </c>
      <c r="G182" s="352">
        <v>70</v>
      </c>
      <c r="H182" s="669">
        <f t="shared" si="22"/>
        <v>2240</v>
      </c>
      <c r="I182" s="288">
        <f t="shared" si="23"/>
        <v>686.4</v>
      </c>
      <c r="J182" s="479"/>
      <c r="K182" s="479"/>
      <c r="L182" s="289"/>
      <c r="M182" s="289"/>
      <c r="N182" s="289"/>
      <c r="O182" s="289"/>
      <c r="P182" s="289"/>
      <c r="Q182" s="272"/>
    </row>
    <row r="183" spans="1:17" s="68" customFormat="1" ht="25" customHeight="1">
      <c r="A183" s="600" t="s">
        <v>292</v>
      </c>
      <c r="B183" s="577" t="s">
        <v>634</v>
      </c>
      <c r="C183" s="352">
        <v>4</v>
      </c>
      <c r="D183" s="352">
        <v>1</v>
      </c>
      <c r="E183" s="352">
        <v>8</v>
      </c>
      <c r="F183" s="272">
        <f t="shared" si="20"/>
        <v>686.4</v>
      </c>
      <c r="G183" s="352">
        <v>70</v>
      </c>
      <c r="H183" s="669">
        <f t="shared" si="22"/>
        <v>2240</v>
      </c>
      <c r="I183" s="288">
        <f t="shared" si="23"/>
        <v>686.4</v>
      </c>
      <c r="J183" s="479"/>
      <c r="K183" s="479"/>
      <c r="L183" s="289"/>
      <c r="M183" s="289"/>
      <c r="N183" s="289"/>
      <c r="O183" s="289"/>
      <c r="P183" s="289"/>
      <c r="Q183" s="272"/>
    </row>
    <row r="184" spans="1:17" s="68" customFormat="1" ht="25" customHeight="1">
      <c r="A184" s="514"/>
      <c r="B184" s="515" t="s">
        <v>392</v>
      </c>
      <c r="C184" s="516">
        <f>SUM(C166:C183)</f>
        <v>34</v>
      </c>
      <c r="D184" s="516">
        <f t="shared" ref="D184:K184" si="24">SUM(D166:D183)</f>
        <v>11</v>
      </c>
      <c r="E184" s="516">
        <f t="shared" si="24"/>
        <v>112</v>
      </c>
      <c r="F184" s="516">
        <f t="shared" si="24"/>
        <v>7335.9</v>
      </c>
      <c r="G184" s="516">
        <f t="shared" si="24"/>
        <v>780</v>
      </c>
      <c r="H184" s="516">
        <f t="shared" si="24"/>
        <v>24140</v>
      </c>
      <c r="I184" s="516">
        <f t="shared" si="24"/>
        <v>7335.9</v>
      </c>
      <c r="J184" s="516">
        <f t="shared" si="24"/>
        <v>0</v>
      </c>
      <c r="K184" s="516">
        <f t="shared" si="24"/>
        <v>0</v>
      </c>
      <c r="L184" s="289"/>
      <c r="M184" s="289"/>
      <c r="N184" s="289"/>
      <c r="O184" s="289"/>
      <c r="P184" s="289"/>
      <c r="Q184" s="272"/>
    </row>
    <row r="185" spans="1:17" s="68" customFormat="1" ht="25" customHeight="1">
      <c r="A185" s="294"/>
      <c r="B185" s="301" t="s">
        <v>393</v>
      </c>
      <c r="C185" s="302">
        <f>C150+C162+C184</f>
        <v>144</v>
      </c>
      <c r="D185" s="302">
        <f t="shared" ref="D185:K185" si="25">D150+D162+D184</f>
        <v>47.22</v>
      </c>
      <c r="E185" s="302">
        <f t="shared" si="25"/>
        <v>206</v>
      </c>
      <c r="F185" s="302">
        <f t="shared" si="25"/>
        <v>13339.5</v>
      </c>
      <c r="G185" s="302">
        <f t="shared" si="25"/>
        <v>2272</v>
      </c>
      <c r="H185" s="302">
        <f t="shared" si="25"/>
        <v>37263</v>
      </c>
      <c r="I185" s="302">
        <f t="shared" si="25"/>
        <v>13092</v>
      </c>
      <c r="J185" s="302">
        <f t="shared" si="25"/>
        <v>99</v>
      </c>
      <c r="K185" s="302">
        <f t="shared" si="25"/>
        <v>148.5</v>
      </c>
      <c r="L185" s="594">
        <f>'Bieu3 GDMN'!F25</f>
        <v>2700</v>
      </c>
      <c r="M185" s="594">
        <f>'Bieu3 GDMN'!N25</f>
        <v>2376</v>
      </c>
      <c r="N185" s="594">
        <f>I185-M185</f>
        <v>10716</v>
      </c>
      <c r="O185" s="594">
        <f>'Bieu3 GDMN'!O25</f>
        <v>1709.75</v>
      </c>
      <c r="P185" s="594">
        <f>'Bieu3 GDMN'!P25</f>
        <v>960</v>
      </c>
      <c r="Q185" s="495" t="s">
        <v>703</v>
      </c>
    </row>
    <row r="186" spans="1:17" s="68" customFormat="1" ht="25" customHeight="1">
      <c r="A186" s="607" t="s">
        <v>422</v>
      </c>
      <c r="B186" s="607" t="s">
        <v>423</v>
      </c>
      <c r="C186" s="608"/>
      <c r="D186" s="608"/>
      <c r="E186" s="608"/>
      <c r="F186" s="609"/>
      <c r="G186" s="608"/>
      <c r="H186" s="292"/>
      <c r="I186" s="610"/>
      <c r="J186" s="289"/>
      <c r="K186" s="289"/>
      <c r="L186" s="289"/>
      <c r="M186" s="289"/>
      <c r="N186" s="289"/>
      <c r="O186" s="289"/>
      <c r="P186" s="289"/>
      <c r="Q186" s="272"/>
    </row>
    <row r="187" spans="1:17" s="68" customFormat="1" ht="25" customHeight="1">
      <c r="A187" s="607" t="s">
        <v>7</v>
      </c>
      <c r="B187" s="607" t="s">
        <v>223</v>
      </c>
      <c r="C187" s="608"/>
      <c r="D187" s="608"/>
      <c r="E187" s="608"/>
      <c r="F187" s="609"/>
      <c r="G187" s="608"/>
      <c r="H187" s="292"/>
      <c r="I187" s="610"/>
      <c r="J187" s="289"/>
      <c r="K187" s="289"/>
      <c r="L187" s="289"/>
      <c r="M187" s="289"/>
      <c r="N187" s="289"/>
      <c r="O187" s="289"/>
      <c r="P187" s="289"/>
      <c r="Q187" s="272"/>
    </row>
    <row r="188" spans="1:17" s="68" customFormat="1" ht="25" customHeight="1">
      <c r="A188" s="607">
        <v>1</v>
      </c>
      <c r="B188" s="607" t="s">
        <v>4</v>
      </c>
      <c r="C188" s="608"/>
      <c r="D188" s="608"/>
      <c r="E188" s="608"/>
      <c r="F188" s="609"/>
      <c r="G188" s="608"/>
      <c r="H188" s="292"/>
      <c r="I188" s="610"/>
      <c r="J188" s="289"/>
      <c r="K188" s="289"/>
      <c r="L188" s="289"/>
      <c r="M188" s="289"/>
      <c r="N188" s="289"/>
      <c r="O188" s="289"/>
      <c r="P188" s="289"/>
      <c r="Q188" s="272"/>
    </row>
    <row r="189" spans="1:17" s="68" customFormat="1" ht="25" customHeight="1">
      <c r="A189" s="539" t="s">
        <v>147</v>
      </c>
      <c r="B189" s="540" t="s">
        <v>161</v>
      </c>
      <c r="C189" s="541"/>
      <c r="D189" s="541"/>
      <c r="E189" s="541"/>
      <c r="F189" s="669"/>
      <c r="G189" s="541"/>
      <c r="H189" s="292"/>
      <c r="I189" s="610"/>
      <c r="J189" s="289"/>
      <c r="K189" s="289"/>
      <c r="L189" s="289"/>
      <c r="M189" s="289"/>
      <c r="N189" s="289"/>
      <c r="O189" s="289"/>
      <c r="P189" s="289"/>
      <c r="Q189" s="272"/>
    </row>
    <row r="190" spans="1:17" s="68" customFormat="1" ht="25" customHeight="1">
      <c r="A190" s="571"/>
      <c r="B190" s="572" t="s">
        <v>733</v>
      </c>
      <c r="C190" s="599"/>
      <c r="D190" s="599"/>
      <c r="E190" s="599"/>
      <c r="F190" s="546"/>
      <c r="G190" s="599"/>
      <c r="H190" s="352"/>
      <c r="I190" s="474"/>
      <c r="J190" s="479"/>
      <c r="K190" s="479"/>
      <c r="L190" s="479"/>
      <c r="M190" s="479"/>
      <c r="N190" s="479"/>
      <c r="O190" s="479"/>
      <c r="P190" s="479"/>
      <c r="Q190" s="551"/>
    </row>
    <row r="191" spans="1:17" s="68" customFormat="1" ht="25" customHeight="1">
      <c r="A191" s="544" t="s">
        <v>226</v>
      </c>
      <c r="B191" s="573" t="s">
        <v>680</v>
      </c>
      <c r="C191" s="611">
        <v>4</v>
      </c>
      <c r="D191" s="547">
        <v>1</v>
      </c>
      <c r="E191" s="611">
        <v>13</v>
      </c>
      <c r="F191" s="272">
        <f t="shared" ref="F191:F206" si="26">I191+J191+K191</f>
        <v>1115.4000000000001</v>
      </c>
      <c r="G191" s="611">
        <v>70</v>
      </c>
      <c r="H191" s="669">
        <f>C191*E191*G191</f>
        <v>3640</v>
      </c>
      <c r="I191" s="288">
        <f>IF(G191&lt;70, C191*E191*16.5*1, C191*E191*16.5*1.3)</f>
        <v>1115.4000000000001</v>
      </c>
      <c r="J191" s="289"/>
      <c r="K191" s="289"/>
      <c r="L191" s="289"/>
      <c r="M191" s="289"/>
      <c r="N191" s="289"/>
      <c r="O191" s="289"/>
      <c r="P191" s="289"/>
      <c r="Q191" s="272"/>
    </row>
    <row r="192" spans="1:17" s="68" customFormat="1" ht="25" customHeight="1">
      <c r="A192" s="544"/>
      <c r="B192" s="572" t="s">
        <v>734</v>
      </c>
      <c r="C192" s="611"/>
      <c r="D192" s="547"/>
      <c r="E192" s="611"/>
      <c r="F192" s="551"/>
      <c r="G192" s="611"/>
      <c r="H192" s="546"/>
      <c r="I192" s="549"/>
      <c r="J192" s="479"/>
      <c r="K192" s="479"/>
      <c r="L192" s="479"/>
      <c r="M192" s="479"/>
      <c r="N192" s="479"/>
      <c r="O192" s="479"/>
      <c r="P192" s="479"/>
      <c r="Q192" s="551"/>
    </row>
    <row r="193" spans="1:17" s="68" customFormat="1" ht="25" customHeight="1">
      <c r="A193" s="544" t="s">
        <v>227</v>
      </c>
      <c r="B193" s="573" t="s">
        <v>681</v>
      </c>
      <c r="C193" s="545">
        <v>3</v>
      </c>
      <c r="D193" s="612">
        <v>1</v>
      </c>
      <c r="E193" s="545">
        <v>7</v>
      </c>
      <c r="F193" s="272">
        <f t="shared" si="26"/>
        <v>450.45</v>
      </c>
      <c r="G193" s="545">
        <v>70</v>
      </c>
      <c r="H193" s="669">
        <f t="shared" ref="H193:H206" si="27">C193*E193*G193</f>
        <v>1470</v>
      </c>
      <c r="I193" s="288">
        <f t="shared" ref="I193:I206" si="28">IF(G193&lt;70, C193*E193*16.5*1, C193*E193*16.5*1.3)</f>
        <v>450.45</v>
      </c>
      <c r="J193" s="289"/>
      <c r="K193" s="289"/>
      <c r="L193" s="289"/>
      <c r="M193" s="289"/>
      <c r="N193" s="289"/>
      <c r="O193" s="289"/>
      <c r="P193" s="289"/>
      <c r="Q193" s="272"/>
    </row>
    <row r="194" spans="1:17" s="68" customFormat="1" ht="25" customHeight="1">
      <c r="A194" s="544"/>
      <c r="B194" s="572" t="s">
        <v>735</v>
      </c>
      <c r="C194" s="545"/>
      <c r="D194" s="612"/>
      <c r="E194" s="545"/>
      <c r="F194" s="551"/>
      <c r="G194" s="545"/>
      <c r="H194" s="546"/>
      <c r="I194" s="549"/>
      <c r="J194" s="479"/>
      <c r="K194" s="479"/>
      <c r="L194" s="479"/>
      <c r="M194" s="479"/>
      <c r="N194" s="479"/>
      <c r="O194" s="479"/>
      <c r="P194" s="479"/>
      <c r="Q194" s="551"/>
    </row>
    <row r="195" spans="1:17" s="68" customFormat="1" ht="25" customHeight="1">
      <c r="A195" s="544" t="s">
        <v>229</v>
      </c>
      <c r="B195" s="573" t="s">
        <v>682</v>
      </c>
      <c r="C195" s="545">
        <v>5</v>
      </c>
      <c r="D195" s="612">
        <v>1</v>
      </c>
      <c r="E195" s="545">
        <v>6</v>
      </c>
      <c r="F195" s="272">
        <f t="shared" si="26"/>
        <v>643.5</v>
      </c>
      <c r="G195" s="545">
        <v>70</v>
      </c>
      <c r="H195" s="669">
        <f t="shared" si="27"/>
        <v>2100</v>
      </c>
      <c r="I195" s="288">
        <f t="shared" si="28"/>
        <v>643.5</v>
      </c>
      <c r="J195" s="289"/>
      <c r="K195" s="289"/>
      <c r="L195" s="289"/>
      <c r="M195" s="289"/>
      <c r="N195" s="289"/>
      <c r="O195" s="289"/>
      <c r="P195" s="289"/>
      <c r="Q195" s="272"/>
    </row>
    <row r="196" spans="1:17" s="68" customFormat="1" ht="25" customHeight="1">
      <c r="A196" s="544"/>
      <c r="B196" s="572" t="s">
        <v>738</v>
      </c>
      <c r="C196" s="545"/>
      <c r="D196" s="612"/>
      <c r="E196" s="545"/>
      <c r="F196" s="551"/>
      <c r="G196" s="545"/>
      <c r="H196" s="546"/>
      <c r="I196" s="549"/>
      <c r="J196" s="479"/>
      <c r="K196" s="479"/>
      <c r="L196" s="479"/>
      <c r="M196" s="479"/>
      <c r="N196" s="479"/>
      <c r="O196" s="479"/>
      <c r="P196" s="479"/>
      <c r="Q196" s="551"/>
    </row>
    <row r="197" spans="1:17" s="68" customFormat="1" ht="25" customHeight="1">
      <c r="A197" s="544" t="s">
        <v>230</v>
      </c>
      <c r="B197" s="573" t="s">
        <v>683</v>
      </c>
      <c r="C197" s="545">
        <v>2</v>
      </c>
      <c r="D197" s="612">
        <v>1</v>
      </c>
      <c r="E197" s="545">
        <v>1</v>
      </c>
      <c r="F197" s="272">
        <f t="shared" si="26"/>
        <v>33</v>
      </c>
      <c r="G197" s="545">
        <v>50</v>
      </c>
      <c r="H197" s="669">
        <f t="shared" si="27"/>
        <v>100</v>
      </c>
      <c r="I197" s="288">
        <f t="shared" si="28"/>
        <v>33</v>
      </c>
      <c r="J197" s="289"/>
      <c r="K197" s="289"/>
      <c r="L197" s="289"/>
      <c r="M197" s="289"/>
      <c r="N197" s="289"/>
      <c r="O197" s="289"/>
      <c r="P197" s="289"/>
      <c r="Q197" s="272"/>
    </row>
    <row r="198" spans="1:17" s="68" customFormat="1" ht="25" customHeight="1">
      <c r="A198" s="544" t="s">
        <v>231</v>
      </c>
      <c r="B198" s="573" t="s">
        <v>411</v>
      </c>
      <c r="C198" s="545">
        <v>2</v>
      </c>
      <c r="D198" s="612">
        <v>1</v>
      </c>
      <c r="E198" s="545">
        <v>1</v>
      </c>
      <c r="F198" s="272">
        <f t="shared" si="26"/>
        <v>33</v>
      </c>
      <c r="G198" s="545">
        <v>55</v>
      </c>
      <c r="H198" s="669">
        <f t="shared" si="27"/>
        <v>110</v>
      </c>
      <c r="I198" s="288">
        <f t="shared" si="28"/>
        <v>33</v>
      </c>
      <c r="J198" s="289"/>
      <c r="K198" s="289"/>
      <c r="L198" s="289"/>
      <c r="M198" s="289"/>
      <c r="N198" s="289"/>
      <c r="O198" s="289"/>
      <c r="P198" s="289"/>
      <c r="Q198" s="272"/>
    </row>
    <row r="199" spans="1:17" s="68" customFormat="1" ht="25" customHeight="1">
      <c r="A199" s="544"/>
      <c r="B199" s="572" t="s">
        <v>736</v>
      </c>
      <c r="C199" s="545"/>
      <c r="D199" s="612"/>
      <c r="E199" s="545"/>
      <c r="F199" s="551"/>
      <c r="G199" s="545"/>
      <c r="H199" s="546"/>
      <c r="I199" s="549"/>
      <c r="J199" s="479"/>
      <c r="K199" s="479"/>
      <c r="L199" s="479"/>
      <c r="M199" s="479"/>
      <c r="N199" s="479"/>
      <c r="O199" s="479"/>
      <c r="P199" s="479"/>
      <c r="Q199" s="551"/>
    </row>
    <row r="200" spans="1:17" s="68" customFormat="1" ht="25" customHeight="1">
      <c r="A200" s="544" t="s">
        <v>285</v>
      </c>
      <c r="B200" s="573" t="s">
        <v>684</v>
      </c>
      <c r="C200" s="613">
        <v>3</v>
      </c>
      <c r="D200" s="612">
        <v>1</v>
      </c>
      <c r="E200" s="613">
        <v>1</v>
      </c>
      <c r="F200" s="272">
        <f t="shared" si="26"/>
        <v>49.5</v>
      </c>
      <c r="G200" s="613">
        <v>40</v>
      </c>
      <c r="H200" s="669">
        <f t="shared" si="27"/>
        <v>120</v>
      </c>
      <c r="I200" s="288">
        <f t="shared" si="28"/>
        <v>49.5</v>
      </c>
      <c r="J200" s="289"/>
      <c r="K200" s="289"/>
      <c r="L200" s="289"/>
      <c r="M200" s="289"/>
      <c r="N200" s="289"/>
      <c r="O200" s="289"/>
      <c r="P200" s="289"/>
      <c r="Q200" s="272"/>
    </row>
    <row r="201" spans="1:17" s="68" customFormat="1" ht="25" customHeight="1">
      <c r="A201" s="544" t="s">
        <v>286</v>
      </c>
      <c r="B201" s="573" t="s">
        <v>412</v>
      </c>
      <c r="C201" s="613">
        <v>2</v>
      </c>
      <c r="D201" s="612">
        <v>1</v>
      </c>
      <c r="E201" s="613">
        <v>1</v>
      </c>
      <c r="F201" s="272">
        <f t="shared" si="26"/>
        <v>33</v>
      </c>
      <c r="G201" s="613">
        <v>40</v>
      </c>
      <c r="H201" s="669">
        <f t="shared" si="27"/>
        <v>80</v>
      </c>
      <c r="I201" s="288">
        <f t="shared" si="28"/>
        <v>33</v>
      </c>
      <c r="J201" s="289"/>
      <c r="K201" s="289"/>
      <c r="L201" s="289"/>
      <c r="M201" s="289"/>
      <c r="N201" s="289"/>
      <c r="O201" s="289"/>
      <c r="P201" s="289"/>
      <c r="Q201" s="272"/>
    </row>
    <row r="202" spans="1:17" s="68" customFormat="1" ht="25" customHeight="1">
      <c r="A202" s="544" t="s">
        <v>289</v>
      </c>
      <c r="B202" s="573" t="s">
        <v>685</v>
      </c>
      <c r="C202" s="613">
        <v>2</v>
      </c>
      <c r="D202" s="612">
        <v>1</v>
      </c>
      <c r="E202" s="613">
        <v>1</v>
      </c>
      <c r="F202" s="272">
        <f t="shared" si="26"/>
        <v>42.9</v>
      </c>
      <c r="G202" s="613">
        <v>80</v>
      </c>
      <c r="H202" s="669">
        <f t="shared" si="27"/>
        <v>160</v>
      </c>
      <c r="I202" s="288">
        <f t="shared" si="28"/>
        <v>42.9</v>
      </c>
      <c r="J202" s="289"/>
      <c r="K202" s="289"/>
      <c r="L202" s="289"/>
      <c r="M202" s="289"/>
      <c r="N202" s="289"/>
      <c r="O202" s="289"/>
      <c r="P202" s="289"/>
      <c r="Q202" s="272"/>
    </row>
    <row r="203" spans="1:17" s="68" customFormat="1" ht="25" customHeight="1">
      <c r="A203" s="544"/>
      <c r="B203" s="572" t="s">
        <v>737</v>
      </c>
      <c r="C203" s="613"/>
      <c r="D203" s="612"/>
      <c r="E203" s="613"/>
      <c r="F203" s="551"/>
      <c r="G203" s="613"/>
      <c r="H203" s="546"/>
      <c r="I203" s="549"/>
      <c r="J203" s="479"/>
      <c r="K203" s="479"/>
      <c r="L203" s="479"/>
      <c r="M203" s="479"/>
      <c r="N203" s="479"/>
      <c r="O203" s="479"/>
      <c r="P203" s="479"/>
      <c r="Q203" s="551"/>
    </row>
    <row r="204" spans="1:17" s="68" customFormat="1" ht="25" customHeight="1">
      <c r="A204" s="544" t="s">
        <v>290</v>
      </c>
      <c r="B204" s="573" t="s">
        <v>686</v>
      </c>
      <c r="C204" s="613">
        <v>2</v>
      </c>
      <c r="D204" s="612">
        <v>1</v>
      </c>
      <c r="E204" s="613">
        <v>1</v>
      </c>
      <c r="F204" s="272">
        <f t="shared" si="26"/>
        <v>42.9</v>
      </c>
      <c r="G204" s="613">
        <v>80</v>
      </c>
      <c r="H204" s="669">
        <f t="shared" si="27"/>
        <v>160</v>
      </c>
      <c r="I204" s="288">
        <f t="shared" si="28"/>
        <v>42.9</v>
      </c>
      <c r="J204" s="289"/>
      <c r="K204" s="289"/>
      <c r="L204" s="289"/>
      <c r="M204" s="289"/>
      <c r="N204" s="289"/>
      <c r="O204" s="289"/>
      <c r="P204" s="289"/>
      <c r="Q204" s="272"/>
    </row>
    <row r="205" spans="1:17" s="68" customFormat="1" ht="25" customHeight="1">
      <c r="A205" s="544" t="s">
        <v>291</v>
      </c>
      <c r="B205" s="573" t="s">
        <v>413</v>
      </c>
      <c r="C205" s="613">
        <v>1</v>
      </c>
      <c r="D205" s="546">
        <v>1.4</v>
      </c>
      <c r="E205" s="613">
        <v>6</v>
      </c>
      <c r="F205" s="272">
        <f t="shared" si="26"/>
        <v>99</v>
      </c>
      <c r="G205" s="613">
        <v>36</v>
      </c>
      <c r="H205" s="669">
        <f t="shared" si="27"/>
        <v>216</v>
      </c>
      <c r="I205" s="288">
        <f t="shared" si="28"/>
        <v>99</v>
      </c>
      <c r="J205" s="289"/>
      <c r="K205" s="289"/>
      <c r="L205" s="289"/>
      <c r="M205" s="289"/>
      <c r="N205" s="289"/>
      <c r="O205" s="289"/>
      <c r="P205" s="289"/>
      <c r="Q205" s="272"/>
    </row>
    <row r="206" spans="1:17" s="68" customFormat="1" ht="25" customHeight="1">
      <c r="A206" s="544" t="s">
        <v>292</v>
      </c>
      <c r="B206" s="545" t="s">
        <v>414</v>
      </c>
      <c r="C206" s="613">
        <v>1</v>
      </c>
      <c r="D206" s="546">
        <v>1.4</v>
      </c>
      <c r="E206" s="613">
        <v>14</v>
      </c>
      <c r="F206" s="272">
        <f t="shared" si="26"/>
        <v>231</v>
      </c>
      <c r="G206" s="613">
        <v>20</v>
      </c>
      <c r="H206" s="669">
        <f t="shared" si="27"/>
        <v>280</v>
      </c>
      <c r="I206" s="288">
        <f t="shared" si="28"/>
        <v>231</v>
      </c>
      <c r="J206" s="289"/>
      <c r="K206" s="289"/>
      <c r="L206" s="289"/>
      <c r="M206" s="289"/>
      <c r="N206" s="289"/>
      <c r="O206" s="289"/>
      <c r="P206" s="289"/>
      <c r="Q206" s="272"/>
    </row>
    <row r="207" spans="1:17" s="68" customFormat="1" ht="25" customHeight="1">
      <c r="A207" s="565"/>
      <c r="B207" s="566" t="s">
        <v>380</v>
      </c>
      <c r="C207" s="567">
        <f>SUM(C191:C206)</f>
        <v>27</v>
      </c>
      <c r="D207" s="567">
        <f t="shared" ref="D207:K207" si="29">SUM(D191:D206)</f>
        <v>11.8</v>
      </c>
      <c r="E207" s="567">
        <f t="shared" si="29"/>
        <v>52</v>
      </c>
      <c r="F207" s="567">
        <f t="shared" si="29"/>
        <v>2773.6500000000005</v>
      </c>
      <c r="G207" s="567">
        <f t="shared" si="29"/>
        <v>611</v>
      </c>
      <c r="H207" s="567">
        <f t="shared" si="29"/>
        <v>8436</v>
      </c>
      <c r="I207" s="567">
        <f t="shared" si="29"/>
        <v>2773.6500000000005</v>
      </c>
      <c r="J207" s="567">
        <f t="shared" si="29"/>
        <v>0</v>
      </c>
      <c r="K207" s="567">
        <f t="shared" si="29"/>
        <v>0</v>
      </c>
      <c r="L207" s="289"/>
      <c r="M207" s="289"/>
      <c r="N207" s="289"/>
      <c r="O207" s="289"/>
      <c r="P207" s="289"/>
      <c r="Q207" s="272"/>
    </row>
    <row r="208" spans="1:17" s="68" customFormat="1" ht="25" customHeight="1">
      <c r="A208" s="614">
        <v>2</v>
      </c>
      <c r="B208" s="614" t="s">
        <v>164</v>
      </c>
      <c r="C208" s="546"/>
      <c r="D208" s="546"/>
      <c r="E208" s="546"/>
      <c r="F208" s="272"/>
      <c r="G208" s="546"/>
      <c r="H208" s="669"/>
      <c r="I208" s="288"/>
      <c r="J208" s="289"/>
      <c r="K208" s="289"/>
      <c r="L208" s="289"/>
      <c r="M208" s="289"/>
      <c r="N208" s="289"/>
      <c r="O208" s="289"/>
      <c r="P208" s="289"/>
      <c r="Q208" s="272"/>
    </row>
    <row r="209" spans="1:17" s="68" customFormat="1" ht="25" customHeight="1">
      <c r="A209" s="571" t="s">
        <v>147</v>
      </c>
      <c r="B209" s="572" t="s">
        <v>165</v>
      </c>
      <c r="C209" s="546"/>
      <c r="D209" s="546"/>
      <c r="E209" s="546"/>
      <c r="F209" s="272"/>
      <c r="G209" s="546"/>
      <c r="H209" s="669"/>
      <c r="I209" s="288"/>
      <c r="J209" s="289"/>
      <c r="K209" s="289"/>
      <c r="L209" s="289"/>
      <c r="M209" s="289"/>
      <c r="N209" s="289"/>
      <c r="O209" s="289"/>
      <c r="P209" s="289"/>
      <c r="Q209" s="272"/>
    </row>
    <row r="210" spans="1:17" s="68" customFormat="1" ht="25" customHeight="1">
      <c r="A210" s="544" t="s">
        <v>226</v>
      </c>
      <c r="B210" s="573" t="s">
        <v>415</v>
      </c>
      <c r="C210" s="545">
        <v>3</v>
      </c>
      <c r="D210" s="612">
        <v>1</v>
      </c>
      <c r="E210" s="613">
        <v>3</v>
      </c>
      <c r="F210" s="292">
        <f>I210+J210+K210</f>
        <v>222.75</v>
      </c>
      <c r="G210" s="545">
        <v>15</v>
      </c>
      <c r="H210" s="669">
        <f t="shared" ref="H210:H216" si="30">C210*E210*G210</f>
        <v>135</v>
      </c>
      <c r="I210" s="288">
        <f t="shared" ref="I210:I216" si="31">IF(G210&lt;70, C210*E210*16.5*1*1.5, C210*E210*16.5*1.3*1.5)</f>
        <v>222.75</v>
      </c>
      <c r="J210" s="289"/>
      <c r="K210" s="289"/>
      <c r="L210" s="289"/>
      <c r="M210" s="289"/>
      <c r="N210" s="289"/>
      <c r="O210" s="289"/>
      <c r="P210" s="289"/>
      <c r="Q210" s="272"/>
    </row>
    <row r="211" spans="1:17" s="68" customFormat="1" ht="25" customHeight="1">
      <c r="A211" s="544" t="s">
        <v>227</v>
      </c>
      <c r="B211" s="573" t="s">
        <v>416</v>
      </c>
      <c r="C211" s="545">
        <v>3</v>
      </c>
      <c r="D211" s="612">
        <v>1</v>
      </c>
      <c r="E211" s="613">
        <v>1</v>
      </c>
      <c r="F211" s="292">
        <f t="shared" ref="F211:F216" si="32">I211+J211+K211</f>
        <v>74.25</v>
      </c>
      <c r="G211" s="545">
        <v>10</v>
      </c>
      <c r="H211" s="669">
        <f t="shared" si="30"/>
        <v>30</v>
      </c>
      <c r="I211" s="288">
        <f t="shared" si="31"/>
        <v>74.25</v>
      </c>
      <c r="J211" s="289"/>
      <c r="K211" s="289"/>
      <c r="L211" s="289"/>
      <c r="M211" s="289"/>
      <c r="N211" s="289"/>
      <c r="O211" s="289"/>
      <c r="P211" s="289"/>
      <c r="Q211" s="272"/>
    </row>
    <row r="212" spans="1:17" s="68" customFormat="1" ht="25" customHeight="1">
      <c r="A212" s="544" t="s">
        <v>228</v>
      </c>
      <c r="B212" s="579" t="s">
        <v>417</v>
      </c>
      <c r="C212" s="545">
        <v>3</v>
      </c>
      <c r="D212" s="612">
        <v>1</v>
      </c>
      <c r="E212" s="613">
        <v>1</v>
      </c>
      <c r="F212" s="292">
        <f t="shared" si="32"/>
        <v>74.25</v>
      </c>
      <c r="G212" s="545">
        <v>10</v>
      </c>
      <c r="H212" s="669">
        <f t="shared" si="30"/>
        <v>30</v>
      </c>
      <c r="I212" s="288">
        <f t="shared" si="31"/>
        <v>74.25</v>
      </c>
      <c r="J212" s="289"/>
      <c r="K212" s="289"/>
      <c r="L212" s="289"/>
      <c r="M212" s="289"/>
      <c r="N212" s="289"/>
      <c r="O212" s="289"/>
      <c r="P212" s="289"/>
      <c r="Q212" s="272"/>
    </row>
    <row r="213" spans="1:17" s="68" customFormat="1" ht="25" customHeight="1">
      <c r="A213" s="544" t="s">
        <v>229</v>
      </c>
      <c r="B213" s="573" t="s">
        <v>418</v>
      </c>
      <c r="C213" s="545">
        <v>3</v>
      </c>
      <c r="D213" s="612">
        <v>1</v>
      </c>
      <c r="E213" s="613">
        <v>1</v>
      </c>
      <c r="F213" s="292">
        <f t="shared" si="32"/>
        <v>74.25</v>
      </c>
      <c r="G213" s="545">
        <v>10</v>
      </c>
      <c r="H213" s="669">
        <f t="shared" si="30"/>
        <v>30</v>
      </c>
      <c r="I213" s="288">
        <f t="shared" si="31"/>
        <v>74.25</v>
      </c>
      <c r="J213" s="289"/>
      <c r="K213" s="289"/>
      <c r="L213" s="289"/>
      <c r="M213" s="289"/>
      <c r="N213" s="289"/>
      <c r="O213" s="289"/>
      <c r="P213" s="289"/>
      <c r="Q213" s="272"/>
    </row>
    <row r="214" spans="1:17" s="68" customFormat="1" ht="25" customHeight="1">
      <c r="A214" s="544" t="s">
        <v>230</v>
      </c>
      <c r="B214" s="574" t="s">
        <v>419</v>
      </c>
      <c r="C214" s="545">
        <v>3</v>
      </c>
      <c r="D214" s="612">
        <v>1</v>
      </c>
      <c r="E214" s="613">
        <v>3</v>
      </c>
      <c r="F214" s="292">
        <f t="shared" si="32"/>
        <v>222.75</v>
      </c>
      <c r="G214" s="545">
        <v>15</v>
      </c>
      <c r="H214" s="669">
        <f t="shared" si="30"/>
        <v>135</v>
      </c>
      <c r="I214" s="288">
        <f t="shared" si="31"/>
        <v>222.75</v>
      </c>
      <c r="J214" s="289"/>
      <c r="K214" s="289"/>
      <c r="L214" s="289"/>
      <c r="M214" s="289"/>
      <c r="N214" s="289"/>
      <c r="O214" s="289"/>
      <c r="P214" s="289"/>
      <c r="Q214" s="272"/>
    </row>
    <row r="215" spans="1:17" s="68" customFormat="1" ht="25" customHeight="1">
      <c r="A215" s="544" t="s">
        <v>231</v>
      </c>
      <c r="B215" s="574" t="s">
        <v>420</v>
      </c>
      <c r="C215" s="545">
        <v>3</v>
      </c>
      <c r="D215" s="612">
        <v>1</v>
      </c>
      <c r="E215" s="613">
        <v>1</v>
      </c>
      <c r="F215" s="292">
        <f t="shared" si="32"/>
        <v>74.25</v>
      </c>
      <c r="G215" s="545">
        <v>10</v>
      </c>
      <c r="H215" s="669">
        <f t="shared" si="30"/>
        <v>30</v>
      </c>
      <c r="I215" s="288">
        <f t="shared" si="31"/>
        <v>74.25</v>
      </c>
      <c r="J215" s="289"/>
      <c r="K215" s="289"/>
      <c r="L215" s="289"/>
      <c r="M215" s="289"/>
      <c r="N215" s="289"/>
      <c r="O215" s="289"/>
      <c r="P215" s="289"/>
      <c r="Q215" s="272"/>
    </row>
    <row r="216" spans="1:17" s="68" customFormat="1" ht="25" customHeight="1">
      <c r="A216" s="544" t="s">
        <v>282</v>
      </c>
      <c r="B216" s="574" t="s">
        <v>421</v>
      </c>
      <c r="C216" s="545">
        <v>3</v>
      </c>
      <c r="D216" s="612">
        <v>1</v>
      </c>
      <c r="E216" s="613">
        <v>3</v>
      </c>
      <c r="F216" s="292">
        <f t="shared" si="32"/>
        <v>222.75</v>
      </c>
      <c r="G216" s="545">
        <v>15</v>
      </c>
      <c r="H216" s="669">
        <f t="shared" si="30"/>
        <v>135</v>
      </c>
      <c r="I216" s="288">
        <f t="shared" si="31"/>
        <v>222.75</v>
      </c>
      <c r="J216" s="289"/>
      <c r="K216" s="289"/>
      <c r="L216" s="289"/>
      <c r="M216" s="289"/>
      <c r="N216" s="289"/>
      <c r="O216" s="289"/>
      <c r="P216" s="289"/>
      <c r="Q216" s="272"/>
    </row>
    <row r="217" spans="1:17" s="68" customFormat="1" ht="25" customHeight="1">
      <c r="A217" s="565"/>
      <c r="B217" s="615" t="s">
        <v>380</v>
      </c>
      <c r="C217" s="567">
        <f>SUM(C210:C216)</f>
        <v>21</v>
      </c>
      <c r="D217" s="567">
        <f t="shared" ref="D217:K217" si="33">SUM(D210:D216)</f>
        <v>7</v>
      </c>
      <c r="E217" s="567">
        <f t="shared" si="33"/>
        <v>13</v>
      </c>
      <c r="F217" s="567">
        <f t="shared" si="33"/>
        <v>965.25</v>
      </c>
      <c r="G217" s="567">
        <f t="shared" si="33"/>
        <v>85</v>
      </c>
      <c r="H217" s="567">
        <f t="shared" si="33"/>
        <v>525</v>
      </c>
      <c r="I217" s="567">
        <f t="shared" si="33"/>
        <v>965.25</v>
      </c>
      <c r="J217" s="567">
        <f t="shared" si="33"/>
        <v>0</v>
      </c>
      <c r="K217" s="567">
        <f t="shared" si="33"/>
        <v>0</v>
      </c>
      <c r="L217" s="289"/>
      <c r="M217" s="289"/>
      <c r="N217" s="289"/>
      <c r="O217" s="289"/>
      <c r="P217" s="289"/>
      <c r="Q217" s="272"/>
    </row>
    <row r="218" spans="1:17" s="68" customFormat="1" ht="25" customHeight="1">
      <c r="A218" s="614" t="s">
        <v>8</v>
      </c>
      <c r="B218" s="614" t="s">
        <v>224</v>
      </c>
      <c r="C218" s="546"/>
      <c r="D218" s="546"/>
      <c r="E218" s="546"/>
      <c r="F218" s="272"/>
      <c r="G218" s="546"/>
      <c r="H218" s="669"/>
      <c r="I218" s="288"/>
      <c r="J218" s="289"/>
      <c r="K218" s="289"/>
      <c r="L218" s="289"/>
      <c r="M218" s="289"/>
      <c r="N218" s="289"/>
      <c r="O218" s="289"/>
      <c r="P218" s="289"/>
      <c r="Q218" s="272"/>
    </row>
    <row r="219" spans="1:17" s="68" customFormat="1" ht="25" customHeight="1">
      <c r="A219" s="614">
        <v>1</v>
      </c>
      <c r="B219" s="572" t="s">
        <v>225</v>
      </c>
      <c r="C219" s="546"/>
      <c r="D219" s="546"/>
      <c r="E219" s="546"/>
      <c r="F219" s="272"/>
      <c r="G219" s="546"/>
      <c r="H219" s="669"/>
      <c r="I219" s="288"/>
      <c r="J219" s="289"/>
      <c r="K219" s="289"/>
      <c r="L219" s="289"/>
      <c r="M219" s="289"/>
      <c r="N219" s="289"/>
      <c r="O219" s="289"/>
      <c r="P219" s="289"/>
      <c r="Q219" s="272"/>
    </row>
    <row r="220" spans="1:17" s="68" customFormat="1" ht="25" customHeight="1">
      <c r="A220" s="614" t="s">
        <v>147</v>
      </c>
      <c r="B220" s="572" t="s">
        <v>163</v>
      </c>
      <c r="C220" s="546"/>
      <c r="D220" s="546"/>
      <c r="E220" s="546"/>
      <c r="F220" s="292"/>
      <c r="G220" s="546"/>
      <c r="H220" s="299"/>
      <c r="I220" s="299"/>
      <c r="J220" s="289"/>
      <c r="K220" s="289"/>
      <c r="L220" s="289"/>
      <c r="M220" s="289"/>
      <c r="N220" s="289"/>
      <c r="O220" s="289"/>
      <c r="P220" s="289"/>
      <c r="Q220" s="272"/>
    </row>
    <row r="221" spans="1:17" s="68" customFormat="1" ht="25" customHeight="1">
      <c r="A221" s="614"/>
      <c r="B221" s="572" t="s">
        <v>739</v>
      </c>
      <c r="C221" s="546"/>
      <c r="D221" s="546"/>
      <c r="E221" s="546"/>
      <c r="F221" s="352"/>
      <c r="G221" s="546"/>
      <c r="H221" s="473"/>
      <c r="I221" s="473"/>
      <c r="J221" s="479"/>
      <c r="K221" s="479"/>
      <c r="L221" s="479"/>
      <c r="M221" s="479"/>
      <c r="N221" s="479"/>
      <c r="O221" s="479"/>
      <c r="P221" s="479"/>
      <c r="Q221" s="551"/>
    </row>
    <row r="222" spans="1:17" s="68" customFormat="1" ht="25" customHeight="1">
      <c r="A222" s="564" t="s">
        <v>226</v>
      </c>
      <c r="B222" s="573" t="s">
        <v>687</v>
      </c>
      <c r="C222" s="613">
        <v>5</v>
      </c>
      <c r="D222" s="612">
        <v>1</v>
      </c>
      <c r="E222" s="546">
        <v>25</v>
      </c>
      <c r="F222" s="292">
        <f>I222+J222+K222</f>
        <v>3093.75</v>
      </c>
      <c r="G222" s="546">
        <v>50</v>
      </c>
      <c r="H222" s="669">
        <f>C222*E222*G222</f>
        <v>6250</v>
      </c>
      <c r="I222" s="288">
        <f>IF(G222&lt;70, C222*E222*16.5*1.5, C222*E222*16.5*1.3*1.5)</f>
        <v>3093.75</v>
      </c>
      <c r="J222" s="289"/>
      <c r="K222" s="289"/>
      <c r="L222" s="289"/>
      <c r="M222" s="289"/>
      <c r="N222" s="289"/>
      <c r="O222" s="289"/>
      <c r="P222" s="289"/>
      <c r="Q222" s="272"/>
    </row>
    <row r="223" spans="1:17" s="68" customFormat="1" ht="25" customHeight="1">
      <c r="A223" s="564" t="s">
        <v>227</v>
      </c>
      <c r="B223" s="573" t="s">
        <v>688</v>
      </c>
      <c r="C223" s="613">
        <v>5</v>
      </c>
      <c r="D223" s="612">
        <v>1</v>
      </c>
      <c r="E223" s="546">
        <v>26</v>
      </c>
      <c r="F223" s="292">
        <f>I223+J223+K223</f>
        <v>3217.5</v>
      </c>
      <c r="G223" s="546">
        <v>50</v>
      </c>
      <c r="H223" s="669">
        <f>C223*E223*G223</f>
        <v>6500</v>
      </c>
      <c r="I223" s="288">
        <f>IF(G223&lt;70, C223*E223*16.5*1.5, C223*E223*16.5*1.3*1.5)</f>
        <v>3217.5</v>
      </c>
      <c r="J223" s="289"/>
      <c r="K223" s="289"/>
      <c r="L223" s="289"/>
      <c r="M223" s="289"/>
      <c r="N223" s="289"/>
      <c r="O223" s="289"/>
      <c r="P223" s="289"/>
      <c r="Q223" s="272"/>
    </row>
    <row r="224" spans="1:17" s="68" customFormat="1" ht="25" customHeight="1">
      <c r="A224" s="565"/>
      <c r="B224" s="566" t="s">
        <v>380</v>
      </c>
      <c r="C224" s="567">
        <f>SUM(C222:C223)</f>
        <v>10</v>
      </c>
      <c r="D224" s="567">
        <f t="shared" ref="D224:K224" si="34">SUM(D222:D223)</f>
        <v>2</v>
      </c>
      <c r="E224" s="567">
        <f t="shared" si="34"/>
        <v>51</v>
      </c>
      <c r="F224" s="567">
        <f t="shared" si="34"/>
        <v>6311.25</v>
      </c>
      <c r="G224" s="567">
        <f t="shared" si="34"/>
        <v>100</v>
      </c>
      <c r="H224" s="567">
        <f t="shared" si="34"/>
        <v>12750</v>
      </c>
      <c r="I224" s="567">
        <f t="shared" si="34"/>
        <v>6311.25</v>
      </c>
      <c r="J224" s="567">
        <f t="shared" si="34"/>
        <v>0</v>
      </c>
      <c r="K224" s="567">
        <f t="shared" si="34"/>
        <v>0</v>
      </c>
      <c r="L224" s="289"/>
      <c r="M224" s="289"/>
      <c r="N224" s="289"/>
      <c r="O224" s="289"/>
      <c r="P224" s="289"/>
      <c r="Q224" s="272"/>
    </row>
    <row r="225" spans="1:17" s="68" customFormat="1" ht="25" customHeight="1">
      <c r="A225" s="616"/>
      <c r="B225" s="617" t="s">
        <v>424</v>
      </c>
      <c r="C225" s="492">
        <f>C207+C217+C224</f>
        <v>58</v>
      </c>
      <c r="D225" s="492">
        <f t="shared" ref="D225:K225" si="35">D207+D217+D224</f>
        <v>20.8</v>
      </c>
      <c r="E225" s="492">
        <f t="shared" si="35"/>
        <v>116</v>
      </c>
      <c r="F225" s="492">
        <f t="shared" si="35"/>
        <v>10050.150000000001</v>
      </c>
      <c r="G225" s="492">
        <f t="shared" si="35"/>
        <v>796</v>
      </c>
      <c r="H225" s="492">
        <f t="shared" si="35"/>
        <v>21711</v>
      </c>
      <c r="I225" s="492">
        <f t="shared" si="35"/>
        <v>10050.150000000001</v>
      </c>
      <c r="J225" s="492">
        <f t="shared" si="35"/>
        <v>0</v>
      </c>
      <c r="K225" s="492">
        <f t="shared" si="35"/>
        <v>0</v>
      </c>
      <c r="L225" s="593">
        <f>'Bieu3 TLH'!F22</f>
        <v>1620</v>
      </c>
      <c r="M225" s="593">
        <f>'Bieu3 TLH'!N22</f>
        <v>1498.5</v>
      </c>
      <c r="N225" s="593">
        <f>I225-M225</f>
        <v>8551.6500000000015</v>
      </c>
      <c r="O225" s="593">
        <f>'Bieu3 TLH'!O22</f>
        <v>1163.25</v>
      </c>
      <c r="P225" s="593">
        <f>'Bieu3 TLH'!P22</f>
        <v>590</v>
      </c>
      <c r="Q225" s="618" t="s">
        <v>704</v>
      </c>
    </row>
    <row r="226" spans="1:17" s="68" customFormat="1" ht="25" customHeight="1">
      <c r="A226" s="607" t="s">
        <v>431</v>
      </c>
      <c r="B226" s="607" t="s">
        <v>432</v>
      </c>
      <c r="C226" s="608"/>
      <c r="D226" s="608"/>
      <c r="E226" s="608"/>
      <c r="F226" s="609"/>
      <c r="G226" s="608"/>
      <c r="H226" s="608"/>
      <c r="I226" s="608"/>
      <c r="J226" s="289"/>
      <c r="K226" s="289"/>
      <c r="L226" s="289"/>
      <c r="M226" s="289"/>
      <c r="N226" s="289"/>
      <c r="O226" s="289"/>
      <c r="P226" s="289"/>
      <c r="Q226" s="272"/>
    </row>
    <row r="227" spans="1:17" s="68" customFormat="1" ht="25" customHeight="1">
      <c r="A227" s="607" t="s">
        <v>7</v>
      </c>
      <c r="B227" s="607" t="s">
        <v>223</v>
      </c>
      <c r="C227" s="608"/>
      <c r="D227" s="608"/>
      <c r="E227" s="608"/>
      <c r="F227" s="609"/>
      <c r="G227" s="608"/>
      <c r="H227" s="608"/>
      <c r="I227" s="608"/>
      <c r="J227" s="289"/>
      <c r="K227" s="289"/>
      <c r="L227" s="289"/>
      <c r="M227" s="289"/>
      <c r="N227" s="289"/>
      <c r="O227" s="289"/>
      <c r="P227" s="289"/>
      <c r="Q227" s="272"/>
    </row>
    <row r="228" spans="1:17" s="68" customFormat="1" ht="25" customHeight="1">
      <c r="A228" s="607">
        <v>1</v>
      </c>
      <c r="B228" s="607" t="s">
        <v>4</v>
      </c>
      <c r="C228" s="608"/>
      <c r="D228" s="608"/>
      <c r="E228" s="608"/>
      <c r="F228" s="609"/>
      <c r="G228" s="608"/>
      <c r="H228" s="608"/>
      <c r="I228" s="608"/>
      <c r="J228" s="289"/>
      <c r="K228" s="289"/>
      <c r="L228" s="289"/>
      <c r="M228" s="289"/>
      <c r="N228" s="289"/>
      <c r="O228" s="289"/>
      <c r="P228" s="289"/>
      <c r="Q228" s="272"/>
    </row>
    <row r="229" spans="1:17" s="68" customFormat="1" ht="25" customHeight="1">
      <c r="A229" s="614"/>
      <c r="B229" s="614" t="s">
        <v>740</v>
      </c>
      <c r="C229" s="680"/>
      <c r="D229" s="680"/>
      <c r="E229" s="680"/>
      <c r="F229" s="681"/>
      <c r="G229" s="680"/>
      <c r="H229" s="680"/>
      <c r="I229" s="680"/>
      <c r="J229" s="479"/>
      <c r="K229" s="479"/>
      <c r="L229" s="479"/>
      <c r="M229" s="479"/>
      <c r="N229" s="479"/>
      <c r="O229" s="479"/>
      <c r="P229" s="479"/>
      <c r="Q229" s="551"/>
    </row>
    <row r="230" spans="1:17" s="68" customFormat="1" ht="25" customHeight="1">
      <c r="A230" s="544" t="s">
        <v>226</v>
      </c>
      <c r="B230" s="573" t="s">
        <v>689</v>
      </c>
      <c r="C230" s="549">
        <v>4</v>
      </c>
      <c r="D230" s="549">
        <v>1</v>
      </c>
      <c r="E230" s="549">
        <v>10</v>
      </c>
      <c r="F230" s="272">
        <f t="shared" ref="F230:F242" si="36">I230+J230+K230</f>
        <v>858</v>
      </c>
      <c r="G230" s="549">
        <v>70</v>
      </c>
      <c r="H230" s="669">
        <f t="shared" ref="H230:H242" si="37">C230*E230*G230</f>
        <v>2800</v>
      </c>
      <c r="I230" s="288">
        <f t="shared" ref="I230:I242" si="38">IF(G230&lt;70, C230*E230*16.5*1, C230*E230*16.5*1.3)</f>
        <v>858</v>
      </c>
      <c r="J230" s="289"/>
      <c r="K230" s="289"/>
      <c r="L230" s="289"/>
      <c r="M230" s="289"/>
      <c r="N230" s="289"/>
      <c r="O230" s="289"/>
      <c r="P230" s="289"/>
      <c r="Q230" s="272"/>
    </row>
    <row r="231" spans="1:17" s="68" customFormat="1" ht="25" customHeight="1">
      <c r="A231" s="544"/>
      <c r="B231" s="572" t="s">
        <v>741</v>
      </c>
      <c r="C231" s="549"/>
      <c r="D231" s="549"/>
      <c r="E231" s="549"/>
      <c r="F231" s="551"/>
      <c r="G231" s="549"/>
      <c r="H231" s="546"/>
      <c r="I231" s="549"/>
      <c r="J231" s="479"/>
      <c r="K231" s="479"/>
      <c r="L231" s="479"/>
      <c r="M231" s="479"/>
      <c r="N231" s="479"/>
      <c r="O231" s="479"/>
      <c r="P231" s="479"/>
      <c r="Q231" s="551"/>
    </row>
    <row r="232" spans="1:17" s="68" customFormat="1" ht="25" customHeight="1">
      <c r="A232" s="544" t="s">
        <v>227</v>
      </c>
      <c r="B232" s="573" t="s">
        <v>690</v>
      </c>
      <c r="C232" s="546">
        <v>3</v>
      </c>
      <c r="D232" s="546">
        <v>1</v>
      </c>
      <c r="E232" s="546">
        <v>4</v>
      </c>
      <c r="F232" s="272">
        <f t="shared" si="36"/>
        <v>257.40000000000003</v>
      </c>
      <c r="G232" s="546">
        <v>70</v>
      </c>
      <c r="H232" s="669">
        <f t="shared" si="37"/>
        <v>840</v>
      </c>
      <c r="I232" s="288">
        <f t="shared" si="38"/>
        <v>257.40000000000003</v>
      </c>
      <c r="J232" s="289"/>
      <c r="K232" s="289"/>
      <c r="L232" s="289"/>
      <c r="M232" s="289"/>
      <c r="N232" s="289"/>
      <c r="O232" s="289"/>
      <c r="P232" s="289"/>
      <c r="Q232" s="272"/>
    </row>
    <row r="233" spans="1:17" s="68" customFormat="1" ht="25" customHeight="1">
      <c r="A233" s="544"/>
      <c r="B233" s="572" t="s">
        <v>742</v>
      </c>
      <c r="C233" s="546"/>
      <c r="D233" s="546"/>
      <c r="E233" s="546"/>
      <c r="F233" s="551"/>
      <c r="G233" s="546"/>
      <c r="H233" s="546"/>
      <c r="I233" s="549"/>
      <c r="J233" s="479"/>
      <c r="K233" s="479"/>
      <c r="L233" s="479"/>
      <c r="M233" s="479"/>
      <c r="N233" s="479"/>
      <c r="O233" s="479"/>
      <c r="P233" s="479"/>
      <c r="Q233" s="551"/>
    </row>
    <row r="234" spans="1:17" s="68" customFormat="1" ht="25" customHeight="1">
      <c r="A234" s="544" t="s">
        <v>228</v>
      </c>
      <c r="B234" s="579" t="s">
        <v>426</v>
      </c>
      <c r="C234" s="546">
        <v>3</v>
      </c>
      <c r="D234" s="546">
        <v>1</v>
      </c>
      <c r="E234" s="546">
        <v>3</v>
      </c>
      <c r="F234" s="272">
        <f t="shared" si="36"/>
        <v>193.05</v>
      </c>
      <c r="G234" s="546">
        <v>70</v>
      </c>
      <c r="H234" s="669">
        <f t="shared" si="37"/>
        <v>630</v>
      </c>
      <c r="I234" s="288">
        <f t="shared" si="38"/>
        <v>193.05</v>
      </c>
      <c r="J234" s="289"/>
      <c r="K234" s="289"/>
      <c r="L234" s="289"/>
      <c r="M234" s="289"/>
      <c r="N234" s="289"/>
      <c r="O234" s="289"/>
      <c r="P234" s="289"/>
      <c r="Q234" s="272"/>
    </row>
    <row r="235" spans="1:17" s="68" customFormat="1" ht="25" customHeight="1">
      <c r="A235" s="544" t="s">
        <v>229</v>
      </c>
      <c r="B235" s="579" t="s">
        <v>427</v>
      </c>
      <c r="C235" s="546">
        <v>4</v>
      </c>
      <c r="D235" s="546">
        <v>1</v>
      </c>
      <c r="E235" s="546">
        <v>3</v>
      </c>
      <c r="F235" s="272">
        <f t="shared" si="36"/>
        <v>257.40000000000003</v>
      </c>
      <c r="G235" s="546">
        <v>70</v>
      </c>
      <c r="H235" s="669">
        <f t="shared" si="37"/>
        <v>840</v>
      </c>
      <c r="I235" s="288">
        <f t="shared" si="38"/>
        <v>257.40000000000003</v>
      </c>
      <c r="J235" s="289"/>
      <c r="K235" s="289"/>
      <c r="L235" s="289"/>
      <c r="M235" s="289"/>
      <c r="N235" s="289"/>
      <c r="O235" s="289"/>
      <c r="P235" s="289"/>
      <c r="Q235" s="272"/>
    </row>
    <row r="236" spans="1:17" s="68" customFormat="1" ht="25" customHeight="1">
      <c r="A236" s="544"/>
      <c r="B236" s="605" t="s">
        <v>743</v>
      </c>
      <c r="C236" s="546"/>
      <c r="D236" s="546"/>
      <c r="E236" s="546"/>
      <c r="F236" s="551"/>
      <c r="G236" s="546"/>
      <c r="H236" s="546"/>
      <c r="I236" s="549"/>
      <c r="J236" s="479"/>
      <c r="K236" s="479"/>
      <c r="L236" s="479"/>
      <c r="M236" s="479"/>
      <c r="N236" s="479"/>
      <c r="O236" s="479"/>
      <c r="P236" s="479"/>
      <c r="Q236" s="551"/>
    </row>
    <row r="237" spans="1:17" s="68" customFormat="1" ht="25" customHeight="1">
      <c r="A237" s="544" t="s">
        <v>230</v>
      </c>
      <c r="B237" s="579" t="s">
        <v>428</v>
      </c>
      <c r="C237" s="546">
        <v>4</v>
      </c>
      <c r="D237" s="546">
        <v>1</v>
      </c>
      <c r="E237" s="546">
        <v>4</v>
      </c>
      <c r="F237" s="272">
        <f t="shared" si="36"/>
        <v>343.2</v>
      </c>
      <c r="G237" s="546">
        <v>70</v>
      </c>
      <c r="H237" s="669">
        <f t="shared" si="37"/>
        <v>1120</v>
      </c>
      <c r="I237" s="288">
        <f t="shared" si="38"/>
        <v>343.2</v>
      </c>
      <c r="J237" s="289"/>
      <c r="K237" s="289"/>
      <c r="L237" s="289"/>
      <c r="M237" s="289"/>
      <c r="N237" s="289"/>
      <c r="O237" s="289"/>
      <c r="P237" s="289"/>
      <c r="Q237" s="272"/>
    </row>
    <row r="238" spans="1:17" s="68" customFormat="1" ht="25" customHeight="1">
      <c r="A238" s="544" t="s">
        <v>231</v>
      </c>
      <c r="B238" s="574" t="s">
        <v>429</v>
      </c>
      <c r="C238" s="546">
        <v>4</v>
      </c>
      <c r="D238" s="546">
        <v>1</v>
      </c>
      <c r="E238" s="546">
        <v>1</v>
      </c>
      <c r="F238" s="272">
        <f t="shared" si="36"/>
        <v>85.8</v>
      </c>
      <c r="G238" s="546">
        <v>70</v>
      </c>
      <c r="H238" s="669">
        <f t="shared" si="37"/>
        <v>280</v>
      </c>
      <c r="I238" s="288">
        <f t="shared" si="38"/>
        <v>85.8</v>
      </c>
      <c r="J238" s="289"/>
      <c r="K238" s="289"/>
      <c r="L238" s="289"/>
      <c r="M238" s="289"/>
      <c r="N238" s="289"/>
      <c r="O238" s="289"/>
      <c r="P238" s="289"/>
      <c r="Q238" s="272"/>
    </row>
    <row r="239" spans="1:17" s="68" customFormat="1" ht="25" customHeight="1">
      <c r="A239" s="544" t="s">
        <v>691</v>
      </c>
      <c r="B239" s="574" t="s">
        <v>692</v>
      </c>
      <c r="C239" s="546">
        <v>2</v>
      </c>
      <c r="D239" s="546">
        <v>1</v>
      </c>
      <c r="E239" s="546">
        <v>4</v>
      </c>
      <c r="F239" s="272">
        <f t="shared" si="36"/>
        <v>171.6</v>
      </c>
      <c r="G239" s="546">
        <v>70</v>
      </c>
      <c r="H239" s="669">
        <f t="shared" si="37"/>
        <v>560</v>
      </c>
      <c r="I239" s="288">
        <f t="shared" si="38"/>
        <v>171.6</v>
      </c>
      <c r="J239" s="289"/>
      <c r="K239" s="289"/>
      <c r="L239" s="289"/>
      <c r="M239" s="289"/>
      <c r="N239" s="289"/>
      <c r="O239" s="289"/>
      <c r="P239" s="289"/>
      <c r="Q239" s="272"/>
    </row>
    <row r="240" spans="1:17" s="68" customFormat="1" ht="25" customHeight="1">
      <c r="A240" s="544"/>
      <c r="B240" s="676" t="s">
        <v>744</v>
      </c>
      <c r="C240" s="546"/>
      <c r="D240" s="546"/>
      <c r="E240" s="546"/>
      <c r="F240" s="551"/>
      <c r="G240" s="546"/>
      <c r="H240" s="546"/>
      <c r="I240" s="549"/>
      <c r="J240" s="479"/>
      <c r="K240" s="479"/>
      <c r="L240" s="479"/>
      <c r="M240" s="479"/>
      <c r="N240" s="479"/>
      <c r="O240" s="479"/>
      <c r="P240" s="479"/>
      <c r="Q240" s="551"/>
    </row>
    <row r="241" spans="1:17" s="68" customFormat="1" ht="25" customHeight="1">
      <c r="A241" s="544" t="s">
        <v>693</v>
      </c>
      <c r="B241" s="574" t="s">
        <v>694</v>
      </c>
      <c r="C241" s="546">
        <v>2</v>
      </c>
      <c r="D241" s="546">
        <v>1</v>
      </c>
      <c r="E241" s="546">
        <v>10</v>
      </c>
      <c r="F241" s="272">
        <f t="shared" si="36"/>
        <v>429</v>
      </c>
      <c r="G241" s="546">
        <v>70</v>
      </c>
      <c r="H241" s="669">
        <f t="shared" si="37"/>
        <v>1400</v>
      </c>
      <c r="I241" s="288">
        <f t="shared" si="38"/>
        <v>429</v>
      </c>
      <c r="J241" s="289"/>
      <c r="K241" s="289"/>
      <c r="L241" s="289"/>
      <c r="M241" s="289"/>
      <c r="N241" s="289"/>
      <c r="O241" s="289"/>
      <c r="P241" s="289"/>
      <c r="Q241" s="272"/>
    </row>
    <row r="242" spans="1:17" s="68" customFormat="1" ht="25" customHeight="1">
      <c r="A242" s="544" t="s">
        <v>282</v>
      </c>
      <c r="B242" s="574" t="s">
        <v>430</v>
      </c>
      <c r="C242" s="546">
        <v>3</v>
      </c>
      <c r="D242" s="546">
        <v>1</v>
      </c>
      <c r="E242" s="546">
        <v>4</v>
      </c>
      <c r="F242" s="272">
        <f t="shared" si="36"/>
        <v>257.40000000000003</v>
      </c>
      <c r="G242" s="546">
        <v>70</v>
      </c>
      <c r="H242" s="669">
        <f t="shared" si="37"/>
        <v>840</v>
      </c>
      <c r="I242" s="288">
        <f t="shared" si="38"/>
        <v>257.40000000000003</v>
      </c>
      <c r="J242" s="289"/>
      <c r="K242" s="289"/>
      <c r="L242" s="289"/>
      <c r="M242" s="289"/>
      <c r="N242" s="289"/>
      <c r="O242" s="289"/>
      <c r="P242" s="289"/>
      <c r="Q242" s="272"/>
    </row>
    <row r="243" spans="1:17" s="68" customFormat="1" ht="25" customHeight="1">
      <c r="A243" s="565"/>
      <c r="B243" s="566" t="s">
        <v>380</v>
      </c>
      <c r="C243" s="567">
        <f t="shared" ref="C243:K243" si="39">SUM(C230:C242)</f>
        <v>29</v>
      </c>
      <c r="D243" s="567">
        <f t="shared" si="39"/>
        <v>9</v>
      </c>
      <c r="E243" s="567">
        <f t="shared" si="39"/>
        <v>43</v>
      </c>
      <c r="F243" s="567">
        <f t="shared" si="39"/>
        <v>2852.8500000000004</v>
      </c>
      <c r="G243" s="567">
        <f t="shared" si="39"/>
        <v>630</v>
      </c>
      <c r="H243" s="567">
        <f t="shared" si="39"/>
        <v>9310</v>
      </c>
      <c r="I243" s="567">
        <f t="shared" si="39"/>
        <v>2852.8500000000004</v>
      </c>
      <c r="J243" s="567">
        <f t="shared" si="39"/>
        <v>0</v>
      </c>
      <c r="K243" s="567">
        <f t="shared" si="39"/>
        <v>0</v>
      </c>
      <c r="L243" s="289"/>
      <c r="M243" s="289"/>
      <c r="N243" s="289"/>
      <c r="O243" s="289"/>
      <c r="P243" s="289"/>
      <c r="Q243" s="272"/>
    </row>
    <row r="244" spans="1:17" s="68" customFormat="1" ht="25" customHeight="1">
      <c r="A244" s="562" t="s">
        <v>148</v>
      </c>
      <c r="B244" s="563" t="s">
        <v>151</v>
      </c>
      <c r="C244" s="546"/>
      <c r="D244" s="546"/>
      <c r="E244" s="546"/>
      <c r="F244" s="669"/>
      <c r="G244" s="546"/>
      <c r="H244" s="669"/>
      <c r="I244" s="289"/>
      <c r="J244" s="289"/>
      <c r="K244" s="289"/>
      <c r="L244" s="289"/>
      <c r="M244" s="289"/>
      <c r="N244" s="289"/>
      <c r="O244" s="289"/>
      <c r="P244" s="289"/>
      <c r="Q244" s="272"/>
    </row>
    <row r="245" spans="1:17" s="68" customFormat="1" ht="25" customHeight="1">
      <c r="A245" s="564" t="s">
        <v>232</v>
      </c>
      <c r="B245" s="544" t="s">
        <v>154</v>
      </c>
      <c r="C245" s="546"/>
      <c r="D245" s="546"/>
      <c r="E245" s="546"/>
      <c r="F245" s="669"/>
      <c r="G245" s="546"/>
      <c r="H245" s="669"/>
      <c r="I245" s="289"/>
      <c r="J245" s="289"/>
      <c r="K245" s="289"/>
      <c r="L245" s="289"/>
      <c r="M245" s="289"/>
      <c r="N245" s="289"/>
      <c r="O245" s="289"/>
      <c r="P245" s="289"/>
      <c r="Q245" s="272"/>
    </row>
    <row r="246" spans="1:17" s="68" customFormat="1" ht="25" customHeight="1">
      <c r="A246" s="564" t="s">
        <v>233</v>
      </c>
      <c r="B246" s="544" t="s">
        <v>153</v>
      </c>
      <c r="C246" s="546"/>
      <c r="D246" s="546"/>
      <c r="E246" s="546"/>
      <c r="F246" s="669"/>
      <c r="G246" s="546"/>
      <c r="H246" s="669"/>
      <c r="I246" s="289"/>
      <c r="J246" s="289"/>
      <c r="K246" s="289"/>
      <c r="L246" s="289"/>
      <c r="M246" s="289"/>
      <c r="N246" s="289"/>
      <c r="O246" s="289"/>
      <c r="P246" s="289"/>
      <c r="Q246" s="272"/>
    </row>
    <row r="247" spans="1:17" s="68" customFormat="1" ht="25" customHeight="1">
      <c r="A247" s="564" t="s">
        <v>234</v>
      </c>
      <c r="B247" s="544" t="s">
        <v>155</v>
      </c>
      <c r="C247" s="546"/>
      <c r="D247" s="546"/>
      <c r="E247" s="546"/>
      <c r="F247" s="669"/>
      <c r="G247" s="546"/>
      <c r="H247" s="669"/>
      <c r="I247" s="289"/>
      <c r="J247" s="289"/>
      <c r="K247" s="289"/>
      <c r="L247" s="289"/>
      <c r="M247" s="289"/>
      <c r="N247" s="289"/>
      <c r="O247" s="289"/>
      <c r="P247" s="289"/>
      <c r="Q247" s="272"/>
    </row>
    <row r="248" spans="1:17" s="68" customFormat="1" ht="25" customHeight="1">
      <c r="A248" s="564" t="s">
        <v>235</v>
      </c>
      <c r="B248" s="544" t="s">
        <v>156</v>
      </c>
      <c r="C248" s="546"/>
      <c r="D248" s="546"/>
      <c r="E248" s="546"/>
      <c r="F248" s="669"/>
      <c r="G248" s="546"/>
      <c r="H248" s="669"/>
      <c r="I248" s="289"/>
      <c r="J248" s="289"/>
      <c r="K248" s="289"/>
      <c r="L248" s="289"/>
      <c r="M248" s="289"/>
      <c r="N248" s="289"/>
      <c r="O248" s="289"/>
      <c r="P248" s="289"/>
      <c r="Q248" s="272"/>
    </row>
    <row r="249" spans="1:17" s="68" customFormat="1" ht="25" customHeight="1">
      <c r="A249" s="564" t="s">
        <v>236</v>
      </c>
      <c r="B249" s="544" t="s">
        <v>157</v>
      </c>
      <c r="C249" s="546"/>
      <c r="D249" s="546"/>
      <c r="E249" s="546"/>
      <c r="F249" s="669"/>
      <c r="G249" s="546"/>
      <c r="H249" s="669"/>
      <c r="I249" s="289"/>
      <c r="J249" s="289"/>
      <c r="K249" s="289"/>
      <c r="L249" s="289"/>
      <c r="M249" s="289"/>
      <c r="N249" s="289"/>
      <c r="O249" s="289"/>
      <c r="P249" s="289"/>
      <c r="Q249" s="272"/>
    </row>
    <row r="250" spans="1:17" s="68" customFormat="1" ht="25" customHeight="1">
      <c r="A250" s="614">
        <v>2</v>
      </c>
      <c r="B250" s="614" t="s">
        <v>164</v>
      </c>
      <c r="C250" s="546"/>
      <c r="D250" s="546"/>
      <c r="E250" s="546"/>
      <c r="F250" s="669"/>
      <c r="G250" s="546"/>
      <c r="H250" s="669"/>
      <c r="I250" s="289"/>
      <c r="J250" s="289"/>
      <c r="K250" s="289"/>
      <c r="L250" s="289"/>
      <c r="M250" s="289"/>
      <c r="N250" s="289"/>
      <c r="O250" s="289"/>
      <c r="P250" s="289"/>
      <c r="Q250" s="272"/>
    </row>
    <row r="251" spans="1:17" s="68" customFormat="1" ht="25" customHeight="1">
      <c r="A251" s="571" t="s">
        <v>147</v>
      </c>
      <c r="B251" s="572" t="s">
        <v>165</v>
      </c>
      <c r="C251" s="546"/>
      <c r="D251" s="546"/>
      <c r="E251" s="546"/>
      <c r="F251" s="272"/>
      <c r="G251" s="546"/>
      <c r="H251" s="669"/>
      <c r="I251" s="288"/>
      <c r="J251" s="289"/>
      <c r="K251" s="289"/>
      <c r="L251" s="289"/>
      <c r="M251" s="289"/>
      <c r="N251" s="289"/>
      <c r="O251" s="289"/>
      <c r="P251" s="289"/>
      <c r="Q251" s="272"/>
    </row>
    <row r="252" spans="1:17" s="68" customFormat="1" ht="25" customHeight="1">
      <c r="A252" s="571"/>
      <c r="B252" s="572" t="s">
        <v>740</v>
      </c>
      <c r="C252" s="546"/>
      <c r="D252" s="546"/>
      <c r="E252" s="546"/>
      <c r="F252" s="551"/>
      <c r="G252" s="546"/>
      <c r="H252" s="546"/>
      <c r="I252" s="549"/>
      <c r="J252" s="479"/>
      <c r="K252" s="479"/>
      <c r="L252" s="479"/>
      <c r="M252" s="479"/>
      <c r="N252" s="479"/>
      <c r="O252" s="479"/>
      <c r="P252" s="479"/>
      <c r="Q252" s="551"/>
    </row>
    <row r="253" spans="1:17" s="68" customFormat="1" ht="25" customHeight="1">
      <c r="A253" s="544" t="s">
        <v>226</v>
      </c>
      <c r="B253" s="579" t="s">
        <v>433</v>
      </c>
      <c r="C253" s="546">
        <v>3</v>
      </c>
      <c r="D253" s="546">
        <v>1</v>
      </c>
      <c r="E253" s="546">
        <v>3</v>
      </c>
      <c r="F253" s="272">
        <f>I253+J253+K253</f>
        <v>222.75</v>
      </c>
      <c r="G253" s="546">
        <v>25</v>
      </c>
      <c r="H253" s="669">
        <f>C253*E253*G253</f>
        <v>225</v>
      </c>
      <c r="I253" s="288">
        <f>IF(G253&lt;70, C253*E253*16.5*1.5, C253*E253*16.5*1.5)</f>
        <v>222.75</v>
      </c>
      <c r="J253" s="289"/>
      <c r="K253" s="289"/>
      <c r="L253" s="289"/>
      <c r="M253" s="289"/>
      <c r="N253" s="289"/>
      <c r="O253" s="289"/>
      <c r="P253" s="289"/>
      <c r="Q253" s="272"/>
    </row>
    <row r="254" spans="1:17" s="68" customFormat="1" ht="25" customHeight="1">
      <c r="A254" s="544" t="s">
        <v>227</v>
      </c>
      <c r="B254" s="579" t="s">
        <v>434</v>
      </c>
      <c r="C254" s="546">
        <v>3</v>
      </c>
      <c r="D254" s="546">
        <v>1</v>
      </c>
      <c r="E254" s="546">
        <v>1</v>
      </c>
      <c r="F254" s="272">
        <f>I254+J254+K254</f>
        <v>74.25</v>
      </c>
      <c r="G254" s="546">
        <v>15</v>
      </c>
      <c r="H254" s="669">
        <f>C254*E254*G254</f>
        <v>45</v>
      </c>
      <c r="I254" s="288">
        <f>IF(G254&lt;70, C254*E254*16.5*1.5, C254*E254*16.5*1.5)</f>
        <v>74.25</v>
      </c>
      <c r="J254" s="289"/>
      <c r="K254" s="289"/>
      <c r="L254" s="289"/>
      <c r="M254" s="289"/>
      <c r="N254" s="289"/>
      <c r="O254" s="289"/>
      <c r="P254" s="289"/>
      <c r="Q254" s="272"/>
    </row>
    <row r="255" spans="1:17" s="68" customFormat="1" ht="25" customHeight="1">
      <c r="A255" s="544"/>
      <c r="B255" s="579" t="s">
        <v>695</v>
      </c>
      <c r="C255" s="546">
        <v>3</v>
      </c>
      <c r="D255" s="546">
        <v>1</v>
      </c>
      <c r="E255" s="546">
        <v>1</v>
      </c>
      <c r="F255" s="272">
        <f>I255+J255+K255</f>
        <v>74.25</v>
      </c>
      <c r="G255" s="546">
        <v>15</v>
      </c>
      <c r="H255" s="669">
        <f>C255*E255*G255</f>
        <v>45</v>
      </c>
      <c r="I255" s="288">
        <f>IF(G255&lt;70, C255*E255*16.5*1.5, C255*E255*16.5*1.5)</f>
        <v>74.25</v>
      </c>
      <c r="J255" s="289"/>
      <c r="K255" s="289"/>
      <c r="L255" s="289"/>
      <c r="M255" s="289"/>
      <c r="N255" s="289"/>
      <c r="O255" s="289"/>
      <c r="P255" s="289"/>
      <c r="Q255" s="272"/>
    </row>
    <row r="256" spans="1:17" s="68" customFormat="1" ht="25" customHeight="1">
      <c r="A256" s="544" t="s">
        <v>228</v>
      </c>
      <c r="B256" s="573" t="s">
        <v>435</v>
      </c>
      <c r="C256" s="546">
        <v>3</v>
      </c>
      <c r="D256" s="546">
        <v>1</v>
      </c>
      <c r="E256" s="546">
        <v>3</v>
      </c>
      <c r="F256" s="272">
        <f>I256+J256+K256</f>
        <v>222.75</v>
      </c>
      <c r="G256" s="546">
        <v>25</v>
      </c>
      <c r="H256" s="669">
        <f>C256*E256*G256</f>
        <v>225</v>
      </c>
      <c r="I256" s="288">
        <f>IF(G256&lt;70, C256*E256*16.5*1.5, C256*E256*16.5*1.5)</f>
        <v>222.75</v>
      </c>
      <c r="J256" s="289"/>
      <c r="K256" s="289"/>
      <c r="L256" s="289"/>
      <c r="M256" s="289"/>
      <c r="N256" s="289"/>
      <c r="O256" s="289"/>
      <c r="P256" s="289"/>
      <c r="Q256" s="272"/>
    </row>
    <row r="257" spans="1:17" s="68" customFormat="1" ht="25" customHeight="1">
      <c r="A257" s="562" t="s">
        <v>148</v>
      </c>
      <c r="B257" s="563" t="s">
        <v>696</v>
      </c>
      <c r="C257" s="546"/>
      <c r="D257" s="546"/>
      <c r="E257" s="546"/>
      <c r="F257" s="669"/>
      <c r="G257" s="546"/>
      <c r="H257" s="669"/>
      <c r="I257" s="289"/>
      <c r="J257" s="289"/>
      <c r="K257" s="289"/>
      <c r="L257" s="289"/>
      <c r="M257" s="289"/>
      <c r="N257" s="289"/>
      <c r="O257" s="289"/>
      <c r="P257" s="289"/>
      <c r="Q257" s="272"/>
    </row>
    <row r="258" spans="1:17" s="68" customFormat="1" ht="25" customHeight="1">
      <c r="A258" s="614">
        <v>3</v>
      </c>
      <c r="B258" s="614" t="s">
        <v>166</v>
      </c>
      <c r="C258" s="546"/>
      <c r="D258" s="546"/>
      <c r="E258" s="546"/>
      <c r="F258" s="669"/>
      <c r="G258" s="546"/>
      <c r="H258" s="669"/>
      <c r="I258" s="289"/>
      <c r="J258" s="289"/>
      <c r="K258" s="289"/>
      <c r="L258" s="289"/>
      <c r="M258" s="289"/>
      <c r="N258" s="289"/>
      <c r="O258" s="289"/>
      <c r="P258" s="289"/>
      <c r="Q258" s="272"/>
    </row>
    <row r="259" spans="1:17" s="68" customFormat="1" ht="25" customHeight="1">
      <c r="A259" s="571" t="s">
        <v>147</v>
      </c>
      <c r="B259" s="572" t="s">
        <v>167</v>
      </c>
      <c r="C259" s="546"/>
      <c r="D259" s="546"/>
      <c r="E259" s="546"/>
      <c r="F259" s="669"/>
      <c r="G259" s="546"/>
      <c r="H259" s="669"/>
      <c r="I259" s="289"/>
      <c r="J259" s="289"/>
      <c r="K259" s="289"/>
      <c r="L259" s="289"/>
      <c r="M259" s="289"/>
      <c r="N259" s="289"/>
      <c r="O259" s="289"/>
      <c r="P259" s="289"/>
      <c r="Q259" s="272"/>
    </row>
    <row r="260" spans="1:17" s="68" customFormat="1" ht="25" customHeight="1">
      <c r="A260" s="562" t="s">
        <v>148</v>
      </c>
      <c r="B260" s="563" t="s">
        <v>168</v>
      </c>
      <c r="C260" s="546"/>
      <c r="D260" s="546"/>
      <c r="E260" s="546"/>
      <c r="F260" s="669"/>
      <c r="G260" s="546"/>
      <c r="H260" s="541"/>
      <c r="I260" s="541"/>
      <c r="J260" s="289"/>
      <c r="K260" s="289"/>
      <c r="L260" s="289"/>
      <c r="M260" s="289"/>
      <c r="N260" s="289"/>
      <c r="O260" s="289"/>
      <c r="P260" s="289"/>
      <c r="Q260" s="272"/>
    </row>
    <row r="261" spans="1:17" s="68" customFormat="1" ht="25" customHeight="1">
      <c r="A261" s="562" t="s">
        <v>169</v>
      </c>
      <c r="B261" s="563" t="s">
        <v>170</v>
      </c>
      <c r="C261" s="546"/>
      <c r="D261" s="546"/>
      <c r="E261" s="546"/>
      <c r="F261" s="669"/>
      <c r="G261" s="546"/>
      <c r="H261" s="669"/>
      <c r="I261" s="289"/>
      <c r="J261" s="289"/>
      <c r="K261" s="289"/>
      <c r="L261" s="289"/>
      <c r="M261" s="289"/>
      <c r="N261" s="289"/>
      <c r="O261" s="289"/>
      <c r="P261" s="289"/>
      <c r="Q261" s="272"/>
    </row>
    <row r="262" spans="1:17" s="68" customFormat="1" ht="25" customHeight="1">
      <c r="A262" s="565"/>
      <c r="B262" s="566" t="s">
        <v>438</v>
      </c>
      <c r="C262" s="567">
        <f>SUM(C253:C261)</f>
        <v>12</v>
      </c>
      <c r="D262" s="567">
        <f t="shared" ref="D262:K262" si="40">SUM(D253:D261)</f>
        <v>4</v>
      </c>
      <c r="E262" s="567">
        <f t="shared" si="40"/>
        <v>8</v>
      </c>
      <c r="F262" s="567">
        <f t="shared" si="40"/>
        <v>594</v>
      </c>
      <c r="G262" s="567">
        <f t="shared" si="40"/>
        <v>80</v>
      </c>
      <c r="H262" s="567">
        <f t="shared" si="40"/>
        <v>540</v>
      </c>
      <c r="I262" s="567">
        <f t="shared" si="40"/>
        <v>594</v>
      </c>
      <c r="J262" s="567">
        <f t="shared" si="40"/>
        <v>0</v>
      </c>
      <c r="K262" s="567">
        <f t="shared" si="40"/>
        <v>0</v>
      </c>
      <c r="L262" s="289"/>
      <c r="M262" s="289"/>
      <c r="N262" s="289"/>
      <c r="O262" s="289"/>
      <c r="P262" s="289"/>
      <c r="Q262" s="272"/>
    </row>
    <row r="263" spans="1:17" s="68" customFormat="1" ht="25" customHeight="1">
      <c r="A263" s="614" t="s">
        <v>8</v>
      </c>
      <c r="B263" s="614" t="s">
        <v>224</v>
      </c>
      <c r="C263" s="546"/>
      <c r="D263" s="546"/>
      <c r="E263" s="546"/>
      <c r="F263" s="669"/>
      <c r="G263" s="546"/>
      <c r="H263" s="669"/>
      <c r="I263" s="289"/>
      <c r="J263" s="289"/>
      <c r="K263" s="289"/>
      <c r="L263" s="289"/>
      <c r="M263" s="289"/>
      <c r="N263" s="289"/>
      <c r="O263" s="289"/>
      <c r="P263" s="289"/>
      <c r="Q263" s="272"/>
    </row>
    <row r="264" spans="1:17" s="68" customFormat="1" ht="25" customHeight="1">
      <c r="A264" s="614">
        <v>1</v>
      </c>
      <c r="B264" s="572" t="s">
        <v>225</v>
      </c>
      <c r="C264" s="546"/>
      <c r="D264" s="546"/>
      <c r="E264" s="546"/>
      <c r="F264" s="272"/>
      <c r="G264" s="546"/>
      <c r="H264" s="669"/>
      <c r="I264" s="288"/>
      <c r="J264" s="289"/>
      <c r="K264" s="289"/>
      <c r="L264" s="289"/>
      <c r="M264" s="289"/>
      <c r="N264" s="289"/>
      <c r="O264" s="289"/>
      <c r="P264" s="289"/>
      <c r="Q264" s="272"/>
    </row>
    <row r="265" spans="1:17" s="68" customFormat="1" ht="25" customHeight="1">
      <c r="A265" s="614" t="s">
        <v>147</v>
      </c>
      <c r="B265" s="572" t="s">
        <v>163</v>
      </c>
      <c r="C265" s="546"/>
      <c r="D265" s="546"/>
      <c r="E265" s="546"/>
      <c r="F265" s="272"/>
      <c r="G265" s="546"/>
      <c r="H265" s="669"/>
      <c r="I265" s="288"/>
      <c r="J265" s="289"/>
      <c r="K265" s="289"/>
      <c r="L265" s="289"/>
      <c r="M265" s="289"/>
      <c r="N265" s="289"/>
      <c r="O265" s="289"/>
      <c r="P265" s="289"/>
      <c r="Q265" s="272"/>
    </row>
    <row r="266" spans="1:17" s="68" customFormat="1" ht="25" customHeight="1">
      <c r="A266" s="614"/>
      <c r="B266" s="572" t="s">
        <v>741</v>
      </c>
      <c r="C266" s="546"/>
      <c r="D266" s="546"/>
      <c r="E266" s="546"/>
      <c r="F266" s="551"/>
      <c r="G266" s="546"/>
      <c r="H266" s="546"/>
      <c r="I266" s="549"/>
      <c r="J266" s="479"/>
      <c r="K266" s="479"/>
      <c r="L266" s="479"/>
      <c r="M266" s="479"/>
      <c r="N266" s="479"/>
      <c r="O266" s="479"/>
      <c r="P266" s="479"/>
      <c r="Q266" s="551"/>
    </row>
    <row r="267" spans="1:17" s="68" customFormat="1" ht="25" customHeight="1">
      <c r="A267" s="564" t="s">
        <v>226</v>
      </c>
      <c r="B267" s="579" t="s">
        <v>697</v>
      </c>
      <c r="C267" s="546">
        <v>5</v>
      </c>
      <c r="D267" s="546">
        <v>1</v>
      </c>
      <c r="E267" s="546">
        <v>16</v>
      </c>
      <c r="F267" s="272">
        <f t="shared" ref="F267:F276" si="41">I267+J267+K267</f>
        <v>1320</v>
      </c>
      <c r="G267" s="546">
        <v>60</v>
      </c>
      <c r="H267" s="669">
        <f>C267*E267*G267</f>
        <v>4800</v>
      </c>
      <c r="I267" s="288">
        <f t="shared" ref="I267:I276" si="42">IF(G267&lt;70, C267*E267*16.5*1, C267*E267*16.5*1.3)</f>
        <v>1320</v>
      </c>
      <c r="J267" s="289"/>
      <c r="K267" s="289"/>
      <c r="L267" s="289"/>
      <c r="M267" s="289"/>
      <c r="N267" s="289"/>
      <c r="O267" s="289"/>
      <c r="P267" s="289"/>
      <c r="Q267" s="272"/>
    </row>
    <row r="268" spans="1:17" s="68" customFormat="1" ht="25" customHeight="1">
      <c r="A268" s="564"/>
      <c r="B268" s="605" t="s">
        <v>743</v>
      </c>
      <c r="C268" s="546"/>
      <c r="D268" s="546"/>
      <c r="E268" s="546"/>
      <c r="F268" s="551"/>
      <c r="G268" s="546"/>
      <c r="H268" s="546"/>
      <c r="I268" s="549"/>
      <c r="J268" s="479"/>
      <c r="K268" s="479"/>
      <c r="L268" s="479"/>
      <c r="M268" s="479"/>
      <c r="N268" s="479"/>
      <c r="O268" s="479"/>
      <c r="P268" s="479"/>
      <c r="Q268" s="551"/>
    </row>
    <row r="269" spans="1:17" s="68" customFormat="1" ht="25" customHeight="1">
      <c r="A269" s="564" t="s">
        <v>227</v>
      </c>
      <c r="B269" s="579" t="s">
        <v>436</v>
      </c>
      <c r="C269" s="546">
        <v>5</v>
      </c>
      <c r="D269" s="546">
        <v>1</v>
      </c>
      <c r="E269" s="546">
        <v>7</v>
      </c>
      <c r="F269" s="272">
        <f t="shared" si="41"/>
        <v>577.5</v>
      </c>
      <c r="G269" s="546">
        <v>60</v>
      </c>
      <c r="H269" s="669">
        <f t="shared" ref="H269:H276" si="43">C269*E269*G269</f>
        <v>2100</v>
      </c>
      <c r="I269" s="288">
        <f t="shared" si="42"/>
        <v>577.5</v>
      </c>
      <c r="J269" s="289"/>
      <c r="K269" s="289"/>
      <c r="L269" s="289"/>
      <c r="M269" s="289"/>
      <c r="N269" s="289"/>
      <c r="O269" s="289"/>
      <c r="P269" s="289"/>
      <c r="Q269" s="272"/>
    </row>
    <row r="270" spans="1:17" s="68" customFormat="1" ht="25" customHeight="1">
      <c r="A270" s="564" t="s">
        <v>228</v>
      </c>
      <c r="B270" s="579" t="s">
        <v>425</v>
      </c>
      <c r="C270" s="546">
        <v>3</v>
      </c>
      <c r="D270" s="546">
        <v>1</v>
      </c>
      <c r="E270" s="546">
        <v>16</v>
      </c>
      <c r="F270" s="272">
        <f t="shared" si="41"/>
        <v>792</v>
      </c>
      <c r="G270" s="546">
        <v>60</v>
      </c>
      <c r="H270" s="669">
        <f t="shared" si="43"/>
        <v>2880</v>
      </c>
      <c r="I270" s="288">
        <f t="shared" si="42"/>
        <v>792</v>
      </c>
      <c r="J270" s="289"/>
      <c r="K270" s="289"/>
      <c r="L270" s="289"/>
      <c r="M270" s="289"/>
      <c r="N270" s="289"/>
      <c r="O270" s="289"/>
      <c r="P270" s="289"/>
      <c r="Q270" s="272"/>
    </row>
    <row r="271" spans="1:17" s="68" customFormat="1" ht="25" customHeight="1">
      <c r="A271" s="564"/>
      <c r="B271" s="605" t="s">
        <v>742</v>
      </c>
      <c r="C271" s="546"/>
      <c r="D271" s="546"/>
      <c r="E271" s="546"/>
      <c r="F271" s="551"/>
      <c r="G271" s="546"/>
      <c r="H271" s="546"/>
      <c r="I271" s="549"/>
      <c r="J271" s="479"/>
      <c r="K271" s="479"/>
      <c r="L271" s="479"/>
      <c r="M271" s="479"/>
      <c r="N271" s="479"/>
      <c r="O271" s="479"/>
      <c r="P271" s="479"/>
      <c r="Q271" s="551"/>
    </row>
    <row r="272" spans="1:17" s="68" customFormat="1" ht="25" customHeight="1">
      <c r="A272" s="564" t="s">
        <v>229</v>
      </c>
      <c r="B272" s="579" t="s">
        <v>437</v>
      </c>
      <c r="C272" s="546">
        <v>3</v>
      </c>
      <c r="D272" s="546">
        <v>1</v>
      </c>
      <c r="E272" s="546">
        <v>7</v>
      </c>
      <c r="F272" s="272">
        <f t="shared" si="41"/>
        <v>346.5</v>
      </c>
      <c r="G272" s="546">
        <v>60</v>
      </c>
      <c r="H272" s="669">
        <f t="shared" si="43"/>
        <v>1260</v>
      </c>
      <c r="I272" s="288">
        <f t="shared" si="42"/>
        <v>346.5</v>
      </c>
      <c r="J272" s="289"/>
      <c r="K272" s="289"/>
      <c r="L272" s="289"/>
      <c r="M272" s="289"/>
      <c r="N272" s="289"/>
      <c r="O272" s="289"/>
      <c r="P272" s="289"/>
      <c r="Q272" s="272"/>
    </row>
    <row r="273" spans="1:17" s="68" customFormat="1" ht="25" customHeight="1">
      <c r="A273" s="564"/>
      <c r="B273" s="605" t="s">
        <v>744</v>
      </c>
      <c r="C273" s="546"/>
      <c r="D273" s="546"/>
      <c r="E273" s="546"/>
      <c r="F273" s="551"/>
      <c r="G273" s="546"/>
      <c r="H273" s="546"/>
      <c r="I273" s="549"/>
      <c r="J273" s="479"/>
      <c r="K273" s="479"/>
      <c r="L273" s="479"/>
      <c r="M273" s="479"/>
      <c r="N273" s="479"/>
      <c r="O273" s="479"/>
      <c r="P273" s="479"/>
      <c r="Q273" s="551"/>
    </row>
    <row r="274" spans="1:17" s="68" customFormat="1" ht="25" customHeight="1">
      <c r="A274" s="564" t="s">
        <v>230</v>
      </c>
      <c r="B274" s="579" t="s">
        <v>505</v>
      </c>
      <c r="C274" s="352">
        <v>5</v>
      </c>
      <c r="D274" s="352">
        <v>1</v>
      </c>
      <c r="E274" s="352">
        <v>7</v>
      </c>
      <c r="F274" s="272">
        <f t="shared" si="41"/>
        <v>577.5</v>
      </c>
      <c r="G274" s="352">
        <v>50</v>
      </c>
      <c r="H274" s="669">
        <f t="shared" si="43"/>
        <v>1750</v>
      </c>
      <c r="I274" s="288">
        <f t="shared" si="42"/>
        <v>577.5</v>
      </c>
      <c r="J274" s="289"/>
      <c r="K274" s="289"/>
      <c r="L274" s="289"/>
      <c r="M274" s="289"/>
      <c r="N274" s="289"/>
      <c r="O274" s="289"/>
      <c r="P274" s="289"/>
      <c r="Q274" s="272"/>
    </row>
    <row r="275" spans="1:17" s="68" customFormat="1" ht="25" customHeight="1">
      <c r="A275" s="564"/>
      <c r="B275" s="605" t="s">
        <v>740</v>
      </c>
      <c r="C275" s="352"/>
      <c r="D275" s="352"/>
      <c r="E275" s="352"/>
      <c r="F275" s="551"/>
      <c r="G275" s="352"/>
      <c r="H275" s="546"/>
      <c r="I275" s="549"/>
      <c r="J275" s="479"/>
      <c r="K275" s="479"/>
      <c r="L275" s="479"/>
      <c r="M275" s="479"/>
      <c r="N275" s="479"/>
      <c r="O275" s="479"/>
      <c r="P275" s="479"/>
      <c r="Q275" s="551"/>
    </row>
    <row r="276" spans="1:17" s="511" customFormat="1" ht="25" customHeight="1">
      <c r="A276" s="580" t="s">
        <v>231</v>
      </c>
      <c r="B276" s="581" t="s">
        <v>506</v>
      </c>
      <c r="C276" s="582">
        <v>5</v>
      </c>
      <c r="D276" s="582">
        <v>1</v>
      </c>
      <c r="E276" s="582">
        <v>16</v>
      </c>
      <c r="F276" s="583">
        <f t="shared" si="41"/>
        <v>1320</v>
      </c>
      <c r="G276" s="582">
        <v>50</v>
      </c>
      <c r="H276" s="619">
        <f t="shared" si="43"/>
        <v>4000</v>
      </c>
      <c r="I276" s="620">
        <f t="shared" si="42"/>
        <v>1320</v>
      </c>
      <c r="J276" s="517"/>
      <c r="K276" s="518"/>
      <c r="L276" s="518"/>
      <c r="M276" s="518"/>
      <c r="N276" s="621"/>
      <c r="O276" s="518"/>
      <c r="P276" s="518"/>
      <c r="Q276" s="583"/>
    </row>
    <row r="277" spans="1:17" s="511" customFormat="1" ht="25" customHeight="1">
      <c r="A277" s="565"/>
      <c r="B277" s="566" t="s">
        <v>380</v>
      </c>
      <c r="C277" s="567">
        <f>SUM(C267:C276)</f>
        <v>26</v>
      </c>
      <c r="D277" s="567">
        <f>SUM(D267:D276)</f>
        <v>6</v>
      </c>
      <c r="E277" s="567">
        <f>SUM(E267:E276)</f>
        <v>69</v>
      </c>
      <c r="F277" s="567">
        <f t="shared" ref="F277:K277" si="44">SUM(F267:F276)</f>
        <v>4933.5</v>
      </c>
      <c r="G277" s="567">
        <f t="shared" si="44"/>
        <v>340</v>
      </c>
      <c r="H277" s="567">
        <f t="shared" si="44"/>
        <v>16790</v>
      </c>
      <c r="I277" s="567">
        <f t="shared" si="44"/>
        <v>4933.5</v>
      </c>
      <c r="J277" s="567">
        <f t="shared" si="44"/>
        <v>0</v>
      </c>
      <c r="K277" s="567">
        <f t="shared" si="44"/>
        <v>0</v>
      </c>
      <c r="L277" s="587"/>
      <c r="M277" s="587"/>
      <c r="N277" s="591"/>
      <c r="O277" s="587"/>
      <c r="P277" s="587"/>
      <c r="Q277" s="588"/>
    </row>
    <row r="278" spans="1:17" s="68" customFormat="1" ht="25" customHeight="1">
      <c r="A278" s="616"/>
      <c r="B278" s="622" t="s">
        <v>439</v>
      </c>
      <c r="C278" s="492">
        <f>C243+C262+C277</f>
        <v>67</v>
      </c>
      <c r="D278" s="492">
        <f t="shared" ref="D278:K278" si="45">D243+D262+D277</f>
        <v>19</v>
      </c>
      <c r="E278" s="492">
        <f t="shared" si="45"/>
        <v>120</v>
      </c>
      <c r="F278" s="492">
        <f t="shared" si="45"/>
        <v>8380.35</v>
      </c>
      <c r="G278" s="492">
        <f t="shared" si="45"/>
        <v>1050</v>
      </c>
      <c r="H278" s="492">
        <f t="shared" si="45"/>
        <v>26640</v>
      </c>
      <c r="I278" s="492">
        <f t="shared" si="45"/>
        <v>8380.35</v>
      </c>
      <c r="J278" s="492">
        <f t="shared" si="45"/>
        <v>0</v>
      </c>
      <c r="K278" s="492">
        <f t="shared" si="45"/>
        <v>0</v>
      </c>
      <c r="L278" s="495">
        <f>'Bieu3 GDH'!F20</f>
        <v>1080</v>
      </c>
      <c r="M278" s="495">
        <f>'Bieu3 GDH'!N20</f>
        <v>1039.5</v>
      </c>
      <c r="N278" s="492">
        <f>I278-M278</f>
        <v>7340.85</v>
      </c>
      <c r="O278" s="495">
        <f>'Bieu3 GDH'!O20</f>
        <v>805.25</v>
      </c>
      <c r="P278" s="495">
        <f>'Bieu3 GDH'!P20</f>
        <v>370</v>
      </c>
      <c r="Q278" s="623" t="s">
        <v>705</v>
      </c>
    </row>
    <row r="279" spans="1:17" s="68" customFormat="1" ht="25" customHeight="1">
      <c r="A279" s="536" t="s">
        <v>6</v>
      </c>
      <c r="B279" s="536" t="s">
        <v>483</v>
      </c>
      <c r="C279" s="537"/>
      <c r="D279" s="537"/>
      <c r="E279" s="537"/>
      <c r="F279" s="538"/>
      <c r="G279" s="537"/>
      <c r="H279" s="537"/>
      <c r="I279" s="537"/>
      <c r="J279" s="537"/>
      <c r="K279" s="294"/>
      <c r="L279" s="291"/>
      <c r="M279" s="292"/>
      <c r="N279" s="292"/>
      <c r="O279" s="292"/>
      <c r="P279" s="292"/>
      <c r="Q279" s="292"/>
    </row>
    <row r="280" spans="1:17" s="68" customFormat="1" ht="25" customHeight="1">
      <c r="A280" s="536" t="s">
        <v>7</v>
      </c>
      <c r="B280" s="536" t="s">
        <v>223</v>
      </c>
      <c r="C280" s="537"/>
      <c r="D280" s="537"/>
      <c r="E280" s="537"/>
      <c r="F280" s="538"/>
      <c r="G280" s="537"/>
      <c r="H280" s="537"/>
      <c r="I280" s="537"/>
      <c r="J280" s="537"/>
      <c r="K280" s="294"/>
      <c r="L280" s="291"/>
      <c r="M280" s="292"/>
      <c r="N280" s="292"/>
      <c r="O280" s="292"/>
      <c r="P280" s="292"/>
      <c r="Q280" s="292"/>
    </row>
    <row r="281" spans="1:17" s="68" customFormat="1" ht="25" customHeight="1">
      <c r="A281" s="536">
        <v>1</v>
      </c>
      <c r="B281" s="536" t="s">
        <v>4</v>
      </c>
      <c r="C281" s="537"/>
      <c r="D281" s="537"/>
      <c r="E281" s="537"/>
      <c r="F281" s="538"/>
      <c r="G281" s="537"/>
      <c r="H281" s="537"/>
      <c r="I281" s="537"/>
      <c r="J281" s="537"/>
      <c r="K281" s="294"/>
      <c r="L281" s="291"/>
      <c r="M281" s="292"/>
      <c r="N281" s="292"/>
      <c r="O281" s="292"/>
      <c r="P281" s="292"/>
      <c r="Q281" s="292"/>
    </row>
    <row r="282" spans="1:17" s="68" customFormat="1" ht="25" customHeight="1">
      <c r="A282" s="539" t="s">
        <v>147</v>
      </c>
      <c r="B282" s="540" t="s">
        <v>161</v>
      </c>
      <c r="C282" s="541"/>
      <c r="D282" s="541"/>
      <c r="E282" s="541"/>
      <c r="F282" s="669"/>
      <c r="G282" s="541"/>
      <c r="H282" s="541"/>
      <c r="I282" s="542"/>
      <c r="J282" s="542"/>
      <c r="K282" s="294"/>
      <c r="L282" s="291"/>
      <c r="M282" s="292"/>
      <c r="N282" s="292"/>
      <c r="O282" s="292"/>
      <c r="P282" s="292"/>
      <c r="Q282" s="292"/>
    </row>
    <row r="283" spans="1:17" s="68" customFormat="1" ht="25" customHeight="1">
      <c r="A283" s="571"/>
      <c r="B283" s="572" t="s">
        <v>745</v>
      </c>
      <c r="C283" s="599"/>
      <c r="D283" s="599"/>
      <c r="E283" s="599"/>
      <c r="F283" s="546"/>
      <c r="G283" s="599"/>
      <c r="H283" s="599"/>
      <c r="I283" s="624"/>
      <c r="J283" s="624"/>
      <c r="K283" s="600"/>
      <c r="L283" s="577"/>
      <c r="M283" s="352"/>
      <c r="N283" s="352"/>
      <c r="O283" s="352"/>
      <c r="P283" s="352"/>
      <c r="Q283" s="352"/>
    </row>
    <row r="284" spans="1:17" s="68" customFormat="1" ht="25" customHeight="1">
      <c r="A284" s="478" t="s">
        <v>226</v>
      </c>
      <c r="B284" s="545" t="s">
        <v>440</v>
      </c>
      <c r="C284" s="546">
        <v>2</v>
      </c>
      <c r="D284" s="547">
        <v>1</v>
      </c>
      <c r="E284" s="546">
        <v>1</v>
      </c>
      <c r="F284" s="272">
        <f t="shared" ref="F284:F314" si="46">I284+J284+K284</f>
        <v>33</v>
      </c>
      <c r="G284" s="546">
        <v>40</v>
      </c>
      <c r="H284" s="669">
        <f>C284*E284*G284</f>
        <v>80</v>
      </c>
      <c r="I284" s="288">
        <f t="shared" ref="I284:I314" si="47">IF(G284&lt;70, C284*E284*16.5*1, C284*E284*16.5*1.3)</f>
        <v>33</v>
      </c>
      <c r="J284" s="624"/>
      <c r="K284" s="600"/>
      <c r="L284" s="291"/>
      <c r="M284" s="292"/>
      <c r="N284" s="292"/>
      <c r="O284" s="292"/>
      <c r="P284" s="292"/>
      <c r="Q284" s="292"/>
    </row>
    <row r="285" spans="1:17" s="68" customFormat="1" ht="25" customHeight="1">
      <c r="A285" s="478" t="s">
        <v>227</v>
      </c>
      <c r="B285" s="625" t="s">
        <v>441</v>
      </c>
      <c r="C285" s="546">
        <v>3</v>
      </c>
      <c r="D285" s="546">
        <v>1</v>
      </c>
      <c r="E285" s="546">
        <v>1</v>
      </c>
      <c r="F285" s="272">
        <f t="shared" si="46"/>
        <v>49.5</v>
      </c>
      <c r="G285" s="546">
        <v>20</v>
      </c>
      <c r="H285" s="669">
        <f t="shared" ref="H285:H314" si="48">C285*E285*G285</f>
        <v>60</v>
      </c>
      <c r="I285" s="288">
        <f t="shared" si="47"/>
        <v>49.5</v>
      </c>
      <c r="J285" s="624"/>
      <c r="K285" s="600"/>
      <c r="L285" s="291"/>
      <c r="M285" s="292"/>
      <c r="N285" s="292"/>
      <c r="O285" s="292"/>
      <c r="P285" s="292"/>
      <c r="Q285" s="292"/>
    </row>
    <row r="286" spans="1:17" s="68" customFormat="1" ht="25" customHeight="1">
      <c r="A286" s="478" t="s">
        <v>228</v>
      </c>
      <c r="B286" s="573" t="s">
        <v>442</v>
      </c>
      <c r="C286" s="546">
        <v>2</v>
      </c>
      <c r="D286" s="546">
        <v>1</v>
      </c>
      <c r="E286" s="546">
        <v>3</v>
      </c>
      <c r="F286" s="272">
        <f t="shared" si="46"/>
        <v>128.70000000000002</v>
      </c>
      <c r="G286" s="546">
        <v>80</v>
      </c>
      <c r="H286" s="669">
        <f t="shared" si="48"/>
        <v>480</v>
      </c>
      <c r="I286" s="288">
        <f t="shared" si="47"/>
        <v>128.70000000000002</v>
      </c>
      <c r="J286" s="479"/>
      <c r="K286" s="600"/>
      <c r="L286" s="291"/>
      <c r="M286" s="292"/>
      <c r="N286" s="292"/>
      <c r="O286" s="292"/>
      <c r="P286" s="292"/>
      <c r="Q286" s="292"/>
    </row>
    <row r="287" spans="1:17" s="68" customFormat="1" ht="25" customHeight="1">
      <c r="A287" s="478"/>
      <c r="B287" s="572" t="s">
        <v>746</v>
      </c>
      <c r="C287" s="546"/>
      <c r="D287" s="546"/>
      <c r="E287" s="546"/>
      <c r="F287" s="551"/>
      <c r="G287" s="546"/>
      <c r="H287" s="546"/>
      <c r="I287" s="549"/>
      <c r="J287" s="479"/>
      <c r="K287" s="600"/>
      <c r="L287" s="577"/>
      <c r="M287" s="352"/>
      <c r="N287" s="352"/>
      <c r="O287" s="352"/>
      <c r="P287" s="352"/>
      <c r="Q287" s="352"/>
    </row>
    <row r="288" spans="1:17" s="68" customFormat="1" ht="25" customHeight="1">
      <c r="A288" s="478" t="s">
        <v>229</v>
      </c>
      <c r="B288" s="545" t="s">
        <v>443</v>
      </c>
      <c r="C288" s="546">
        <v>3</v>
      </c>
      <c r="D288" s="546">
        <v>1</v>
      </c>
      <c r="E288" s="546">
        <v>1</v>
      </c>
      <c r="F288" s="272">
        <f t="shared" si="46"/>
        <v>64.350000000000009</v>
      </c>
      <c r="G288" s="546">
        <v>80</v>
      </c>
      <c r="H288" s="669">
        <f t="shared" si="48"/>
        <v>240</v>
      </c>
      <c r="I288" s="288">
        <f t="shared" si="47"/>
        <v>64.350000000000009</v>
      </c>
      <c r="J288" s="624"/>
      <c r="K288" s="600"/>
      <c r="L288" s="291"/>
      <c r="M288" s="292"/>
      <c r="N288" s="292"/>
      <c r="O288" s="292"/>
      <c r="P288" s="292"/>
      <c r="Q288" s="292"/>
    </row>
    <row r="289" spans="1:17" s="68" customFormat="1" ht="25" customHeight="1">
      <c r="A289" s="478" t="s">
        <v>230</v>
      </c>
      <c r="B289" s="573" t="s">
        <v>442</v>
      </c>
      <c r="C289" s="546">
        <v>2</v>
      </c>
      <c r="D289" s="546">
        <v>1</v>
      </c>
      <c r="E289" s="546">
        <v>2</v>
      </c>
      <c r="F289" s="272">
        <f t="shared" si="46"/>
        <v>85.8</v>
      </c>
      <c r="G289" s="546">
        <v>80</v>
      </c>
      <c r="H289" s="669">
        <f t="shared" si="48"/>
        <v>320</v>
      </c>
      <c r="I289" s="288">
        <f t="shared" si="47"/>
        <v>85.8</v>
      </c>
      <c r="J289" s="624"/>
      <c r="K289" s="600"/>
      <c r="L289" s="291"/>
      <c r="M289" s="292"/>
      <c r="N289" s="292"/>
      <c r="O289" s="292"/>
      <c r="P289" s="292"/>
      <c r="Q289" s="292"/>
    </row>
    <row r="290" spans="1:17" s="68" customFormat="1" ht="25" customHeight="1">
      <c r="A290" s="478"/>
      <c r="B290" s="572" t="s">
        <v>663</v>
      </c>
      <c r="C290" s="546"/>
      <c r="D290" s="546"/>
      <c r="E290" s="546"/>
      <c r="F290" s="551"/>
      <c r="G290" s="546"/>
      <c r="H290" s="546"/>
      <c r="I290" s="549"/>
      <c r="J290" s="624"/>
      <c r="K290" s="600"/>
      <c r="L290" s="577"/>
      <c r="M290" s="352"/>
      <c r="N290" s="352"/>
      <c r="O290" s="352"/>
      <c r="P290" s="352"/>
      <c r="Q290" s="352"/>
    </row>
    <row r="291" spans="1:17" s="68" customFormat="1" ht="25" customHeight="1">
      <c r="A291" s="478" t="s">
        <v>231</v>
      </c>
      <c r="B291" s="545" t="s">
        <v>440</v>
      </c>
      <c r="C291" s="546">
        <v>2</v>
      </c>
      <c r="D291" s="546">
        <v>1</v>
      </c>
      <c r="E291" s="546">
        <v>1</v>
      </c>
      <c r="F291" s="272">
        <f t="shared" si="46"/>
        <v>42.9</v>
      </c>
      <c r="G291" s="546">
        <v>80</v>
      </c>
      <c r="H291" s="669">
        <f t="shared" si="48"/>
        <v>160</v>
      </c>
      <c r="I291" s="288">
        <f t="shared" si="47"/>
        <v>42.9</v>
      </c>
      <c r="J291" s="624"/>
      <c r="K291" s="600"/>
      <c r="L291" s="291"/>
      <c r="M291" s="292"/>
      <c r="N291" s="292"/>
      <c r="O291" s="292"/>
      <c r="P291" s="292"/>
      <c r="Q291" s="292"/>
    </row>
    <row r="292" spans="1:17" s="68" customFormat="1" ht="25" customHeight="1">
      <c r="A292" s="478" t="s">
        <v>282</v>
      </c>
      <c r="B292" s="579" t="s">
        <v>444</v>
      </c>
      <c r="C292" s="549">
        <v>3</v>
      </c>
      <c r="D292" s="547">
        <v>1</v>
      </c>
      <c r="E292" s="549">
        <v>1</v>
      </c>
      <c r="F292" s="272">
        <f t="shared" si="46"/>
        <v>49.5</v>
      </c>
      <c r="G292" s="549">
        <v>40</v>
      </c>
      <c r="H292" s="669">
        <f t="shared" si="48"/>
        <v>120</v>
      </c>
      <c r="I292" s="288">
        <f t="shared" si="47"/>
        <v>49.5</v>
      </c>
      <c r="J292" s="624"/>
      <c r="K292" s="600"/>
      <c r="L292" s="291"/>
      <c r="M292" s="292"/>
      <c r="N292" s="292"/>
      <c r="O292" s="292"/>
      <c r="P292" s="292"/>
      <c r="Q292" s="292"/>
    </row>
    <row r="293" spans="1:17" s="68" customFormat="1" ht="25" customHeight="1">
      <c r="A293" s="478" t="s">
        <v>283</v>
      </c>
      <c r="B293" s="579" t="s">
        <v>445</v>
      </c>
      <c r="C293" s="549">
        <v>2</v>
      </c>
      <c r="D293" s="547">
        <v>1</v>
      </c>
      <c r="E293" s="549">
        <v>1</v>
      </c>
      <c r="F293" s="272">
        <f t="shared" si="46"/>
        <v>33</v>
      </c>
      <c r="G293" s="549">
        <v>40</v>
      </c>
      <c r="H293" s="669">
        <f t="shared" si="48"/>
        <v>80</v>
      </c>
      <c r="I293" s="288">
        <f t="shared" si="47"/>
        <v>33</v>
      </c>
      <c r="J293" s="624"/>
      <c r="K293" s="600"/>
      <c r="L293" s="291"/>
      <c r="M293" s="292"/>
      <c r="N293" s="292"/>
      <c r="O293" s="292"/>
      <c r="P293" s="292"/>
      <c r="Q293" s="292"/>
    </row>
    <row r="294" spans="1:17" s="68" customFormat="1" ht="25" customHeight="1">
      <c r="A294" s="478" t="s">
        <v>284</v>
      </c>
      <c r="B294" s="579" t="s">
        <v>446</v>
      </c>
      <c r="C294" s="549">
        <v>3</v>
      </c>
      <c r="D294" s="547">
        <v>1</v>
      </c>
      <c r="E294" s="549">
        <v>1</v>
      </c>
      <c r="F294" s="272">
        <f t="shared" si="46"/>
        <v>49.5</v>
      </c>
      <c r="G294" s="549">
        <v>30</v>
      </c>
      <c r="H294" s="669">
        <f t="shared" si="48"/>
        <v>90</v>
      </c>
      <c r="I294" s="288">
        <f t="shared" si="47"/>
        <v>49.5</v>
      </c>
      <c r="J294" s="624"/>
      <c r="K294" s="600"/>
      <c r="L294" s="291"/>
      <c r="M294" s="292"/>
      <c r="N294" s="292"/>
      <c r="O294" s="292"/>
      <c r="P294" s="292"/>
      <c r="Q294" s="292"/>
    </row>
    <row r="295" spans="1:17" s="68" customFormat="1" ht="25" customHeight="1">
      <c r="A295" s="478"/>
      <c r="B295" s="605" t="s">
        <v>664</v>
      </c>
      <c r="C295" s="549"/>
      <c r="D295" s="547"/>
      <c r="E295" s="549"/>
      <c r="F295" s="551"/>
      <c r="G295" s="549"/>
      <c r="H295" s="546"/>
      <c r="I295" s="549"/>
      <c r="J295" s="624"/>
      <c r="K295" s="600"/>
      <c r="L295" s="577"/>
      <c r="M295" s="352"/>
      <c r="N295" s="352"/>
      <c r="O295" s="352"/>
      <c r="P295" s="352"/>
      <c r="Q295" s="352"/>
    </row>
    <row r="296" spans="1:17" s="68" customFormat="1" ht="25" customHeight="1">
      <c r="A296" s="478" t="s">
        <v>285</v>
      </c>
      <c r="B296" s="579" t="s">
        <v>447</v>
      </c>
      <c r="C296" s="549">
        <v>4</v>
      </c>
      <c r="D296" s="547">
        <v>1</v>
      </c>
      <c r="E296" s="549">
        <v>1</v>
      </c>
      <c r="F296" s="272">
        <f t="shared" si="46"/>
        <v>66</v>
      </c>
      <c r="G296" s="549">
        <v>30</v>
      </c>
      <c r="H296" s="669">
        <f t="shared" si="48"/>
        <v>120</v>
      </c>
      <c r="I296" s="288">
        <f t="shared" si="47"/>
        <v>66</v>
      </c>
      <c r="J296" s="624"/>
      <c r="K296" s="600"/>
      <c r="L296" s="291"/>
      <c r="M296" s="292"/>
      <c r="N296" s="292"/>
      <c r="O296" s="292"/>
      <c r="P296" s="292"/>
      <c r="Q296" s="292"/>
    </row>
    <row r="297" spans="1:17" s="68" customFormat="1" ht="25" customHeight="1">
      <c r="A297" s="478" t="s">
        <v>286</v>
      </c>
      <c r="B297" s="545" t="s">
        <v>440</v>
      </c>
      <c r="C297" s="549">
        <v>2</v>
      </c>
      <c r="D297" s="547">
        <v>1</v>
      </c>
      <c r="E297" s="549">
        <v>1</v>
      </c>
      <c r="F297" s="272">
        <f t="shared" si="46"/>
        <v>42.9</v>
      </c>
      <c r="G297" s="549">
        <v>80</v>
      </c>
      <c r="H297" s="669">
        <f t="shared" si="48"/>
        <v>160</v>
      </c>
      <c r="I297" s="288">
        <f t="shared" si="47"/>
        <v>42.9</v>
      </c>
      <c r="J297" s="624"/>
      <c r="K297" s="600"/>
      <c r="L297" s="291"/>
      <c r="M297" s="292"/>
      <c r="N297" s="292"/>
      <c r="O297" s="292"/>
      <c r="P297" s="292"/>
      <c r="Q297" s="292"/>
    </row>
    <row r="298" spans="1:17" s="68" customFormat="1" ht="25" customHeight="1">
      <c r="A298" s="478" t="s">
        <v>289</v>
      </c>
      <c r="B298" s="573" t="s">
        <v>442</v>
      </c>
      <c r="C298" s="546">
        <v>2</v>
      </c>
      <c r="D298" s="546">
        <v>1</v>
      </c>
      <c r="E298" s="549">
        <v>1</v>
      </c>
      <c r="F298" s="272">
        <f t="shared" si="46"/>
        <v>42.9</v>
      </c>
      <c r="G298" s="546">
        <v>80</v>
      </c>
      <c r="H298" s="669">
        <f t="shared" si="48"/>
        <v>160</v>
      </c>
      <c r="I298" s="288">
        <f t="shared" si="47"/>
        <v>42.9</v>
      </c>
      <c r="J298" s="624"/>
      <c r="K298" s="600"/>
      <c r="L298" s="291"/>
      <c r="M298" s="292"/>
      <c r="N298" s="292"/>
      <c r="O298" s="292"/>
      <c r="P298" s="292"/>
      <c r="Q298" s="292"/>
    </row>
    <row r="299" spans="1:17" s="68" customFormat="1" ht="25" customHeight="1">
      <c r="A299" s="478" t="s">
        <v>290</v>
      </c>
      <c r="B299" s="579" t="s">
        <v>448</v>
      </c>
      <c r="C299" s="546">
        <v>4</v>
      </c>
      <c r="D299" s="546">
        <v>1</v>
      </c>
      <c r="E299" s="546">
        <v>1</v>
      </c>
      <c r="F299" s="272">
        <f t="shared" si="46"/>
        <v>66</v>
      </c>
      <c r="G299" s="546">
        <v>30</v>
      </c>
      <c r="H299" s="669">
        <f t="shared" si="48"/>
        <v>120</v>
      </c>
      <c r="I299" s="288">
        <f t="shared" si="47"/>
        <v>66</v>
      </c>
      <c r="J299" s="624"/>
      <c r="K299" s="600"/>
      <c r="L299" s="291"/>
      <c r="M299" s="292"/>
      <c r="N299" s="292"/>
      <c r="O299" s="292"/>
      <c r="P299" s="292"/>
      <c r="Q299" s="292"/>
    </row>
    <row r="300" spans="1:17" s="68" customFormat="1" ht="25" customHeight="1">
      <c r="A300" s="478" t="s">
        <v>291</v>
      </c>
      <c r="B300" s="579" t="s">
        <v>449</v>
      </c>
      <c r="C300" s="626">
        <v>4</v>
      </c>
      <c r="D300" s="552">
        <v>1</v>
      </c>
      <c r="E300" s="552">
        <v>1</v>
      </c>
      <c r="F300" s="272">
        <f t="shared" si="46"/>
        <v>66</v>
      </c>
      <c r="G300" s="552">
        <v>40</v>
      </c>
      <c r="H300" s="669">
        <f t="shared" si="48"/>
        <v>160</v>
      </c>
      <c r="I300" s="288">
        <f t="shared" si="47"/>
        <v>66</v>
      </c>
      <c r="J300" s="624"/>
      <c r="K300" s="600"/>
      <c r="L300" s="291"/>
      <c r="M300" s="292"/>
      <c r="N300" s="292"/>
      <c r="O300" s="292"/>
      <c r="P300" s="292"/>
      <c r="Q300" s="292"/>
    </row>
    <row r="301" spans="1:17" s="68" customFormat="1" ht="25" customHeight="1">
      <c r="A301" s="478"/>
      <c r="B301" s="605" t="s">
        <v>747</v>
      </c>
      <c r="C301" s="626"/>
      <c r="D301" s="552"/>
      <c r="E301" s="552"/>
      <c r="F301" s="551"/>
      <c r="G301" s="552"/>
      <c r="H301" s="546"/>
      <c r="I301" s="549"/>
      <c r="J301" s="624"/>
      <c r="K301" s="600"/>
      <c r="L301" s="577"/>
      <c r="M301" s="352"/>
      <c r="N301" s="352"/>
      <c r="O301" s="352"/>
      <c r="P301" s="352"/>
      <c r="Q301" s="352"/>
    </row>
    <row r="302" spans="1:17" s="68" customFormat="1" ht="25" customHeight="1">
      <c r="A302" s="478" t="s">
        <v>292</v>
      </c>
      <c r="B302" s="545" t="s">
        <v>440</v>
      </c>
      <c r="C302" s="626">
        <v>2</v>
      </c>
      <c r="D302" s="552">
        <v>1</v>
      </c>
      <c r="E302" s="552">
        <v>1</v>
      </c>
      <c r="F302" s="272">
        <f t="shared" si="46"/>
        <v>42.9</v>
      </c>
      <c r="G302" s="552">
        <v>89</v>
      </c>
      <c r="H302" s="669">
        <f t="shared" si="48"/>
        <v>178</v>
      </c>
      <c r="I302" s="288">
        <f t="shared" si="47"/>
        <v>42.9</v>
      </c>
      <c r="J302" s="624"/>
      <c r="K302" s="600"/>
      <c r="L302" s="291"/>
      <c r="M302" s="292"/>
      <c r="N302" s="292"/>
      <c r="O302" s="292"/>
      <c r="P302" s="292"/>
      <c r="Q302" s="292"/>
    </row>
    <row r="303" spans="1:17" s="68" customFormat="1" ht="25" customHeight="1">
      <c r="A303" s="478" t="s">
        <v>394</v>
      </c>
      <c r="B303" s="579" t="s">
        <v>450</v>
      </c>
      <c r="C303" s="626">
        <v>3</v>
      </c>
      <c r="D303" s="552">
        <v>1</v>
      </c>
      <c r="E303" s="552">
        <v>1</v>
      </c>
      <c r="F303" s="272">
        <f t="shared" si="46"/>
        <v>49.5</v>
      </c>
      <c r="G303" s="552">
        <v>40</v>
      </c>
      <c r="H303" s="669">
        <f t="shared" si="48"/>
        <v>120</v>
      </c>
      <c r="I303" s="288">
        <f t="shared" si="47"/>
        <v>49.5</v>
      </c>
      <c r="J303" s="479"/>
      <c r="K303" s="600"/>
      <c r="L303" s="291"/>
      <c r="M303" s="292"/>
      <c r="N303" s="292"/>
      <c r="O303" s="292"/>
      <c r="P303" s="292"/>
      <c r="Q303" s="292"/>
    </row>
    <row r="304" spans="1:17" s="68" customFormat="1" ht="25" customHeight="1">
      <c r="A304" s="478" t="s">
        <v>395</v>
      </c>
      <c r="B304" s="573" t="s">
        <v>442</v>
      </c>
      <c r="C304" s="546">
        <v>2</v>
      </c>
      <c r="D304" s="546">
        <v>1</v>
      </c>
      <c r="E304" s="546">
        <v>1</v>
      </c>
      <c r="F304" s="272">
        <f t="shared" si="46"/>
        <v>42.9</v>
      </c>
      <c r="G304" s="546">
        <v>80</v>
      </c>
      <c r="H304" s="669">
        <f t="shared" si="48"/>
        <v>160</v>
      </c>
      <c r="I304" s="288">
        <f t="shared" si="47"/>
        <v>42.9</v>
      </c>
      <c r="J304" s="479"/>
      <c r="K304" s="600"/>
      <c r="L304" s="291"/>
      <c r="M304" s="292"/>
      <c r="N304" s="292"/>
      <c r="O304" s="292"/>
      <c r="P304" s="292"/>
      <c r="Q304" s="292"/>
    </row>
    <row r="305" spans="1:17" s="68" customFormat="1" ht="25" customHeight="1">
      <c r="A305" s="478" t="s">
        <v>396</v>
      </c>
      <c r="B305" s="627" t="s">
        <v>451</v>
      </c>
      <c r="C305" s="546">
        <v>2</v>
      </c>
      <c r="D305" s="546">
        <v>1</v>
      </c>
      <c r="E305" s="546">
        <v>1</v>
      </c>
      <c r="F305" s="272">
        <f t="shared" si="46"/>
        <v>33</v>
      </c>
      <c r="G305" s="546">
        <v>40</v>
      </c>
      <c r="H305" s="669">
        <f t="shared" si="48"/>
        <v>80</v>
      </c>
      <c r="I305" s="288">
        <f t="shared" si="47"/>
        <v>33</v>
      </c>
      <c r="J305" s="479"/>
      <c r="K305" s="600"/>
      <c r="L305" s="291"/>
      <c r="M305" s="292"/>
      <c r="N305" s="292"/>
      <c r="O305" s="292"/>
      <c r="P305" s="292"/>
      <c r="Q305" s="292"/>
    </row>
    <row r="306" spans="1:17" s="68" customFormat="1" ht="25" customHeight="1">
      <c r="A306" s="478" t="s">
        <v>397</v>
      </c>
      <c r="B306" s="579" t="s">
        <v>452</v>
      </c>
      <c r="C306" s="546">
        <v>3</v>
      </c>
      <c r="D306" s="546">
        <v>1</v>
      </c>
      <c r="E306" s="546">
        <v>1</v>
      </c>
      <c r="F306" s="272">
        <f t="shared" si="46"/>
        <v>49.5</v>
      </c>
      <c r="G306" s="546">
        <v>40</v>
      </c>
      <c r="H306" s="669">
        <f t="shared" si="48"/>
        <v>120</v>
      </c>
      <c r="I306" s="288">
        <f t="shared" si="47"/>
        <v>49.5</v>
      </c>
      <c r="J306" s="479"/>
      <c r="K306" s="600"/>
      <c r="L306" s="291"/>
      <c r="M306" s="292"/>
      <c r="N306" s="292"/>
      <c r="O306" s="292"/>
      <c r="P306" s="292"/>
      <c r="Q306" s="292"/>
    </row>
    <row r="307" spans="1:17" s="68" customFormat="1" ht="25" customHeight="1">
      <c r="A307" s="478" t="s">
        <v>398</v>
      </c>
      <c r="B307" s="579" t="s">
        <v>453</v>
      </c>
      <c r="C307" s="546">
        <v>2</v>
      </c>
      <c r="D307" s="546">
        <v>1</v>
      </c>
      <c r="E307" s="546">
        <v>1</v>
      </c>
      <c r="F307" s="272">
        <f t="shared" si="46"/>
        <v>42.9</v>
      </c>
      <c r="G307" s="546">
        <v>80</v>
      </c>
      <c r="H307" s="669">
        <f t="shared" si="48"/>
        <v>160</v>
      </c>
      <c r="I307" s="288">
        <f t="shared" si="47"/>
        <v>42.9</v>
      </c>
      <c r="J307" s="479"/>
      <c r="K307" s="600"/>
      <c r="L307" s="291"/>
      <c r="M307" s="292"/>
      <c r="N307" s="292"/>
      <c r="O307" s="292"/>
      <c r="P307" s="292"/>
      <c r="Q307" s="292"/>
    </row>
    <row r="308" spans="1:17" s="68" customFormat="1" ht="25" customHeight="1">
      <c r="A308" s="478" t="s">
        <v>399</v>
      </c>
      <c r="B308" s="579" t="s">
        <v>445</v>
      </c>
      <c r="C308" s="549">
        <v>2</v>
      </c>
      <c r="D308" s="553">
        <v>1</v>
      </c>
      <c r="E308" s="553">
        <v>1</v>
      </c>
      <c r="F308" s="272">
        <f t="shared" si="46"/>
        <v>33</v>
      </c>
      <c r="G308" s="553">
        <v>40</v>
      </c>
      <c r="H308" s="669">
        <f t="shared" si="48"/>
        <v>80</v>
      </c>
      <c r="I308" s="288">
        <f t="shared" si="47"/>
        <v>33</v>
      </c>
      <c r="J308" s="479"/>
      <c r="K308" s="600"/>
      <c r="L308" s="291"/>
      <c r="M308" s="292"/>
      <c r="N308" s="292"/>
      <c r="O308" s="292"/>
      <c r="P308" s="292"/>
      <c r="Q308" s="292"/>
    </row>
    <row r="309" spans="1:17" s="68" customFormat="1" ht="25" customHeight="1">
      <c r="A309" s="478" t="s">
        <v>400</v>
      </c>
      <c r="B309" s="579" t="s">
        <v>453</v>
      </c>
      <c r="C309" s="546">
        <v>2</v>
      </c>
      <c r="D309" s="546">
        <v>1.3</v>
      </c>
      <c r="E309" s="546">
        <v>1</v>
      </c>
      <c r="F309" s="272">
        <f t="shared" si="46"/>
        <v>33</v>
      </c>
      <c r="G309" s="546">
        <v>40</v>
      </c>
      <c r="H309" s="669">
        <f t="shared" si="48"/>
        <v>80</v>
      </c>
      <c r="I309" s="288">
        <f t="shared" si="47"/>
        <v>33</v>
      </c>
      <c r="J309" s="479"/>
      <c r="K309" s="600"/>
      <c r="L309" s="291"/>
      <c r="M309" s="292"/>
      <c r="N309" s="292"/>
      <c r="O309" s="292"/>
      <c r="P309" s="292"/>
      <c r="Q309" s="292"/>
    </row>
    <row r="310" spans="1:17" s="68" customFormat="1" ht="25" customHeight="1">
      <c r="A310" s="478"/>
      <c r="B310" s="605" t="s">
        <v>748</v>
      </c>
      <c r="C310" s="546"/>
      <c r="D310" s="546"/>
      <c r="E310" s="546"/>
      <c r="F310" s="551"/>
      <c r="G310" s="546"/>
      <c r="H310" s="546"/>
      <c r="I310" s="549"/>
      <c r="J310" s="479"/>
      <c r="K310" s="600"/>
      <c r="L310" s="577"/>
      <c r="M310" s="352"/>
      <c r="N310" s="352"/>
      <c r="O310" s="352"/>
      <c r="P310" s="352"/>
      <c r="Q310" s="352"/>
    </row>
    <row r="311" spans="1:17" s="68" customFormat="1" ht="25" customHeight="1">
      <c r="A311" s="478" t="s">
        <v>401</v>
      </c>
      <c r="B311" s="579" t="s">
        <v>454</v>
      </c>
      <c r="C311" s="546">
        <v>4</v>
      </c>
      <c r="D311" s="546">
        <v>1</v>
      </c>
      <c r="E311" s="546">
        <v>1</v>
      </c>
      <c r="F311" s="272">
        <f t="shared" si="46"/>
        <v>66</v>
      </c>
      <c r="G311" s="546">
        <v>40</v>
      </c>
      <c r="H311" s="669">
        <f t="shared" si="48"/>
        <v>160</v>
      </c>
      <c r="I311" s="288">
        <f t="shared" si="47"/>
        <v>66</v>
      </c>
      <c r="J311" s="479"/>
      <c r="K311" s="600"/>
      <c r="L311" s="291"/>
      <c r="M311" s="292"/>
      <c r="N311" s="292"/>
      <c r="O311" s="292"/>
      <c r="P311" s="292"/>
      <c r="Q311" s="292"/>
    </row>
    <row r="312" spans="1:17" s="68" customFormat="1" ht="25" customHeight="1">
      <c r="A312" s="478" t="s">
        <v>402</v>
      </c>
      <c r="B312" s="579" t="s">
        <v>455</v>
      </c>
      <c r="C312" s="546">
        <v>4</v>
      </c>
      <c r="D312" s="546">
        <v>1</v>
      </c>
      <c r="E312" s="546">
        <v>1</v>
      </c>
      <c r="F312" s="272">
        <f t="shared" si="46"/>
        <v>66</v>
      </c>
      <c r="G312" s="546">
        <v>40</v>
      </c>
      <c r="H312" s="669">
        <f t="shared" si="48"/>
        <v>160</v>
      </c>
      <c r="I312" s="288">
        <f t="shared" si="47"/>
        <v>66</v>
      </c>
      <c r="J312" s="479"/>
      <c r="K312" s="600"/>
      <c r="L312" s="291"/>
      <c r="M312" s="292"/>
      <c r="N312" s="292"/>
      <c r="O312" s="292"/>
      <c r="P312" s="292"/>
      <c r="Q312" s="292"/>
    </row>
    <row r="313" spans="1:17" s="68" customFormat="1" ht="25" customHeight="1">
      <c r="A313" s="478" t="s">
        <v>403</v>
      </c>
      <c r="B313" s="579" t="s">
        <v>456</v>
      </c>
      <c r="C313" s="546">
        <v>3</v>
      </c>
      <c r="D313" s="546">
        <v>1</v>
      </c>
      <c r="E313" s="546">
        <v>1</v>
      </c>
      <c r="F313" s="272">
        <f t="shared" si="46"/>
        <v>49.5</v>
      </c>
      <c r="G313" s="546">
        <v>40</v>
      </c>
      <c r="H313" s="669">
        <f t="shared" si="48"/>
        <v>120</v>
      </c>
      <c r="I313" s="288">
        <f t="shared" si="47"/>
        <v>49.5</v>
      </c>
      <c r="J313" s="479"/>
      <c r="K313" s="600"/>
      <c r="L313" s="291"/>
      <c r="M313" s="292"/>
      <c r="N313" s="292"/>
      <c r="O313" s="292"/>
      <c r="P313" s="292"/>
      <c r="Q313" s="292"/>
    </row>
    <row r="314" spans="1:17" s="68" customFormat="1" ht="25" customHeight="1">
      <c r="A314" s="478" t="s">
        <v>404</v>
      </c>
      <c r="B314" s="579" t="s">
        <v>457</v>
      </c>
      <c r="C314" s="546">
        <v>1</v>
      </c>
      <c r="D314" s="546">
        <v>1.3</v>
      </c>
      <c r="E314" s="546">
        <v>1</v>
      </c>
      <c r="F314" s="272">
        <f t="shared" si="46"/>
        <v>16.5</v>
      </c>
      <c r="G314" s="546">
        <v>40</v>
      </c>
      <c r="H314" s="669">
        <f t="shared" si="48"/>
        <v>40</v>
      </c>
      <c r="I314" s="288">
        <f t="shared" si="47"/>
        <v>16.5</v>
      </c>
      <c r="J314" s="479"/>
      <c r="K314" s="600"/>
      <c r="L314" s="291"/>
      <c r="M314" s="292"/>
      <c r="N314" s="292"/>
      <c r="O314" s="292"/>
      <c r="P314" s="292"/>
      <c r="Q314" s="292"/>
    </row>
    <row r="315" spans="1:17" s="68" customFormat="1" ht="25" customHeight="1">
      <c r="A315" s="562" t="s">
        <v>148</v>
      </c>
      <c r="B315" s="563" t="s">
        <v>151</v>
      </c>
      <c r="C315" s="546"/>
      <c r="D315" s="546"/>
      <c r="E315" s="546"/>
      <c r="F315" s="669"/>
      <c r="G315" s="546"/>
      <c r="H315" s="669"/>
      <c r="I315" s="289"/>
      <c r="J315" s="479"/>
      <c r="K315" s="600"/>
      <c r="L315" s="291"/>
      <c r="M315" s="292"/>
      <c r="N315" s="292"/>
      <c r="O315" s="292"/>
      <c r="P315" s="292"/>
      <c r="Q315" s="292"/>
    </row>
    <row r="316" spans="1:17" s="68" customFormat="1" ht="25" customHeight="1">
      <c r="A316" s="564" t="s">
        <v>232</v>
      </c>
      <c r="B316" s="544" t="s">
        <v>154</v>
      </c>
      <c r="C316" s="546"/>
      <c r="D316" s="546"/>
      <c r="E316" s="546"/>
      <c r="F316" s="669"/>
      <c r="G316" s="546"/>
      <c r="H316" s="669"/>
      <c r="I316" s="289"/>
      <c r="J316" s="479"/>
      <c r="K316" s="600"/>
      <c r="L316" s="291"/>
      <c r="M316" s="292"/>
      <c r="N316" s="292"/>
      <c r="O316" s="292"/>
      <c r="P316" s="292"/>
      <c r="Q316" s="292"/>
    </row>
    <row r="317" spans="1:17" s="68" customFormat="1" ht="25" customHeight="1">
      <c r="A317" s="564" t="s">
        <v>233</v>
      </c>
      <c r="B317" s="544" t="s">
        <v>153</v>
      </c>
      <c r="C317" s="546"/>
      <c r="D317" s="546"/>
      <c r="E317" s="546"/>
      <c r="F317" s="669"/>
      <c r="G317" s="546"/>
      <c r="H317" s="669"/>
      <c r="I317" s="289"/>
      <c r="J317" s="479"/>
      <c r="K317" s="600"/>
      <c r="L317" s="291"/>
      <c r="M317" s="292"/>
      <c r="N317" s="292"/>
      <c r="O317" s="292"/>
      <c r="P317" s="292"/>
      <c r="Q317" s="292"/>
    </row>
    <row r="318" spans="1:17" s="68" customFormat="1" ht="25" customHeight="1">
      <c r="A318" s="580" t="s">
        <v>234</v>
      </c>
      <c r="B318" s="628" t="s">
        <v>706</v>
      </c>
      <c r="C318" s="582">
        <v>5</v>
      </c>
      <c r="D318" s="582" t="s">
        <v>665</v>
      </c>
      <c r="E318" s="582">
        <v>1</v>
      </c>
      <c r="F318" s="629">
        <f>I318+J318+K318</f>
        <v>42</v>
      </c>
      <c r="G318" s="582">
        <v>21</v>
      </c>
      <c r="H318" s="619">
        <f>C318*E318*G318</f>
        <v>105</v>
      </c>
      <c r="I318" s="630">
        <f>21*2</f>
        <v>42</v>
      </c>
      <c r="J318" s="584"/>
      <c r="K318" s="580"/>
      <c r="L318" s="291"/>
      <c r="M318" s="292"/>
      <c r="N318" s="292"/>
      <c r="O318" s="292"/>
      <c r="P318" s="292"/>
      <c r="Q318" s="292"/>
    </row>
    <row r="319" spans="1:17" s="68" customFormat="1" ht="25" customHeight="1">
      <c r="A319" s="580" t="s">
        <v>235</v>
      </c>
      <c r="B319" s="628" t="s">
        <v>156</v>
      </c>
      <c r="C319" s="582">
        <v>5</v>
      </c>
      <c r="D319" s="582" t="s">
        <v>665</v>
      </c>
      <c r="E319" s="582">
        <v>1</v>
      </c>
      <c r="F319" s="629">
        <f>I319+J319+K319</f>
        <v>42</v>
      </c>
      <c r="G319" s="582">
        <v>21</v>
      </c>
      <c r="H319" s="619">
        <f>C319*E319*G319</f>
        <v>105</v>
      </c>
      <c r="I319" s="630">
        <f>21*2</f>
        <v>42</v>
      </c>
      <c r="J319" s="584"/>
      <c r="K319" s="580"/>
      <c r="L319" s="291"/>
      <c r="M319" s="292"/>
      <c r="N319" s="292"/>
      <c r="O319" s="292"/>
      <c r="P319" s="292"/>
      <c r="Q319" s="292"/>
    </row>
    <row r="320" spans="1:17" s="68" customFormat="1" ht="25" customHeight="1">
      <c r="A320" s="564" t="s">
        <v>236</v>
      </c>
      <c r="B320" s="544" t="s">
        <v>157</v>
      </c>
      <c r="C320" s="546"/>
      <c r="D320" s="546"/>
      <c r="E320" s="546"/>
      <c r="F320" s="669"/>
      <c r="G320" s="546"/>
      <c r="H320" s="669"/>
      <c r="I320" s="289"/>
      <c r="J320" s="479"/>
      <c r="K320" s="600"/>
      <c r="L320" s="291"/>
      <c r="M320" s="292"/>
      <c r="N320" s="292"/>
      <c r="O320" s="292"/>
      <c r="P320" s="292"/>
      <c r="Q320" s="292"/>
    </row>
    <row r="321" spans="1:17" s="68" customFormat="1" ht="25" customHeight="1">
      <c r="A321" s="578"/>
      <c r="B321" s="631" t="s">
        <v>380</v>
      </c>
      <c r="C321" s="632">
        <f t="shared" ref="C321:K321" si="49">SUM(C284:C320)</f>
        <v>78</v>
      </c>
      <c r="D321" s="632">
        <f t="shared" si="49"/>
        <v>26.6</v>
      </c>
      <c r="E321" s="632">
        <f t="shared" si="49"/>
        <v>31</v>
      </c>
      <c r="F321" s="632">
        <f t="shared" si="49"/>
        <v>1428.75</v>
      </c>
      <c r="G321" s="632">
        <f t="shared" si="49"/>
        <v>1401</v>
      </c>
      <c r="H321" s="632">
        <f t="shared" si="49"/>
        <v>4018</v>
      </c>
      <c r="I321" s="632">
        <f t="shared" si="49"/>
        <v>1428.75</v>
      </c>
      <c r="J321" s="632">
        <f t="shared" si="49"/>
        <v>0</v>
      </c>
      <c r="K321" s="632">
        <f t="shared" si="49"/>
        <v>0</v>
      </c>
      <c r="L321" s="577"/>
      <c r="M321" s="352"/>
      <c r="N321" s="352"/>
      <c r="O321" s="352"/>
      <c r="P321" s="352"/>
      <c r="Q321" s="352"/>
    </row>
    <row r="322" spans="1:17" s="68" customFormat="1" ht="25" customHeight="1">
      <c r="A322" s="570">
        <v>2</v>
      </c>
      <c r="B322" s="570" t="s">
        <v>164</v>
      </c>
      <c r="C322" s="546"/>
      <c r="D322" s="546"/>
      <c r="E322" s="546"/>
      <c r="F322" s="669"/>
      <c r="G322" s="546"/>
      <c r="H322" s="669"/>
      <c r="I322" s="289"/>
      <c r="J322" s="479"/>
      <c r="K322" s="600"/>
      <c r="L322" s="291"/>
      <c r="M322" s="292"/>
      <c r="N322" s="292"/>
      <c r="O322" s="292"/>
      <c r="P322" s="292"/>
      <c r="Q322" s="292"/>
    </row>
    <row r="323" spans="1:17" s="68" customFormat="1" ht="25" customHeight="1">
      <c r="A323" s="571" t="s">
        <v>147</v>
      </c>
      <c r="B323" s="572" t="s">
        <v>165</v>
      </c>
      <c r="C323" s="546"/>
      <c r="D323" s="546"/>
      <c r="E323" s="546"/>
      <c r="F323" s="669"/>
      <c r="G323" s="546"/>
      <c r="H323" s="669"/>
      <c r="I323" s="289"/>
      <c r="J323" s="479"/>
      <c r="K323" s="600"/>
      <c r="L323" s="291"/>
      <c r="M323" s="292"/>
      <c r="N323" s="292"/>
      <c r="O323" s="292"/>
      <c r="P323" s="292"/>
      <c r="Q323" s="292"/>
    </row>
    <row r="324" spans="1:17" s="68" customFormat="1" ht="25" customHeight="1">
      <c r="A324" s="544" t="s">
        <v>226</v>
      </c>
      <c r="B324" s="573" t="s">
        <v>458</v>
      </c>
      <c r="C324" s="546">
        <v>3</v>
      </c>
      <c r="D324" s="546">
        <v>1</v>
      </c>
      <c r="E324" s="546">
        <v>6</v>
      </c>
      <c r="F324" s="272">
        <f t="shared" ref="F324:F336" si="50">I324+J324+K324</f>
        <v>445.5</v>
      </c>
      <c r="G324" s="546">
        <v>30</v>
      </c>
      <c r="H324" s="669">
        <f>C324*E324*G324</f>
        <v>540</v>
      </c>
      <c r="I324" s="288">
        <f>IF(G324&lt;70, C324*E324*16.5*1.5, C324*E324*16.5*1.5)</f>
        <v>445.5</v>
      </c>
      <c r="J324" s="479"/>
      <c r="K324" s="600"/>
      <c r="L324" s="291"/>
      <c r="M324" s="292"/>
      <c r="N324" s="292"/>
      <c r="O324" s="292"/>
      <c r="P324" s="292"/>
      <c r="Q324" s="292"/>
    </row>
    <row r="325" spans="1:17" s="68" customFormat="1" ht="25" customHeight="1">
      <c r="A325" s="544" t="s">
        <v>227</v>
      </c>
      <c r="B325" s="573" t="s">
        <v>459</v>
      </c>
      <c r="C325" s="546">
        <v>3</v>
      </c>
      <c r="D325" s="546">
        <v>1</v>
      </c>
      <c r="E325" s="546">
        <v>6</v>
      </c>
      <c r="F325" s="272">
        <f t="shared" si="50"/>
        <v>445.5</v>
      </c>
      <c r="G325" s="546">
        <v>30</v>
      </c>
      <c r="H325" s="669">
        <f t="shared" ref="H325:H336" si="51">C325*E325*G325</f>
        <v>540</v>
      </c>
      <c r="I325" s="288">
        <f t="shared" ref="I325:I331" si="52">IF(G325&lt;70, C325*E325*16.5*1.5, C325*E325*16.5*1.5)</f>
        <v>445.5</v>
      </c>
      <c r="J325" s="479"/>
      <c r="K325" s="600"/>
      <c r="L325" s="291"/>
      <c r="M325" s="292"/>
      <c r="N325" s="292"/>
      <c r="O325" s="292"/>
      <c r="P325" s="292"/>
      <c r="Q325" s="292"/>
    </row>
    <row r="326" spans="1:17" s="68" customFormat="1" ht="25" customHeight="1">
      <c r="A326" s="544" t="s">
        <v>228</v>
      </c>
      <c r="B326" s="573" t="s">
        <v>460</v>
      </c>
      <c r="C326" s="546">
        <v>3</v>
      </c>
      <c r="D326" s="546">
        <v>1</v>
      </c>
      <c r="E326" s="546">
        <v>1</v>
      </c>
      <c r="F326" s="272">
        <f t="shared" si="50"/>
        <v>74.25</v>
      </c>
      <c r="G326" s="546">
        <v>30</v>
      </c>
      <c r="H326" s="669">
        <f t="shared" si="51"/>
        <v>90</v>
      </c>
      <c r="I326" s="288">
        <f t="shared" si="52"/>
        <v>74.25</v>
      </c>
      <c r="J326" s="479"/>
      <c r="K326" s="600"/>
      <c r="L326" s="291"/>
      <c r="M326" s="292"/>
      <c r="N326" s="292"/>
      <c r="O326" s="292"/>
      <c r="P326" s="292"/>
      <c r="Q326" s="292"/>
    </row>
    <row r="327" spans="1:17" s="68" customFormat="1" ht="25" customHeight="1">
      <c r="A327" s="544" t="s">
        <v>229</v>
      </c>
      <c r="B327" s="573" t="s">
        <v>461</v>
      </c>
      <c r="C327" s="546">
        <v>3</v>
      </c>
      <c r="D327" s="546">
        <v>1</v>
      </c>
      <c r="E327" s="546">
        <v>1</v>
      </c>
      <c r="F327" s="272">
        <f t="shared" si="50"/>
        <v>74.25</v>
      </c>
      <c r="G327" s="546">
        <v>30</v>
      </c>
      <c r="H327" s="669">
        <f t="shared" si="51"/>
        <v>90</v>
      </c>
      <c r="I327" s="288">
        <f t="shared" si="52"/>
        <v>74.25</v>
      </c>
      <c r="J327" s="479"/>
      <c r="K327" s="600"/>
      <c r="L327" s="291"/>
      <c r="M327" s="292"/>
      <c r="N327" s="292"/>
      <c r="O327" s="292"/>
      <c r="P327" s="292"/>
      <c r="Q327" s="292"/>
    </row>
    <row r="328" spans="1:17" s="68" customFormat="1" ht="25" customHeight="1">
      <c r="A328" s="544" t="s">
        <v>230</v>
      </c>
      <c r="B328" s="574" t="s">
        <v>462</v>
      </c>
      <c r="C328" s="546">
        <v>3</v>
      </c>
      <c r="D328" s="546">
        <v>1</v>
      </c>
      <c r="E328" s="546">
        <v>6</v>
      </c>
      <c r="F328" s="272">
        <f t="shared" si="50"/>
        <v>445.5</v>
      </c>
      <c r="G328" s="546">
        <v>30</v>
      </c>
      <c r="H328" s="669">
        <f t="shared" si="51"/>
        <v>540</v>
      </c>
      <c r="I328" s="288">
        <f t="shared" si="52"/>
        <v>445.5</v>
      </c>
      <c r="J328" s="479"/>
      <c r="K328" s="600"/>
      <c r="L328" s="291"/>
      <c r="M328" s="292"/>
      <c r="N328" s="292"/>
      <c r="O328" s="292"/>
      <c r="P328" s="292"/>
      <c r="Q328" s="292"/>
    </row>
    <row r="329" spans="1:17" s="68" customFormat="1" ht="25" customHeight="1">
      <c r="A329" s="544" t="s">
        <v>231</v>
      </c>
      <c r="B329" s="574" t="s">
        <v>463</v>
      </c>
      <c r="C329" s="546">
        <v>3</v>
      </c>
      <c r="D329" s="546">
        <v>1</v>
      </c>
      <c r="E329" s="546">
        <v>6</v>
      </c>
      <c r="F329" s="272">
        <f t="shared" si="50"/>
        <v>445.5</v>
      </c>
      <c r="G329" s="546">
        <v>30</v>
      </c>
      <c r="H329" s="669">
        <f t="shared" si="51"/>
        <v>540</v>
      </c>
      <c r="I329" s="288">
        <f t="shared" si="52"/>
        <v>445.5</v>
      </c>
      <c r="J329" s="479"/>
      <c r="K329" s="562"/>
      <c r="L329" s="540"/>
      <c r="M329" s="633"/>
      <c r="N329" s="633"/>
      <c r="O329" s="633"/>
      <c r="P329" s="633"/>
      <c r="Q329" s="633"/>
    </row>
    <row r="330" spans="1:17" s="68" customFormat="1" ht="25" customHeight="1">
      <c r="A330" s="544" t="s">
        <v>282</v>
      </c>
      <c r="B330" s="574" t="s">
        <v>464</v>
      </c>
      <c r="C330" s="546">
        <v>3</v>
      </c>
      <c r="D330" s="546">
        <v>1</v>
      </c>
      <c r="E330" s="546">
        <v>1</v>
      </c>
      <c r="F330" s="272">
        <f t="shared" si="50"/>
        <v>74.25</v>
      </c>
      <c r="G330" s="546">
        <v>30</v>
      </c>
      <c r="H330" s="669">
        <f t="shared" si="51"/>
        <v>90</v>
      </c>
      <c r="I330" s="288">
        <f t="shared" si="52"/>
        <v>74.25</v>
      </c>
      <c r="J330" s="479"/>
      <c r="K330" s="570"/>
      <c r="L330" s="536"/>
      <c r="M330" s="633"/>
      <c r="N330" s="633"/>
      <c r="O330" s="633"/>
      <c r="P330" s="633"/>
      <c r="Q330" s="633"/>
    </row>
    <row r="331" spans="1:17" s="68" customFormat="1" ht="25" customHeight="1">
      <c r="A331" s="544" t="s">
        <v>283</v>
      </c>
      <c r="B331" s="574" t="s">
        <v>465</v>
      </c>
      <c r="C331" s="546">
        <v>3</v>
      </c>
      <c r="D331" s="546">
        <v>1</v>
      </c>
      <c r="E331" s="546">
        <v>1</v>
      </c>
      <c r="F331" s="272">
        <f t="shared" si="50"/>
        <v>74.25</v>
      </c>
      <c r="G331" s="546">
        <v>30</v>
      </c>
      <c r="H331" s="669">
        <f t="shared" si="51"/>
        <v>90</v>
      </c>
      <c r="I331" s="288">
        <f t="shared" si="52"/>
        <v>74.25</v>
      </c>
      <c r="J331" s="479"/>
      <c r="K331" s="562"/>
      <c r="L331" s="536"/>
      <c r="M331" s="633"/>
      <c r="N331" s="633"/>
      <c r="O331" s="633"/>
      <c r="P331" s="633"/>
      <c r="Q331" s="633"/>
    </row>
    <row r="332" spans="1:17" s="68" customFormat="1" ht="25" customHeight="1">
      <c r="A332" s="544" t="s">
        <v>284</v>
      </c>
      <c r="B332" s="574" t="s">
        <v>466</v>
      </c>
      <c r="C332" s="546">
        <v>3</v>
      </c>
      <c r="D332" s="546">
        <v>1</v>
      </c>
      <c r="E332" s="546">
        <v>6</v>
      </c>
      <c r="F332" s="272">
        <f t="shared" si="50"/>
        <v>445.5</v>
      </c>
      <c r="G332" s="546">
        <v>30</v>
      </c>
      <c r="H332" s="669">
        <f t="shared" si="51"/>
        <v>540</v>
      </c>
      <c r="I332" s="321"/>
      <c r="J332" s="549">
        <f>IF(G332&lt;70, C332*E332*16.5*1.5, C332*E332*16.5*1.5)</f>
        <v>445.5</v>
      </c>
      <c r="K332" s="570"/>
      <c r="L332" s="536"/>
      <c r="M332" s="633"/>
      <c r="N332" s="633"/>
      <c r="O332" s="633"/>
      <c r="P332" s="633"/>
      <c r="Q332" s="633"/>
    </row>
    <row r="333" spans="1:17" s="68" customFormat="1" ht="25" customHeight="1">
      <c r="A333" s="544" t="s">
        <v>285</v>
      </c>
      <c r="B333" s="574" t="s">
        <v>467</v>
      </c>
      <c r="C333" s="546">
        <v>3</v>
      </c>
      <c r="D333" s="546">
        <v>1</v>
      </c>
      <c r="E333" s="546">
        <v>6</v>
      </c>
      <c r="F333" s="272">
        <f t="shared" si="50"/>
        <v>445.5</v>
      </c>
      <c r="G333" s="546">
        <v>30</v>
      </c>
      <c r="H333" s="669">
        <f t="shared" si="51"/>
        <v>540</v>
      </c>
      <c r="I333" s="321"/>
      <c r="J333" s="549">
        <f>IF(G333&lt;70, C333*E333*16.5*1.5, C333*E333*16.5*1.5)</f>
        <v>445.5</v>
      </c>
      <c r="K333" s="570"/>
      <c r="L333" s="536"/>
      <c r="M333" s="633"/>
      <c r="N333" s="633"/>
      <c r="O333" s="633"/>
      <c r="P333" s="633"/>
      <c r="Q333" s="633"/>
    </row>
    <row r="334" spans="1:17" s="601" customFormat="1" ht="25" customHeight="1">
      <c r="A334" s="544" t="s">
        <v>286</v>
      </c>
      <c r="B334" s="574" t="s">
        <v>468</v>
      </c>
      <c r="C334" s="546">
        <v>3</v>
      </c>
      <c r="D334" s="546">
        <v>1</v>
      </c>
      <c r="E334" s="546">
        <v>1</v>
      </c>
      <c r="F334" s="272">
        <f t="shared" si="50"/>
        <v>74.25</v>
      </c>
      <c r="G334" s="546">
        <v>30</v>
      </c>
      <c r="H334" s="669">
        <f t="shared" si="51"/>
        <v>90</v>
      </c>
      <c r="I334" s="634"/>
      <c r="J334" s="549">
        <f>IF(G334&lt;70, C334*E334*16.5*1.5, C334*E334*16.5*1.5)</f>
        <v>74.25</v>
      </c>
      <c r="K334" s="564"/>
      <c r="L334" s="635"/>
      <c r="M334" s="633"/>
      <c r="N334" s="633"/>
      <c r="O334" s="633"/>
      <c r="P334" s="633"/>
      <c r="Q334" s="633"/>
    </row>
    <row r="335" spans="1:17" s="601" customFormat="1" ht="25" customHeight="1">
      <c r="A335" s="544" t="s">
        <v>289</v>
      </c>
      <c r="B335" s="574" t="s">
        <v>469</v>
      </c>
      <c r="C335" s="546">
        <v>3</v>
      </c>
      <c r="D335" s="546">
        <v>1</v>
      </c>
      <c r="E335" s="546">
        <v>1</v>
      </c>
      <c r="F335" s="272">
        <f t="shared" si="50"/>
        <v>74.25</v>
      </c>
      <c r="G335" s="546">
        <v>30</v>
      </c>
      <c r="H335" s="669">
        <f t="shared" si="51"/>
        <v>90</v>
      </c>
      <c r="I335" s="634"/>
      <c r="J335" s="549">
        <f>IF(G335&lt;70, C335*E335*16.5*1.5, C335*E335*16.5*1.5)</f>
        <v>74.25</v>
      </c>
      <c r="K335" s="564"/>
      <c r="L335" s="635"/>
      <c r="M335" s="633"/>
      <c r="N335" s="633"/>
      <c r="O335" s="633"/>
      <c r="P335" s="633"/>
      <c r="Q335" s="633"/>
    </row>
    <row r="336" spans="1:17" s="601" customFormat="1" ht="25" customHeight="1">
      <c r="A336" s="544" t="s">
        <v>290</v>
      </c>
      <c r="B336" s="574" t="s">
        <v>463</v>
      </c>
      <c r="C336" s="546">
        <v>3</v>
      </c>
      <c r="D336" s="546">
        <v>1</v>
      </c>
      <c r="E336" s="546">
        <v>1</v>
      </c>
      <c r="F336" s="272">
        <f t="shared" si="50"/>
        <v>74.25</v>
      </c>
      <c r="G336" s="546">
        <v>30</v>
      </c>
      <c r="H336" s="669">
        <f t="shared" si="51"/>
        <v>90</v>
      </c>
      <c r="I336" s="289"/>
      <c r="J336" s="549">
        <f>IF(G336&lt;70, C336*E336*16.5*1.5, C336*E336*16.5*1.5)</f>
        <v>74.25</v>
      </c>
      <c r="K336" s="636"/>
      <c r="L336" s="637"/>
      <c r="M336" s="638"/>
      <c r="N336" s="638"/>
      <c r="O336" s="638"/>
      <c r="P336" s="638"/>
      <c r="Q336" s="638"/>
    </row>
    <row r="337" spans="1:17" s="601" customFormat="1" ht="25" customHeight="1">
      <c r="A337" s="562" t="s">
        <v>148</v>
      </c>
      <c r="B337" s="563" t="s">
        <v>507</v>
      </c>
      <c r="C337" s="546"/>
      <c r="D337" s="546"/>
      <c r="E337" s="546"/>
      <c r="F337" s="669"/>
      <c r="G337" s="546"/>
      <c r="H337" s="669"/>
      <c r="I337" s="289"/>
      <c r="J337" s="479"/>
      <c r="K337" s="636"/>
      <c r="L337" s="637"/>
      <c r="M337" s="638"/>
      <c r="N337" s="638"/>
      <c r="O337" s="638"/>
      <c r="P337" s="638"/>
      <c r="Q337" s="638"/>
    </row>
    <row r="338" spans="1:17" s="601" customFormat="1" ht="25" customHeight="1">
      <c r="A338" s="564" t="s">
        <v>512</v>
      </c>
      <c r="B338" s="544" t="s">
        <v>471</v>
      </c>
      <c r="C338" s="546">
        <v>15</v>
      </c>
      <c r="D338" s="546">
        <v>1</v>
      </c>
      <c r="E338" s="546">
        <v>1</v>
      </c>
      <c r="F338" s="272">
        <f>I338+J338+K338</f>
        <v>175</v>
      </c>
      <c r="G338" s="546">
        <v>5</v>
      </c>
      <c r="H338" s="669">
        <f>C338*G338</f>
        <v>75</v>
      </c>
      <c r="I338" s="288">
        <f>G338*35</f>
        <v>175</v>
      </c>
      <c r="J338" s="479"/>
      <c r="K338" s="636"/>
      <c r="L338" s="639"/>
      <c r="M338" s="639"/>
      <c r="N338" s="639"/>
      <c r="O338" s="639"/>
      <c r="P338" s="639"/>
      <c r="Q338" s="639"/>
    </row>
    <row r="339" spans="1:17" s="601" customFormat="1" ht="25" customHeight="1">
      <c r="A339" s="564" t="s">
        <v>513</v>
      </c>
      <c r="B339" s="544" t="s">
        <v>666</v>
      </c>
      <c r="C339" s="546">
        <v>15</v>
      </c>
      <c r="D339" s="546">
        <v>1</v>
      </c>
      <c r="E339" s="546">
        <v>1</v>
      </c>
      <c r="F339" s="272">
        <f t="shared" ref="F339:F351" si="53">I339+J339+K339</f>
        <v>245</v>
      </c>
      <c r="G339" s="546">
        <v>7</v>
      </c>
      <c r="H339" s="669">
        <f t="shared" ref="H339:H350" si="54">C339*G339</f>
        <v>105</v>
      </c>
      <c r="I339" s="288"/>
      <c r="J339" s="549">
        <v>245</v>
      </c>
      <c r="K339" s="636"/>
      <c r="L339" s="638"/>
      <c r="M339" s="638"/>
      <c r="N339" s="638"/>
      <c r="O339" s="638"/>
      <c r="P339" s="638"/>
      <c r="Q339" s="638"/>
    </row>
    <row r="340" spans="1:17" s="601" customFormat="1" ht="25" customHeight="1">
      <c r="A340" s="564" t="s">
        <v>514</v>
      </c>
      <c r="B340" s="544" t="s">
        <v>472</v>
      </c>
      <c r="C340" s="546">
        <v>15</v>
      </c>
      <c r="D340" s="546">
        <v>1</v>
      </c>
      <c r="E340" s="546">
        <v>1</v>
      </c>
      <c r="F340" s="272">
        <f t="shared" si="53"/>
        <v>175</v>
      </c>
      <c r="G340" s="546">
        <v>5</v>
      </c>
      <c r="H340" s="669">
        <f t="shared" si="54"/>
        <v>75</v>
      </c>
      <c r="I340" s="288">
        <f>G340*35</f>
        <v>175</v>
      </c>
      <c r="J340" s="549"/>
      <c r="K340" s="636"/>
      <c r="L340" s="640"/>
      <c r="M340" s="640"/>
      <c r="N340" s="640"/>
      <c r="O340" s="640"/>
      <c r="P340" s="640"/>
      <c r="Q340" s="640"/>
    </row>
    <row r="341" spans="1:17" s="601" customFormat="1" ht="25" customHeight="1">
      <c r="A341" s="564" t="s">
        <v>515</v>
      </c>
      <c r="B341" s="544" t="s">
        <v>473</v>
      </c>
      <c r="C341" s="546">
        <v>15</v>
      </c>
      <c r="D341" s="546">
        <v>1</v>
      </c>
      <c r="E341" s="546">
        <v>1</v>
      </c>
      <c r="F341" s="272">
        <f t="shared" si="53"/>
        <v>175</v>
      </c>
      <c r="G341" s="546">
        <v>5</v>
      </c>
      <c r="H341" s="669">
        <f t="shared" si="54"/>
        <v>75</v>
      </c>
      <c r="I341" s="289"/>
      <c r="J341" s="549">
        <f>G341*35</f>
        <v>175</v>
      </c>
      <c r="K341" s="636"/>
      <c r="L341" s="637"/>
      <c r="M341" s="1612"/>
      <c r="N341" s="1612"/>
      <c r="O341" s="1612"/>
      <c r="P341" s="1612"/>
      <c r="Q341" s="1612"/>
    </row>
    <row r="342" spans="1:17" s="601" customFormat="1" ht="25" customHeight="1">
      <c r="A342" s="564" t="s">
        <v>516</v>
      </c>
      <c r="B342" s="544" t="s">
        <v>474</v>
      </c>
      <c r="C342" s="546">
        <v>15</v>
      </c>
      <c r="D342" s="546">
        <v>1</v>
      </c>
      <c r="E342" s="546">
        <v>1</v>
      </c>
      <c r="F342" s="272">
        <f t="shared" si="53"/>
        <v>175</v>
      </c>
      <c r="G342" s="546">
        <v>5</v>
      </c>
      <c r="H342" s="669">
        <f t="shared" si="54"/>
        <v>75</v>
      </c>
      <c r="I342" s="289"/>
      <c r="J342" s="549">
        <f>G342*35</f>
        <v>175</v>
      </c>
      <c r="K342" s="636"/>
      <c r="L342" s="637"/>
      <c r="M342" s="638"/>
      <c r="N342" s="638"/>
      <c r="O342" s="638"/>
      <c r="P342" s="638"/>
      <c r="Q342" s="638"/>
    </row>
    <row r="343" spans="1:17" ht="25" customHeight="1">
      <c r="A343" s="564" t="s">
        <v>517</v>
      </c>
      <c r="B343" s="544" t="s">
        <v>508</v>
      </c>
      <c r="C343" s="546">
        <v>15</v>
      </c>
      <c r="D343" s="546">
        <v>1</v>
      </c>
      <c r="E343" s="546">
        <v>1</v>
      </c>
      <c r="F343" s="272">
        <f t="shared" si="53"/>
        <v>175</v>
      </c>
      <c r="G343" s="546">
        <v>5</v>
      </c>
      <c r="H343" s="669">
        <f t="shared" si="54"/>
        <v>75</v>
      </c>
      <c r="I343" s="288">
        <f t="shared" ref="I343:I350" si="55">G343*35</f>
        <v>175</v>
      </c>
      <c r="J343" s="641"/>
      <c r="K343" s="636"/>
      <c r="L343" s="637"/>
      <c r="M343" s="638"/>
      <c r="N343" s="638"/>
      <c r="O343" s="638"/>
      <c r="P343" s="638"/>
      <c r="Q343" s="638"/>
    </row>
    <row r="344" spans="1:17" ht="25" customHeight="1">
      <c r="A344" s="564" t="s">
        <v>518</v>
      </c>
      <c r="B344" s="544" t="s">
        <v>509</v>
      </c>
      <c r="C344" s="546">
        <v>15</v>
      </c>
      <c r="D344" s="546">
        <v>1</v>
      </c>
      <c r="E344" s="546">
        <v>1</v>
      </c>
      <c r="F344" s="272">
        <f t="shared" si="53"/>
        <v>175</v>
      </c>
      <c r="G344" s="546">
        <v>5</v>
      </c>
      <c r="H344" s="669">
        <f t="shared" si="54"/>
        <v>75</v>
      </c>
      <c r="I344" s="288">
        <f t="shared" si="55"/>
        <v>175</v>
      </c>
      <c r="J344" s="641"/>
      <c r="K344" s="636"/>
      <c r="L344" s="637"/>
      <c r="M344" s="642"/>
      <c r="N344" s="642"/>
      <c r="O344" s="642"/>
      <c r="P344" s="642"/>
      <c r="Q344" s="642"/>
    </row>
    <row r="345" spans="1:17" ht="25" customHeight="1">
      <c r="A345" s="564" t="s">
        <v>519</v>
      </c>
      <c r="B345" s="577" t="s">
        <v>510</v>
      </c>
      <c r="C345" s="546">
        <v>15</v>
      </c>
      <c r="D345" s="546">
        <v>1</v>
      </c>
      <c r="E345" s="546">
        <v>1</v>
      </c>
      <c r="F345" s="272">
        <f t="shared" si="53"/>
        <v>175</v>
      </c>
      <c r="G345" s="546">
        <v>5</v>
      </c>
      <c r="H345" s="669">
        <f t="shared" si="54"/>
        <v>75</v>
      </c>
      <c r="I345" s="288">
        <f t="shared" si="55"/>
        <v>175</v>
      </c>
      <c r="J345" s="643"/>
      <c r="K345" s="636"/>
      <c r="L345" s="637"/>
      <c r="M345" s="642"/>
      <c r="N345" s="642"/>
      <c r="O345" s="642"/>
      <c r="P345" s="642"/>
      <c r="Q345" s="642"/>
    </row>
    <row r="346" spans="1:17" ht="25" customHeight="1">
      <c r="A346" s="564" t="s">
        <v>520</v>
      </c>
      <c r="B346" s="577" t="s">
        <v>511</v>
      </c>
      <c r="C346" s="546">
        <v>15</v>
      </c>
      <c r="D346" s="546">
        <v>1</v>
      </c>
      <c r="E346" s="546">
        <v>1</v>
      </c>
      <c r="F346" s="272">
        <f t="shared" si="53"/>
        <v>175</v>
      </c>
      <c r="G346" s="546">
        <v>5</v>
      </c>
      <c r="H346" s="669">
        <f t="shared" si="54"/>
        <v>75</v>
      </c>
      <c r="I346" s="288">
        <f t="shared" si="55"/>
        <v>175</v>
      </c>
      <c r="J346" s="549"/>
      <c r="K346" s="636"/>
      <c r="L346" s="637"/>
      <c r="M346" s="642"/>
      <c r="N346" s="642"/>
      <c r="O346" s="642"/>
      <c r="P346" s="642"/>
      <c r="Q346" s="642"/>
    </row>
    <row r="347" spans="1:17" ht="25" customHeight="1">
      <c r="A347" s="564" t="s">
        <v>521</v>
      </c>
      <c r="B347" s="577" t="s">
        <v>566</v>
      </c>
      <c r="C347" s="546">
        <v>15</v>
      </c>
      <c r="D347" s="546">
        <v>1</v>
      </c>
      <c r="E347" s="546">
        <v>1</v>
      </c>
      <c r="F347" s="272">
        <f t="shared" si="53"/>
        <v>175</v>
      </c>
      <c r="G347" s="546">
        <v>5</v>
      </c>
      <c r="H347" s="669">
        <f t="shared" si="54"/>
        <v>75</v>
      </c>
      <c r="I347" s="288">
        <f t="shared" si="55"/>
        <v>175</v>
      </c>
      <c r="J347" s="549"/>
      <c r="K347" s="636"/>
      <c r="L347" s="637"/>
      <c r="M347" s="642"/>
      <c r="N347" s="642"/>
      <c r="O347" s="642"/>
      <c r="P347" s="642"/>
      <c r="Q347" s="642"/>
    </row>
    <row r="348" spans="1:17" ht="25" customHeight="1">
      <c r="A348" s="564" t="s">
        <v>667</v>
      </c>
      <c r="B348" s="577" t="s">
        <v>668</v>
      </c>
      <c r="C348" s="546">
        <v>15</v>
      </c>
      <c r="D348" s="546">
        <v>1</v>
      </c>
      <c r="E348" s="546">
        <v>1</v>
      </c>
      <c r="F348" s="272">
        <f t="shared" si="53"/>
        <v>175</v>
      </c>
      <c r="G348" s="546">
        <v>5</v>
      </c>
      <c r="H348" s="669">
        <f t="shared" si="54"/>
        <v>75</v>
      </c>
      <c r="I348" s="288">
        <f t="shared" si="55"/>
        <v>175</v>
      </c>
      <c r="J348" s="549"/>
      <c r="K348" s="636"/>
      <c r="L348" s="637"/>
      <c r="M348" s="642"/>
      <c r="N348" s="642"/>
      <c r="O348" s="642"/>
      <c r="P348" s="642"/>
      <c r="Q348" s="642"/>
    </row>
    <row r="349" spans="1:17" ht="25" customHeight="1">
      <c r="A349" s="564" t="s">
        <v>669</v>
      </c>
      <c r="B349" s="577" t="s">
        <v>670</v>
      </c>
      <c r="C349" s="546">
        <v>15</v>
      </c>
      <c r="D349" s="546">
        <v>1</v>
      </c>
      <c r="E349" s="546">
        <v>1</v>
      </c>
      <c r="F349" s="272">
        <f t="shared" si="53"/>
        <v>140</v>
      </c>
      <c r="G349" s="546">
        <v>2</v>
      </c>
      <c r="H349" s="669">
        <f>C349*G349</f>
        <v>30</v>
      </c>
      <c r="I349" s="288">
        <f t="shared" si="55"/>
        <v>70</v>
      </c>
      <c r="J349" s="549">
        <f>G349*35</f>
        <v>70</v>
      </c>
      <c r="K349" s="636"/>
      <c r="L349" s="637"/>
      <c r="M349" s="642"/>
      <c r="N349" s="642"/>
      <c r="O349" s="642"/>
      <c r="P349" s="642"/>
      <c r="Q349" s="642"/>
    </row>
    <row r="350" spans="1:17" ht="25" customHeight="1">
      <c r="A350" s="564" t="s">
        <v>671</v>
      </c>
      <c r="B350" s="577" t="s">
        <v>672</v>
      </c>
      <c r="C350" s="546">
        <v>15</v>
      </c>
      <c r="D350" s="546">
        <v>1</v>
      </c>
      <c r="E350" s="546">
        <v>1</v>
      </c>
      <c r="F350" s="272">
        <f t="shared" si="53"/>
        <v>140</v>
      </c>
      <c r="G350" s="546">
        <v>2</v>
      </c>
      <c r="H350" s="669">
        <f t="shared" si="54"/>
        <v>30</v>
      </c>
      <c r="I350" s="288">
        <f t="shared" si="55"/>
        <v>70</v>
      </c>
      <c r="J350" s="549">
        <f>G350*35</f>
        <v>70</v>
      </c>
      <c r="K350" s="636"/>
      <c r="L350" s="637"/>
      <c r="M350" s="644"/>
      <c r="N350" s="644"/>
      <c r="O350" s="644"/>
      <c r="P350" s="644"/>
      <c r="Q350" s="644"/>
    </row>
    <row r="351" spans="1:17" ht="25" customHeight="1">
      <c r="A351" s="616"/>
      <c r="B351" s="645" t="s">
        <v>673</v>
      </c>
      <c r="C351" s="546">
        <v>15</v>
      </c>
      <c r="D351" s="546">
        <v>1</v>
      </c>
      <c r="E351" s="546">
        <v>1</v>
      </c>
      <c r="F351" s="272">
        <f t="shared" si="53"/>
        <v>2030</v>
      </c>
      <c r="G351" s="546">
        <v>58</v>
      </c>
      <c r="H351" s="669">
        <f>C351*G351</f>
        <v>870</v>
      </c>
      <c r="I351" s="288"/>
      <c r="J351" s="549"/>
      <c r="K351" s="549">
        <f>G351*35</f>
        <v>2030</v>
      </c>
      <c r="L351" s="637"/>
      <c r="M351" s="638"/>
      <c r="N351" s="638"/>
      <c r="O351" s="638"/>
      <c r="P351" s="638"/>
      <c r="Q351" s="638"/>
    </row>
    <row r="352" spans="1:17" ht="25" customHeight="1">
      <c r="A352" s="565"/>
      <c r="B352" s="566" t="s">
        <v>380</v>
      </c>
      <c r="C352" s="567">
        <f>SUM(C324:C351)</f>
        <v>249</v>
      </c>
      <c r="D352" s="567">
        <f t="shared" ref="D352:K352" si="56">SUM(D324:D351)</f>
        <v>27</v>
      </c>
      <c r="E352" s="567">
        <f t="shared" si="56"/>
        <v>57</v>
      </c>
      <c r="F352" s="567">
        <f t="shared" si="56"/>
        <v>7497.75</v>
      </c>
      <c r="G352" s="567">
        <f t="shared" si="56"/>
        <v>509</v>
      </c>
      <c r="H352" s="567">
        <f t="shared" si="56"/>
        <v>5655</v>
      </c>
      <c r="I352" s="567">
        <f t="shared" si="56"/>
        <v>3619</v>
      </c>
      <c r="J352" s="567">
        <f t="shared" si="56"/>
        <v>1848.75</v>
      </c>
      <c r="K352" s="567">
        <f t="shared" si="56"/>
        <v>2030</v>
      </c>
      <c r="L352" s="637"/>
      <c r="M352" s="638"/>
      <c r="N352" s="638"/>
      <c r="O352" s="638"/>
      <c r="P352" s="638"/>
      <c r="Q352" s="638"/>
    </row>
    <row r="353" spans="1:17" ht="25" customHeight="1">
      <c r="A353" s="570">
        <v>3</v>
      </c>
      <c r="B353" s="570" t="s">
        <v>166</v>
      </c>
      <c r="C353" s="546"/>
      <c r="D353" s="546"/>
      <c r="E353" s="546"/>
      <c r="F353" s="272"/>
      <c r="G353" s="546"/>
      <c r="H353" s="669"/>
      <c r="I353" s="288"/>
      <c r="J353" s="479"/>
      <c r="K353" s="636"/>
      <c r="L353" s="637"/>
      <c r="M353" s="638"/>
      <c r="N353" s="638"/>
      <c r="O353" s="638"/>
      <c r="P353" s="638"/>
      <c r="Q353" s="638"/>
    </row>
    <row r="354" spans="1:17" ht="25" customHeight="1">
      <c r="A354" s="571" t="s">
        <v>147</v>
      </c>
      <c r="B354" s="572" t="s">
        <v>167</v>
      </c>
      <c r="C354" s="546"/>
      <c r="D354" s="546"/>
      <c r="E354" s="546"/>
      <c r="F354" s="272"/>
      <c r="G354" s="546"/>
      <c r="H354" s="669"/>
      <c r="I354" s="288"/>
      <c r="J354" s="479"/>
      <c r="K354" s="636"/>
      <c r="L354" s="637"/>
      <c r="M354" s="638"/>
      <c r="N354" s="638"/>
      <c r="O354" s="638"/>
      <c r="P354" s="638"/>
      <c r="Q354" s="638"/>
    </row>
    <row r="355" spans="1:17" ht="25" customHeight="1">
      <c r="A355" s="544" t="s">
        <v>226</v>
      </c>
      <c r="B355" s="573" t="s">
        <v>475</v>
      </c>
      <c r="C355" s="546">
        <v>3</v>
      </c>
      <c r="D355" s="546">
        <v>1</v>
      </c>
      <c r="E355" s="546">
        <v>1</v>
      </c>
      <c r="F355" s="669">
        <f>I355+J355+K355</f>
        <v>99</v>
      </c>
      <c r="G355" s="546">
        <v>11</v>
      </c>
      <c r="H355" s="669">
        <f>C355*E355*G355</f>
        <v>33</v>
      </c>
      <c r="I355" s="288">
        <f>IF(G355&lt;70, C355*E355*16.5*2, C355*E355*16.5*2)</f>
        <v>99</v>
      </c>
      <c r="J355" s="479"/>
      <c r="K355" s="636"/>
      <c r="L355" s="637"/>
      <c r="M355" s="638"/>
      <c r="N355" s="638"/>
      <c r="O355" s="638"/>
      <c r="P355" s="638"/>
      <c r="Q355" s="638"/>
    </row>
    <row r="356" spans="1:17" ht="25" customHeight="1">
      <c r="A356" s="544" t="s">
        <v>227</v>
      </c>
      <c r="B356" s="573" t="s">
        <v>476</v>
      </c>
      <c r="C356" s="546">
        <v>3</v>
      </c>
      <c r="D356" s="546">
        <v>1</v>
      </c>
      <c r="E356" s="546">
        <v>1</v>
      </c>
      <c r="F356" s="669">
        <f>I356+J356+K356</f>
        <v>99</v>
      </c>
      <c r="G356" s="546">
        <v>11</v>
      </c>
      <c r="H356" s="669">
        <f>C356*E356*G356</f>
        <v>33</v>
      </c>
      <c r="I356" s="288">
        <f>IF(G356&lt;70, C356*E356*16.5*2, C356*E356*16.5*2)</f>
        <v>99</v>
      </c>
      <c r="J356" s="479"/>
      <c r="K356" s="636"/>
      <c r="L356" s="637"/>
      <c r="M356" s="638"/>
      <c r="N356" s="638"/>
      <c r="O356" s="638"/>
      <c r="P356" s="638"/>
      <c r="Q356" s="638"/>
    </row>
    <row r="357" spans="1:17" ht="25" customHeight="1">
      <c r="A357" s="564" t="s">
        <v>477</v>
      </c>
      <c r="B357" s="544" t="s">
        <v>478</v>
      </c>
      <c r="C357" s="546">
        <v>3</v>
      </c>
      <c r="D357" s="546">
        <v>1</v>
      </c>
      <c r="E357" s="546">
        <v>1</v>
      </c>
      <c r="F357" s="669">
        <f>I357+J357+K357</f>
        <v>99</v>
      </c>
      <c r="G357" s="546">
        <v>11</v>
      </c>
      <c r="H357" s="669">
        <f>C357*E357*G357</f>
        <v>33</v>
      </c>
      <c r="I357" s="288">
        <f>IF(G357&lt;70, C357*E357*16.5*2, C357*E357*16.5*2)</f>
        <v>99</v>
      </c>
      <c r="J357" s="479"/>
      <c r="K357" s="636"/>
      <c r="L357" s="637"/>
      <c r="M357" s="638"/>
      <c r="N357" s="638"/>
      <c r="O357" s="638"/>
      <c r="P357" s="638"/>
      <c r="Q357" s="638"/>
    </row>
    <row r="358" spans="1:17" ht="25" customHeight="1">
      <c r="A358" s="562" t="s">
        <v>148</v>
      </c>
      <c r="B358" s="563" t="s">
        <v>168</v>
      </c>
      <c r="C358" s="546"/>
      <c r="D358" s="546"/>
      <c r="E358" s="546"/>
      <c r="F358" s="272"/>
      <c r="G358" s="546"/>
      <c r="H358" s="669"/>
      <c r="I358" s="289"/>
      <c r="J358" s="479"/>
      <c r="K358" s="636"/>
      <c r="L358" s="637"/>
      <c r="M358" s="638"/>
      <c r="N358" s="638"/>
      <c r="O358" s="638"/>
      <c r="P358" s="638"/>
      <c r="Q358" s="638"/>
    </row>
    <row r="359" spans="1:17" ht="25" customHeight="1">
      <c r="A359" s="562"/>
      <c r="B359" s="563" t="s">
        <v>674</v>
      </c>
      <c r="C359" s="546"/>
      <c r="D359" s="546"/>
      <c r="E359" s="546"/>
      <c r="F359" s="683">
        <f>I359+J359+K359</f>
        <v>1440</v>
      </c>
      <c r="G359" s="546"/>
      <c r="H359" s="669"/>
      <c r="I359" s="289">
        <v>1440</v>
      </c>
      <c r="J359" s="479"/>
      <c r="K359" s="636"/>
      <c r="L359" s="637"/>
      <c r="M359" s="638"/>
      <c r="N359" s="638"/>
      <c r="O359" s="638"/>
      <c r="P359" s="638"/>
      <c r="Q359" s="638" t="s">
        <v>707</v>
      </c>
    </row>
    <row r="360" spans="1:17" ht="25" customHeight="1">
      <c r="A360" s="562"/>
      <c r="B360" s="563" t="s">
        <v>675</v>
      </c>
      <c r="C360" s="546"/>
      <c r="D360" s="546"/>
      <c r="E360" s="546"/>
      <c r="F360" s="669"/>
      <c r="G360" s="546"/>
      <c r="H360" s="669"/>
      <c r="I360" s="289"/>
      <c r="J360" s="479"/>
      <c r="K360" s="636"/>
      <c r="L360" s="637"/>
      <c r="M360" s="638"/>
      <c r="N360" s="638"/>
      <c r="O360" s="638"/>
      <c r="P360" s="638"/>
      <c r="Q360" s="638"/>
    </row>
    <row r="361" spans="1:17" ht="25" customHeight="1">
      <c r="A361" s="562"/>
      <c r="B361" s="563" t="s">
        <v>479</v>
      </c>
      <c r="C361" s="546"/>
      <c r="D361" s="546"/>
      <c r="E361" s="546"/>
      <c r="F361" s="669"/>
      <c r="G361" s="546"/>
      <c r="H361" s="669"/>
      <c r="I361" s="289"/>
      <c r="J361" s="479"/>
      <c r="K361" s="636"/>
      <c r="L361" s="637"/>
      <c r="M361" s="638"/>
      <c r="N361" s="638"/>
      <c r="O361" s="638"/>
      <c r="P361" s="638"/>
      <c r="Q361" s="638"/>
    </row>
    <row r="362" spans="1:17" ht="25" customHeight="1">
      <c r="A362" s="564"/>
      <c r="B362" s="544" t="s">
        <v>480</v>
      </c>
      <c r="C362" s="546"/>
      <c r="D362" s="546"/>
      <c r="E362" s="546"/>
      <c r="F362" s="272"/>
      <c r="G362" s="546"/>
      <c r="H362" s="669"/>
      <c r="I362" s="289"/>
      <c r="J362" s="479"/>
      <c r="K362" s="636"/>
      <c r="L362" s="637"/>
      <c r="M362" s="638"/>
      <c r="N362" s="638"/>
      <c r="O362" s="638"/>
      <c r="P362" s="638"/>
      <c r="Q362" s="638"/>
    </row>
    <row r="363" spans="1:17" ht="25" customHeight="1">
      <c r="A363" s="562" t="s">
        <v>169</v>
      </c>
      <c r="B363" s="563" t="s">
        <v>170</v>
      </c>
      <c r="C363" s="546"/>
      <c r="D363" s="546"/>
      <c r="E363" s="546"/>
      <c r="F363" s="272"/>
      <c r="G363" s="546"/>
      <c r="H363" s="669"/>
      <c r="I363" s="289"/>
      <c r="J363" s="479"/>
      <c r="K363" s="636"/>
      <c r="L363" s="637"/>
      <c r="M363" s="638"/>
      <c r="N363" s="638"/>
      <c r="O363" s="638"/>
      <c r="P363" s="638"/>
      <c r="Q363" s="638"/>
    </row>
    <row r="364" spans="1:17" ht="25" customHeight="1">
      <c r="A364" s="564"/>
      <c r="B364" s="544" t="s">
        <v>708</v>
      </c>
      <c r="C364" s="546"/>
      <c r="D364" s="546"/>
      <c r="E364" s="546"/>
      <c r="F364" s="683">
        <f>I364+J364+K364</f>
        <v>1000</v>
      </c>
      <c r="G364" s="546"/>
      <c r="H364" s="541"/>
      <c r="I364" s="541">
        <v>1000</v>
      </c>
      <c r="J364" s="479"/>
      <c r="K364" s="636"/>
      <c r="L364" s="637"/>
      <c r="M364" s="638"/>
      <c r="N364" s="638"/>
      <c r="O364" s="638"/>
      <c r="P364" s="638"/>
      <c r="Q364" s="638"/>
    </row>
    <row r="365" spans="1:17" ht="25" customHeight="1">
      <c r="A365" s="564"/>
      <c r="B365" s="544" t="s">
        <v>481</v>
      </c>
      <c r="C365" s="546"/>
      <c r="D365" s="546"/>
      <c r="E365" s="546"/>
      <c r="F365" s="683">
        <f>I365+J365+K365</f>
        <v>0</v>
      </c>
      <c r="G365" s="546"/>
      <c r="H365" s="669"/>
      <c r="I365" s="289"/>
      <c r="J365" s="479"/>
      <c r="K365" s="636"/>
      <c r="L365" s="637"/>
      <c r="M365" s="638"/>
      <c r="N365" s="638"/>
      <c r="O365" s="638"/>
      <c r="P365" s="638"/>
      <c r="Q365" s="638"/>
    </row>
    <row r="366" spans="1:17" ht="25" customHeight="1">
      <c r="A366" s="564"/>
      <c r="B366" s="544" t="s">
        <v>480</v>
      </c>
      <c r="C366" s="546"/>
      <c r="D366" s="546"/>
      <c r="E366" s="546"/>
      <c r="F366" s="683">
        <f>I366+J366+K366</f>
        <v>550</v>
      </c>
      <c r="G366" s="546"/>
      <c r="H366" s="669"/>
      <c r="I366" s="289"/>
      <c r="J366" s="479">
        <v>550</v>
      </c>
      <c r="K366" s="636"/>
      <c r="L366" s="637"/>
      <c r="M366" s="638"/>
      <c r="N366" s="638"/>
      <c r="O366" s="638"/>
      <c r="P366" s="638"/>
      <c r="Q366" s="638"/>
    </row>
    <row r="367" spans="1:17" ht="25" customHeight="1">
      <c r="A367" s="565"/>
      <c r="B367" s="566" t="s">
        <v>380</v>
      </c>
      <c r="C367" s="567">
        <f>SUM(C355:C366)</f>
        <v>9</v>
      </c>
      <c r="D367" s="567">
        <f t="shared" ref="D367:K367" si="57">SUM(D355:D366)</f>
        <v>3</v>
      </c>
      <c r="E367" s="567">
        <f t="shared" si="57"/>
        <v>3</v>
      </c>
      <c r="F367" s="567">
        <f>SUM(F355:F366)</f>
        <v>3287</v>
      </c>
      <c r="G367" s="567">
        <f t="shared" si="57"/>
        <v>33</v>
      </c>
      <c r="H367" s="567">
        <f t="shared" si="57"/>
        <v>99</v>
      </c>
      <c r="I367" s="567">
        <f t="shared" si="57"/>
        <v>2737</v>
      </c>
      <c r="J367" s="567">
        <f t="shared" si="57"/>
        <v>550</v>
      </c>
      <c r="K367" s="567">
        <f t="shared" si="57"/>
        <v>0</v>
      </c>
      <c r="L367" s="637"/>
      <c r="M367" s="638"/>
      <c r="N367" s="638"/>
      <c r="O367" s="638"/>
      <c r="P367" s="638"/>
      <c r="Q367" s="638"/>
    </row>
    <row r="368" spans="1:17" ht="25" customHeight="1">
      <c r="A368" s="604" t="s">
        <v>502</v>
      </c>
      <c r="B368" s="604" t="s">
        <v>503</v>
      </c>
      <c r="C368" s="546"/>
      <c r="D368" s="546"/>
      <c r="E368" s="546"/>
      <c r="F368" s="272"/>
      <c r="G368" s="546"/>
      <c r="H368" s="669"/>
      <c r="I368" s="288"/>
      <c r="J368" s="479"/>
      <c r="K368" s="636"/>
      <c r="L368" s="637"/>
      <c r="M368" s="638"/>
      <c r="N368" s="638"/>
      <c r="O368" s="638"/>
      <c r="P368" s="638"/>
      <c r="Q368" s="638"/>
    </row>
    <row r="369" spans="1:17" ht="25" customHeight="1">
      <c r="A369" s="604">
        <v>1</v>
      </c>
      <c r="B369" s="605" t="s">
        <v>225</v>
      </c>
      <c r="C369" s="546"/>
      <c r="D369" s="546"/>
      <c r="E369" s="546"/>
      <c r="F369" s="272"/>
      <c r="G369" s="546"/>
      <c r="H369" s="669"/>
      <c r="I369" s="288"/>
      <c r="J369" s="479"/>
      <c r="K369" s="636"/>
      <c r="L369" s="637"/>
      <c r="M369" s="638"/>
      <c r="N369" s="638"/>
      <c r="O369" s="638"/>
      <c r="P369" s="638"/>
      <c r="Q369" s="638"/>
    </row>
    <row r="370" spans="1:17" ht="25" customHeight="1">
      <c r="A370" s="604" t="s">
        <v>381</v>
      </c>
      <c r="B370" s="605" t="s">
        <v>163</v>
      </c>
      <c r="C370" s="546"/>
      <c r="D370" s="546"/>
      <c r="E370" s="546"/>
      <c r="F370" s="669"/>
      <c r="G370" s="546"/>
      <c r="H370" s="541"/>
      <c r="I370" s="541"/>
      <c r="J370" s="479"/>
      <c r="K370" s="636"/>
      <c r="L370" s="637"/>
      <c r="M370" s="638"/>
      <c r="N370" s="638"/>
      <c r="O370" s="638"/>
      <c r="P370" s="638"/>
      <c r="Q370" s="638"/>
    </row>
    <row r="371" spans="1:17" s="649" customFormat="1" ht="25" customHeight="1">
      <c r="A371" s="580" t="s">
        <v>226</v>
      </c>
      <c r="B371" s="646" t="s">
        <v>677</v>
      </c>
      <c r="C371" s="582">
        <v>2</v>
      </c>
      <c r="D371" s="582">
        <v>1</v>
      </c>
      <c r="E371" s="582">
        <v>5</v>
      </c>
      <c r="F371" s="619">
        <f>I371+J371+K371</f>
        <v>165</v>
      </c>
      <c r="G371" s="352">
        <v>40</v>
      </c>
      <c r="H371" s="669">
        <f>C371*E371*G371</f>
        <v>400</v>
      </c>
      <c r="I371" s="288">
        <f>IF(G371&lt;70, C371*E371*16.5*1, C371*E371*16.5*1.3)</f>
        <v>165</v>
      </c>
      <c r="J371" s="479"/>
      <c r="K371" s="636"/>
      <c r="L371" s="647"/>
      <c r="M371" s="648"/>
      <c r="N371" s="648"/>
      <c r="O371" s="648"/>
      <c r="P371" s="648"/>
      <c r="Q371" s="648"/>
    </row>
    <row r="372" spans="1:17" s="649" customFormat="1" ht="25" customHeight="1">
      <c r="A372" s="580" t="s">
        <v>226</v>
      </c>
      <c r="B372" s="646" t="s">
        <v>678</v>
      </c>
      <c r="C372" s="582">
        <v>2</v>
      </c>
      <c r="D372" s="582">
        <v>1</v>
      </c>
      <c r="E372" s="582">
        <v>4</v>
      </c>
      <c r="F372" s="619">
        <f>I372+J372+K372</f>
        <v>132</v>
      </c>
      <c r="G372" s="352">
        <v>40</v>
      </c>
      <c r="H372" s="669">
        <f>C372*E372*G372</f>
        <v>320</v>
      </c>
      <c r="I372" s="288">
        <f>IF(G372&lt;70, C372*E372*16.5*1, C372*E372*16.5*1.3)</f>
        <v>132</v>
      </c>
      <c r="J372" s="479"/>
      <c r="K372" s="636"/>
      <c r="L372" s="650"/>
      <c r="M372" s="651"/>
      <c r="N372" s="651"/>
      <c r="O372" s="651"/>
      <c r="P372" s="651"/>
      <c r="Q372" s="651"/>
    </row>
    <row r="373" spans="1:17" s="649" customFormat="1" ht="25" customHeight="1">
      <c r="A373" s="580" t="s">
        <v>227</v>
      </c>
      <c r="B373" s="646" t="s">
        <v>679</v>
      </c>
      <c r="C373" s="582">
        <v>2</v>
      </c>
      <c r="D373" s="582">
        <v>1</v>
      </c>
      <c r="E373" s="582">
        <v>4</v>
      </c>
      <c r="F373" s="619">
        <f>I373+J373+K373</f>
        <v>132</v>
      </c>
      <c r="G373" s="352">
        <v>40</v>
      </c>
      <c r="H373" s="669">
        <f>C373*E373*G373</f>
        <v>320</v>
      </c>
      <c r="I373" s="288">
        <f>IF(G373&lt;70, C373*E373*16.5*1, C373*E373*16.5*1.3)</f>
        <v>132</v>
      </c>
      <c r="J373" s="479"/>
      <c r="K373" s="636"/>
      <c r="L373" s="652"/>
      <c r="M373" s="652"/>
      <c r="N373" s="652"/>
      <c r="O373" s="652"/>
      <c r="P373" s="652"/>
      <c r="Q373" s="651"/>
    </row>
    <row r="374" spans="1:17" s="649" customFormat="1" ht="25" customHeight="1">
      <c r="A374" s="565"/>
      <c r="B374" s="566" t="s">
        <v>380</v>
      </c>
      <c r="C374" s="567">
        <f>SUM(C371:C373)</f>
        <v>6</v>
      </c>
      <c r="D374" s="567">
        <f t="shared" ref="D374:K374" si="58">SUM(D371:D373)</f>
        <v>3</v>
      </c>
      <c r="E374" s="567">
        <f t="shared" si="58"/>
        <v>13</v>
      </c>
      <c r="F374" s="567">
        <f t="shared" si="58"/>
        <v>429</v>
      </c>
      <c r="G374" s="567">
        <f t="shared" si="58"/>
        <v>120</v>
      </c>
      <c r="H374" s="567">
        <f t="shared" si="58"/>
        <v>1040</v>
      </c>
      <c r="I374" s="567">
        <f t="shared" si="58"/>
        <v>429</v>
      </c>
      <c r="J374" s="567">
        <f t="shared" si="58"/>
        <v>0</v>
      </c>
      <c r="K374" s="567">
        <f t="shared" si="58"/>
        <v>0</v>
      </c>
      <c r="L374" s="653"/>
      <c r="M374" s="653"/>
      <c r="N374" s="653"/>
      <c r="O374" s="653"/>
      <c r="P374" s="653"/>
      <c r="Q374" s="651"/>
    </row>
    <row r="375" spans="1:17" s="649" customFormat="1" ht="25" customHeight="1">
      <c r="A375" s="616"/>
      <c r="B375" s="617" t="s">
        <v>482</v>
      </c>
      <c r="C375" s="492">
        <f>C321+C352+C367+C374</f>
        <v>342</v>
      </c>
      <c r="D375" s="492">
        <f t="shared" ref="D375:K375" si="59">D321+D352+D367+D374</f>
        <v>59.6</v>
      </c>
      <c r="E375" s="492">
        <f t="shared" si="59"/>
        <v>104</v>
      </c>
      <c r="F375" s="492">
        <f t="shared" si="59"/>
        <v>12642.5</v>
      </c>
      <c r="G375" s="492">
        <f t="shared" si="59"/>
        <v>2063</v>
      </c>
      <c r="H375" s="492">
        <f t="shared" si="59"/>
        <v>10812</v>
      </c>
      <c r="I375" s="492">
        <f t="shared" si="59"/>
        <v>8213.75</v>
      </c>
      <c r="J375" s="492">
        <f t="shared" si="59"/>
        <v>2398.75</v>
      </c>
      <c r="K375" s="492">
        <f t="shared" si="59"/>
        <v>2030</v>
      </c>
      <c r="L375" s="654">
        <f>'Bieu3 QLGD'!F25</f>
        <v>1890</v>
      </c>
      <c r="M375" s="654">
        <f>'Bieu3 QLGD'!N25</f>
        <v>1606.5</v>
      </c>
      <c r="N375" s="654">
        <f>I375-M375</f>
        <v>6607.25</v>
      </c>
      <c r="O375" s="654">
        <f>'Bieu3 QLGD'!O25</f>
        <v>1266.75</v>
      </c>
      <c r="P375" s="654">
        <f>'Bieu3 QLGD'!P25</f>
        <v>650</v>
      </c>
      <c r="Q375" s="655" t="s">
        <v>709</v>
      </c>
    </row>
    <row r="376" spans="1:17" s="649" customFormat="1" ht="25" customHeight="1">
      <c r="A376" s="656"/>
      <c r="B376" s="657"/>
      <c r="C376" s="658"/>
      <c r="D376" s="658"/>
      <c r="E376" s="659"/>
      <c r="F376" s="658"/>
      <c r="G376" s="658"/>
      <c r="H376" s="658"/>
      <c r="I376" s="658"/>
      <c r="J376" s="658"/>
      <c r="K376" s="660"/>
      <c r="L376" s="653"/>
      <c r="M376" s="653"/>
      <c r="N376" s="653"/>
      <c r="O376" s="653"/>
      <c r="P376" s="653"/>
      <c r="Q376" s="651"/>
    </row>
    <row r="377" spans="1:17" ht="25" customHeight="1">
      <c r="A377" s="536" t="s">
        <v>7</v>
      </c>
      <c r="B377" s="536" t="s">
        <v>162</v>
      </c>
      <c r="C377" s="541">
        <f t="shared" ref="C377:P377" si="60">C63+C207+C243+C321+C150</f>
        <v>315</v>
      </c>
      <c r="D377" s="541">
        <f t="shared" si="60"/>
        <v>119.28</v>
      </c>
      <c r="E377" s="541">
        <f t="shared" si="60"/>
        <v>367</v>
      </c>
      <c r="F377" s="541">
        <f t="shared" si="60"/>
        <v>19452.900000000001</v>
      </c>
      <c r="G377" s="541">
        <f t="shared" si="60"/>
        <v>6143</v>
      </c>
      <c r="H377" s="541">
        <f t="shared" si="60"/>
        <v>53107</v>
      </c>
      <c r="I377" s="541">
        <f t="shared" si="60"/>
        <v>19353.900000000001</v>
      </c>
      <c r="J377" s="541">
        <f t="shared" si="60"/>
        <v>99</v>
      </c>
      <c r="K377" s="541">
        <f t="shared" si="60"/>
        <v>0</v>
      </c>
      <c r="L377" s="541">
        <f t="shared" si="60"/>
        <v>0</v>
      </c>
      <c r="M377" s="541">
        <f t="shared" si="60"/>
        <v>0</v>
      </c>
      <c r="N377" s="541">
        <f t="shared" si="60"/>
        <v>0</v>
      </c>
      <c r="O377" s="541">
        <f t="shared" si="60"/>
        <v>0</v>
      </c>
      <c r="P377" s="541">
        <f t="shared" si="60"/>
        <v>0</v>
      </c>
      <c r="Q377" s="272"/>
    </row>
    <row r="378" spans="1:17" ht="25" customHeight="1">
      <c r="A378" s="661" t="s">
        <v>8</v>
      </c>
      <c r="B378" s="536" t="s">
        <v>172</v>
      </c>
      <c r="C378" s="541">
        <f t="shared" ref="C378:K378" si="61">C352+C262+C217+C162+C74</f>
        <v>351</v>
      </c>
      <c r="D378" s="541">
        <f t="shared" si="61"/>
        <v>53</v>
      </c>
      <c r="E378" s="541">
        <f t="shared" si="61"/>
        <v>93</v>
      </c>
      <c r="F378" s="541">
        <f t="shared" si="61"/>
        <v>10512.25</v>
      </c>
      <c r="G378" s="541">
        <f t="shared" si="61"/>
        <v>844</v>
      </c>
      <c r="H378" s="541">
        <f t="shared" si="61"/>
        <v>7398</v>
      </c>
      <c r="I378" s="541">
        <f t="shared" si="61"/>
        <v>6485</v>
      </c>
      <c r="J378" s="541">
        <f t="shared" si="61"/>
        <v>1848.75</v>
      </c>
      <c r="K378" s="541">
        <f t="shared" si="61"/>
        <v>2178.5</v>
      </c>
      <c r="L378" s="541">
        <v>0</v>
      </c>
      <c r="M378" s="541">
        <v>0</v>
      </c>
      <c r="N378" s="541">
        <v>0</v>
      </c>
      <c r="O378" s="541">
        <v>0</v>
      </c>
      <c r="P378" s="541">
        <v>0</v>
      </c>
      <c r="Q378" s="272"/>
    </row>
    <row r="379" spans="1:17" ht="25" customHeight="1">
      <c r="A379" s="661" t="s">
        <v>25</v>
      </c>
      <c r="B379" s="540" t="s">
        <v>166</v>
      </c>
      <c r="C379" s="541">
        <f>C367</f>
        <v>9</v>
      </c>
      <c r="D379" s="541">
        <f>D364+D260</f>
        <v>0</v>
      </c>
      <c r="E379" s="541">
        <f>E367</f>
        <v>3</v>
      </c>
      <c r="F379" s="541">
        <f t="shared" ref="F379:K379" si="62">F367</f>
        <v>3287</v>
      </c>
      <c r="G379" s="541">
        <f t="shared" si="62"/>
        <v>33</v>
      </c>
      <c r="H379" s="541">
        <f t="shared" si="62"/>
        <v>99</v>
      </c>
      <c r="I379" s="541">
        <f t="shared" si="62"/>
        <v>2737</v>
      </c>
      <c r="J379" s="541">
        <f t="shared" si="62"/>
        <v>550</v>
      </c>
      <c r="K379" s="541">
        <f t="shared" si="62"/>
        <v>0</v>
      </c>
      <c r="L379" s="541">
        <v>0</v>
      </c>
      <c r="M379" s="541">
        <v>0</v>
      </c>
      <c r="N379" s="541">
        <v>0</v>
      </c>
      <c r="O379" s="541">
        <v>0</v>
      </c>
      <c r="P379" s="541">
        <v>0</v>
      </c>
      <c r="Q379" s="272"/>
    </row>
    <row r="380" spans="1:17" ht="25" customHeight="1">
      <c r="A380" s="661"/>
      <c r="B380" s="540" t="s">
        <v>542</v>
      </c>
      <c r="C380" s="541">
        <f t="shared" ref="C380:K380" si="63">C374+C277+C224+C184+C103</f>
        <v>124</v>
      </c>
      <c r="D380" s="541">
        <f t="shared" si="63"/>
        <v>37</v>
      </c>
      <c r="E380" s="541">
        <f t="shared" si="63"/>
        <v>298</v>
      </c>
      <c r="F380" s="541">
        <f t="shared" si="63"/>
        <v>21781.65</v>
      </c>
      <c r="G380" s="541">
        <f t="shared" si="63"/>
        <v>1940</v>
      </c>
      <c r="H380" s="541">
        <f t="shared" si="63"/>
        <v>61440</v>
      </c>
      <c r="I380" s="541">
        <f t="shared" si="63"/>
        <v>21781.65</v>
      </c>
      <c r="J380" s="541">
        <f t="shared" si="63"/>
        <v>0</v>
      </c>
      <c r="K380" s="541">
        <f t="shared" si="63"/>
        <v>0</v>
      </c>
      <c r="L380" s="541">
        <v>0</v>
      </c>
      <c r="M380" s="541">
        <v>0</v>
      </c>
      <c r="N380" s="541">
        <v>0</v>
      </c>
      <c r="O380" s="541">
        <v>0</v>
      </c>
      <c r="P380" s="541">
        <v>0</v>
      </c>
      <c r="Q380" s="272"/>
    </row>
    <row r="381" spans="1:17" ht="25" customHeight="1">
      <c r="A381" s="661"/>
      <c r="B381" s="540" t="s">
        <v>543</v>
      </c>
      <c r="C381" s="541">
        <v>0</v>
      </c>
      <c r="D381" s="541"/>
      <c r="E381" s="541">
        <v>0</v>
      </c>
      <c r="F381" s="541">
        <v>0</v>
      </c>
      <c r="G381" s="541">
        <v>0</v>
      </c>
      <c r="H381" s="541">
        <v>0</v>
      </c>
      <c r="I381" s="541">
        <v>0</v>
      </c>
      <c r="J381" s="541">
        <v>0</v>
      </c>
      <c r="K381" s="662">
        <v>0</v>
      </c>
      <c r="L381" s="662">
        <v>0</v>
      </c>
      <c r="M381" s="662">
        <v>0</v>
      </c>
      <c r="N381" s="662">
        <v>0</v>
      </c>
      <c r="O381" s="662">
        <v>0</v>
      </c>
      <c r="P381" s="662">
        <v>0</v>
      </c>
      <c r="Q381" s="272"/>
    </row>
    <row r="382" spans="1:17" ht="25" customHeight="1">
      <c r="A382" s="663"/>
      <c r="B382" s="322" t="s">
        <v>484</v>
      </c>
      <c r="C382" s="302">
        <f t="shared" ref="C382:P382" si="64">C375+C278+C225+C185+C105</f>
        <v>799</v>
      </c>
      <c r="D382" s="302">
        <f t="shared" si="64"/>
        <v>212.28</v>
      </c>
      <c r="E382" s="302">
        <f t="shared" si="64"/>
        <v>761</v>
      </c>
      <c r="F382" s="302">
        <f t="shared" si="64"/>
        <v>55033.8</v>
      </c>
      <c r="G382" s="302">
        <f t="shared" si="64"/>
        <v>8960</v>
      </c>
      <c r="H382" s="302">
        <f t="shared" si="64"/>
        <v>122044</v>
      </c>
      <c r="I382" s="302">
        <f>I375+I278+I225+I185+I105</f>
        <v>50357.55</v>
      </c>
      <c r="J382" s="302">
        <f t="shared" si="64"/>
        <v>2497.75</v>
      </c>
      <c r="K382" s="302">
        <f t="shared" si="64"/>
        <v>2178.5</v>
      </c>
      <c r="L382" s="302">
        <f t="shared" si="64"/>
        <v>9922</v>
      </c>
      <c r="M382" s="302">
        <f t="shared" si="64"/>
        <v>8923</v>
      </c>
      <c r="N382" s="302">
        <f t="shared" si="64"/>
        <v>41434.550000000003</v>
      </c>
      <c r="O382" s="302">
        <f t="shared" si="64"/>
        <v>6367.25</v>
      </c>
      <c r="P382" s="302">
        <f t="shared" si="64"/>
        <v>3350</v>
      </c>
      <c r="Q382" s="272"/>
    </row>
    <row r="383" spans="1:17">
      <c r="C383" s="191"/>
      <c r="D383" s="1610" t="s">
        <v>570</v>
      </c>
      <c r="E383" s="1610"/>
      <c r="F383" s="1610"/>
      <c r="G383" s="1610"/>
      <c r="H383" s="1610"/>
      <c r="I383" s="1610"/>
      <c r="J383" s="668">
        <f>J382+K382</f>
        <v>4676.25</v>
      </c>
      <c r="K383" s="665"/>
      <c r="L383" s="665"/>
      <c r="M383" s="665"/>
      <c r="N383" s="1611" t="s">
        <v>589</v>
      </c>
      <c r="O383" s="1611"/>
      <c r="P383" s="1611"/>
      <c r="Q383" s="1611"/>
    </row>
    <row r="384" spans="1:17" ht="12.75" customHeight="1">
      <c r="A384" s="670"/>
      <c r="B384" s="670"/>
      <c r="C384" s="191"/>
      <c r="D384" s="191"/>
      <c r="E384" s="191"/>
      <c r="G384" s="191"/>
      <c r="H384" s="191"/>
      <c r="I384" s="191"/>
      <c r="J384" s="191"/>
      <c r="K384" s="665"/>
      <c r="L384" s="665"/>
      <c r="M384" s="665"/>
      <c r="N384" s="1605" t="s">
        <v>548</v>
      </c>
      <c r="O384" s="1605"/>
      <c r="P384" s="1605"/>
      <c r="Q384" s="1605"/>
    </row>
    <row r="385" spans="1:17">
      <c r="A385" s="670"/>
      <c r="B385" s="1606" t="s">
        <v>710</v>
      </c>
      <c r="C385" s="1606"/>
      <c r="D385" s="1606"/>
      <c r="E385" s="1606"/>
      <c r="F385" s="1606"/>
      <c r="G385" s="1606"/>
      <c r="H385" s="1606"/>
      <c r="I385" s="1606"/>
      <c r="J385" s="1606"/>
      <c r="K385" s="1606"/>
      <c r="L385" s="665"/>
      <c r="M385" s="665"/>
      <c r="N385" s="665"/>
      <c r="O385" s="665"/>
      <c r="P385" s="665"/>
      <c r="Q385" s="671"/>
    </row>
    <row r="386" spans="1:17" ht="26.25" customHeight="1">
      <c r="A386" s="670"/>
      <c r="B386" s="1602" t="s">
        <v>237</v>
      </c>
      <c r="C386" s="1602"/>
      <c r="D386" s="1602"/>
      <c r="E386" s="1602"/>
      <c r="F386" s="1602"/>
      <c r="G386" s="1602"/>
      <c r="H386" s="1602"/>
      <c r="I386" s="1602"/>
      <c r="J386" s="1602"/>
      <c r="K386" s="1602"/>
      <c r="L386" s="665"/>
      <c r="M386" s="665"/>
      <c r="N386" s="665"/>
      <c r="O386" s="665"/>
      <c r="P386" s="665"/>
      <c r="Q386" s="671"/>
    </row>
    <row r="387" spans="1:17" ht="30" customHeight="1">
      <c r="A387" s="670"/>
      <c r="B387" s="1603" t="s">
        <v>74</v>
      </c>
      <c r="C387" s="1603"/>
      <c r="D387" s="1603"/>
      <c r="E387" s="1603"/>
      <c r="F387" s="1603"/>
      <c r="G387" s="1603"/>
      <c r="H387" s="1603"/>
      <c r="I387" s="1603"/>
      <c r="J387" s="1603"/>
      <c r="K387" s="1603"/>
      <c r="L387" s="665"/>
      <c r="M387" s="665"/>
      <c r="N387" s="1599" t="s">
        <v>549</v>
      </c>
      <c r="O387" s="1599"/>
      <c r="P387" s="1599"/>
      <c r="Q387" s="1599"/>
    </row>
  </sheetData>
  <mergeCells count="29">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 ref="A1:C1"/>
    <mergeCell ref="I1:N1"/>
    <mergeCell ref="A2:C2"/>
    <mergeCell ref="I2:N2"/>
    <mergeCell ref="A3:Q3"/>
    <mergeCell ref="F5:F6"/>
    <mergeCell ref="G5:G6"/>
    <mergeCell ref="H5:H6"/>
    <mergeCell ref="A5:A6"/>
    <mergeCell ref="B5:B6"/>
    <mergeCell ref="C5:C6"/>
    <mergeCell ref="D5:D6"/>
    <mergeCell ref="E5:E6"/>
  </mergeCells>
  <pageMargins left="0.2" right="0.2" top="0.5" bottom="0.42" header="0.62" footer="0.6"/>
  <pageSetup paperSize="9" scale="85"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2AD4DD63D94E46A05C5D22C210A949" ma:contentTypeVersion="15" ma:contentTypeDescription="Create a new document." ma:contentTypeScope="" ma:versionID="b1e6f0e7742be13d99436803285ebc84">
  <xsd:schema xmlns:xsd="http://www.w3.org/2001/XMLSchema" xmlns:xs="http://www.w3.org/2001/XMLSchema" xmlns:p="http://schemas.microsoft.com/office/2006/metadata/properties" xmlns:ns2="740197ad-b108-4f47-8222-499df5378a8c" targetNamespace="http://schemas.microsoft.com/office/2006/metadata/properties" ma:root="true" ma:fieldsID="301a93c0e97e2c70bc18900e0984ebee"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5173568-2B31-49C0-BC09-95828EF3BCA0}"/>
</file>

<file path=customXml/itemProps2.xml><?xml version="1.0" encoding="utf-8"?>
<ds:datastoreItem xmlns:ds="http://schemas.openxmlformats.org/officeDocument/2006/customXml" ds:itemID="{47419DDE-5BC3-45FC-BE9A-21C46FB87459}"/>
</file>

<file path=customXml/itemProps3.xml><?xml version="1.0" encoding="utf-8"?>
<ds:datastoreItem xmlns:ds="http://schemas.openxmlformats.org/officeDocument/2006/customXml" ds:itemID="{2740760C-1E3A-4664-B414-1075E38D9FBC}"/>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Dự toán TTSP GDTH</vt:lpstr>
      <vt:lpstr>Dự toán HK1 RLNV GDTH</vt:lpstr>
      <vt:lpstr>Dự toán hk2 RLNVSP GDTH</vt:lpstr>
      <vt:lpstr>Dự toán hội thi VCĐ-GTN GDTH</vt:lpstr>
      <vt:lpstr>Dự toán TTSP GDMN k58</vt:lpstr>
      <vt:lpstr>Dự toán RLNVSP 1 GDMN</vt:lpstr>
      <vt:lpstr>Dự toán RLNVSP2 GDMN</vt:lpstr>
      <vt:lpstr>Sheet7</vt:lpstr>
      <vt:lpstr>Sheet8</vt:lpstr>
      <vt:lpstr>Bieu2!Print_Area</vt:lpstr>
      <vt:lpstr>'Bieu2 các tổ'!Print_Area</vt:lpstr>
      <vt:lpstr>'Bieu2 GDH'!Print_Area</vt:lpstr>
      <vt:lpstr>'Bieu2 GDMN'!Print_Area</vt:lpstr>
      <vt:lpstr>'Bieu2 GDTH'!Print_Area</vt:lpstr>
      <vt:lpstr>'Bieu2 QLGD'!Print_Area</vt:lpstr>
      <vt:lpstr>'Bieu2 TLH'!Print_Area</vt:lpstr>
      <vt:lpstr>'Bieu3 GDH'!Print_Area</vt:lpstr>
      <vt:lpstr>'Bieu3 GDMN'!Print_Area</vt:lpstr>
      <vt:lpstr>'Bieu3 GDTH'!Print_Area</vt:lpstr>
      <vt:lpstr>'Bieu3 QLGD'!Print_Area</vt:lpstr>
      <vt:lpstr>'Bieu3 TLH'!Print_Area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Microsoft Office User</cp:lastModifiedBy>
  <cp:lastPrinted>2018-08-09T10:51:00Z</cp:lastPrinted>
  <dcterms:created xsi:type="dcterms:W3CDTF">2002-09-19T17:35:53Z</dcterms:created>
  <dcterms:modified xsi:type="dcterms:W3CDTF">2020-08-22T18:20:43Z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